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A20A46FC-C909-41DB-9834-1A2AC0AFA465}" xr6:coauthVersionLast="36" xr6:coauthVersionMax="47" xr10:uidLastSave="{00000000-0000-0000-0000-000000000000}"/>
  <bookViews>
    <workbookView xWindow="2505" yWindow="2505" windowWidth="15330" windowHeight="10890" activeTab="2" xr2:uid="{00000000-000D-0000-FFFF-FFFF00000000}"/>
  </bookViews>
  <sheets>
    <sheet name="RA" sheetId="72" r:id="rId1"/>
    <sheet name="staff" sheetId="60" r:id="rId2"/>
    <sheet name="Cash" sheetId="12" r:id="rId3"/>
    <sheet name="Nadeem bhai" sheetId="53" r:id="rId4"/>
    <sheet name="Bilal bhai" sheetId="54" r:id="rId5"/>
    <sheet name="cb" sheetId="57" r:id="rId6"/>
    <sheet name="Rehan" sheetId="61"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s>
  <externalReferences>
    <externalReference r:id="rId18"/>
    <externalReference r:id="rId19"/>
    <externalReference r:id="rId20"/>
    <externalReference r:id="rId21"/>
  </externalReferences>
  <definedNames>
    <definedName name="_xlnm._FilterDatabase" localSheetId="4" hidden="1">'Bilal bhai'!$A$1:$K$7693</definedName>
    <definedName name="_xlnm._FilterDatabase" localSheetId="2" hidden="1">Cash!$A$1:$O$12656</definedName>
    <definedName name="_xlnm._FilterDatabase" localSheetId="16" hidden="1">'Petty cash (old)'!$A$1:$L$11593</definedName>
    <definedName name="_xlnm._FilterDatabase" localSheetId="6" hidden="1">Rehan!$A$2:$G$66</definedName>
    <definedName name="_xlnm.Print_Area" localSheetId="10">Attnd!$A$1:$Q$33</definedName>
    <definedName name="_xlnm.Print_Area" localSheetId="4">'Bilal bhai'!$A$848:$F$884</definedName>
    <definedName name="_xlnm.Print_Area" localSheetId="2">Cash!$J$10187:$M$10197</definedName>
    <definedName name="_xlnm.Print_Area" localSheetId="3">'Nadeem bhai'!$A$668:$F$768</definedName>
    <definedName name="_xlnm.Print_Area" localSheetId="16">'Petty cash (old)'!$A$9940:$F$10642</definedName>
    <definedName name="_xlnm.Print_Area" localSheetId="0">RA!$O$64:$Q$69</definedName>
    <definedName name="_xlnm.Print_Area" localSheetId="6">Rehan!$A$2:$C$6</definedName>
    <definedName name="_xlnm.Print_Area" localSheetId="1">staff!#REF!</definedName>
    <definedName name="_xlnm.Print_Titles" localSheetId="2">Cash!$1:$1</definedName>
    <definedName name="_xlnm.Print_Titles" localSheetId="16">'Petty cash (old)'!$1:$1</definedName>
    <definedName name="_xlnm.Print_Titles" localSheetId="6">Rehan!$1:$2</definedName>
  </definedNames>
  <calcPr calcId="191029" iterate="1"/>
</workbook>
</file>

<file path=xl/calcChain.xml><?xml version="1.0" encoding="utf-8"?>
<calcChain xmlns="http://schemas.openxmlformats.org/spreadsheetml/2006/main">
  <c r="E12456" i="12" l="1"/>
  <c r="G12453" i="12" l="1"/>
  <c r="G12454" i="12" s="1"/>
  <c r="G12455" i="12" s="1"/>
  <c r="G12456" i="12" s="1"/>
  <c r="G12457" i="12" s="1"/>
  <c r="G12458" i="12" s="1"/>
  <c r="G12459" i="12" s="1"/>
  <c r="G12460" i="12" s="1"/>
  <c r="G12461" i="12" s="1"/>
  <c r="G12462" i="12" s="1"/>
  <c r="G12463" i="12" s="1"/>
  <c r="G12464" i="12" s="1"/>
  <c r="G12465" i="12" s="1"/>
  <c r="G12466" i="12" s="1"/>
  <c r="G12467" i="12" s="1"/>
  <c r="I12467" i="12" l="1"/>
  <c r="I12468" i="12" s="1"/>
  <c r="E1552" i="53" l="1"/>
  <c r="E12427" i="12"/>
  <c r="I12416" i="12" l="1"/>
  <c r="I12417" i="12" s="1"/>
  <c r="I12420" i="12" s="1"/>
  <c r="F1402" i="54" l="1"/>
  <c r="F1401" i="54"/>
  <c r="E60" i="60" l="1"/>
  <c r="E129" i="60"/>
  <c r="E177" i="60"/>
  <c r="H885" i="47" l="1"/>
  <c r="T60" i="72" l="1"/>
  <c r="R58" i="72"/>
  <c r="S58" i="72" s="1"/>
  <c r="T58" i="72" s="1"/>
  <c r="R59" i="72"/>
  <c r="S59" i="72" s="1"/>
  <c r="T59" i="72" s="1"/>
  <c r="Q58" i="72"/>
  <c r="Q59" i="72"/>
  <c r="Q57" i="72"/>
  <c r="R57" i="72" s="1"/>
  <c r="S57" i="72" s="1"/>
  <c r="T57" i="72" s="1"/>
  <c r="G67" i="72" l="1"/>
  <c r="G68" i="72" s="1"/>
  <c r="G65" i="72"/>
  <c r="H67" i="72"/>
  <c r="H66" i="72"/>
  <c r="H65" i="72"/>
  <c r="H59" i="72"/>
  <c r="H58" i="72"/>
  <c r="H57" i="72"/>
  <c r="H30" i="72"/>
  <c r="H32" i="72" s="1"/>
  <c r="G19" i="72"/>
  <c r="G20" i="72" s="1"/>
  <c r="D12" i="61" l="1"/>
  <c r="E12339" i="12" l="1"/>
  <c r="R86" i="72" l="1"/>
  <c r="R87" i="72" l="1"/>
  <c r="R88" i="72" s="1"/>
  <c r="R89" i="72" s="1"/>
  <c r="R93" i="72"/>
  <c r="R94" i="72" s="1"/>
  <c r="R95" i="72" s="1"/>
  <c r="E12296" i="12" l="1"/>
  <c r="C886" i="47" l="1"/>
  <c r="J12484" i="12" l="1"/>
  <c r="E12287" i="12" l="1"/>
  <c r="E12281" i="12"/>
  <c r="J12483" i="12" s="1"/>
  <c r="J12485" i="12" s="1"/>
  <c r="C24" i="64" l="1"/>
  <c r="E12265" i="12" l="1"/>
  <c r="P71" i="72" l="1"/>
  <c r="P72" i="72" s="1"/>
  <c r="E12257" i="12"/>
  <c r="E12253" i="12" l="1"/>
  <c r="E12244" i="12" l="1"/>
  <c r="E12241" i="12" l="1"/>
  <c r="E12223" i="12" l="1"/>
  <c r="J12265" i="12" s="1"/>
  <c r="J12266" i="12" s="1"/>
  <c r="I12221" i="12" l="1"/>
  <c r="I12510" i="12" l="1"/>
  <c r="I12222" i="12"/>
  <c r="J5" i="57"/>
  <c r="J15" i="57" l="1"/>
  <c r="K5" i="57" l="1"/>
  <c r="I12132" i="12" l="1"/>
  <c r="I12133" i="12" s="1"/>
  <c r="E12094" i="12" l="1"/>
  <c r="E12093" i="12"/>
  <c r="F1526" i="53" l="1"/>
  <c r="F1527" i="53" s="1"/>
  <c r="F1528" i="53" s="1"/>
  <c r="F1529" i="53" s="1"/>
  <c r="F1530" i="53" s="1"/>
  <c r="F1531" i="53" s="1"/>
  <c r="I12012" i="12" l="1"/>
  <c r="I12013" i="12" s="1"/>
  <c r="D11" i="61" l="1"/>
  <c r="E11927" i="12" l="1"/>
  <c r="E11934" i="12" l="1"/>
  <c r="E11948" i="12" l="1"/>
  <c r="E11945" i="12" l="1"/>
  <c r="D10" i="61" l="1"/>
  <c r="E11938" i="12" l="1"/>
  <c r="J11931" i="12" l="1"/>
  <c r="J11932" i="12" s="1"/>
  <c r="J11933" i="12" s="1"/>
  <c r="J11934" i="12" l="1"/>
  <c r="J11939" i="12" s="1"/>
  <c r="J11946" i="12" l="1"/>
  <c r="D4" i="61" l="1"/>
  <c r="D5" i="61" s="1"/>
  <c r="D6" i="61" s="1"/>
  <c r="D7" i="61" s="1"/>
  <c r="D8" i="61" s="1"/>
  <c r="D9" i="61" s="1"/>
  <c r="C11" i="64" l="1"/>
  <c r="J11822" i="12" l="1"/>
  <c r="K11822" i="12" s="1"/>
  <c r="K11817" i="12"/>
  <c r="K11818" i="12"/>
  <c r="K11819" i="12"/>
  <c r="K11821" i="12"/>
  <c r="K11823" i="12" l="1"/>
  <c r="J13" i="57" l="1"/>
  <c r="J11823" i="12" l="1"/>
  <c r="J11824" i="12" s="1"/>
  <c r="J11825" i="12" s="1"/>
  <c r="E11796" i="12" l="1"/>
  <c r="E11793" i="12" l="1"/>
  <c r="J1300" i="54" l="1"/>
  <c r="J1302" i="54" s="1"/>
  <c r="I11942" i="12" l="1"/>
  <c r="I11771" i="12" l="1"/>
  <c r="K11715" i="12" l="1"/>
  <c r="K11716" i="12"/>
  <c r="K11717" i="12"/>
  <c r="K11718" i="12"/>
  <c r="K11719" i="12"/>
  <c r="K11721" i="12"/>
  <c r="K11722" i="12"/>
  <c r="K11714" i="12"/>
  <c r="I11709" i="12" l="1"/>
  <c r="I11692" i="12" l="1"/>
  <c r="J11693" i="12" s="1"/>
  <c r="Q30" i="72" l="1"/>
  <c r="Q32" i="72" s="1"/>
  <c r="O11" i="72"/>
  <c r="O10" i="72"/>
  <c r="O9" i="72"/>
  <c r="O8" i="72"/>
  <c r="P13" i="72" l="1"/>
  <c r="Z31" i="72"/>
  <c r="Z32" i="72" s="1"/>
  <c r="W22" i="72"/>
  <c r="W21" i="72"/>
  <c r="W20" i="72"/>
  <c r="U11" i="72"/>
  <c r="U10" i="72"/>
  <c r="U9" i="72"/>
  <c r="U8" i="72"/>
  <c r="U12" i="72" l="1"/>
  <c r="W23" i="72"/>
  <c r="W24" i="72" s="1"/>
  <c r="W25" i="72" s="1"/>
  <c r="W27" i="72" s="1"/>
  <c r="V13" i="72" l="1"/>
  <c r="W14" i="72" s="1"/>
  <c r="W32" i="72" s="1"/>
  <c r="W16" i="72" l="1"/>
  <c r="W29" i="72" s="1"/>
  <c r="P23" i="72" l="1"/>
  <c r="P24" i="72" s="1"/>
  <c r="I11646" i="12" l="1"/>
  <c r="I11647" i="12" s="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E11309" i="12" l="1"/>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AA26" i="72" l="1"/>
  <c r="AA27" i="72" s="1"/>
  <c r="AA29" i="72" s="1"/>
  <c r="AC23" i="72" l="1"/>
  <c r="AD23" i="72" s="1"/>
  <c r="AF23" i="72" s="1"/>
  <c r="AC24" i="72"/>
  <c r="AD24" i="72" s="1"/>
  <c r="AF24" i="72" s="1"/>
  <c r="AC25" i="72"/>
  <c r="AD25" i="72" s="1"/>
  <c r="AF25" i="72" s="1"/>
  <c r="AC26" i="72"/>
  <c r="AD26" i="72" s="1"/>
  <c r="AF26" i="72" s="1"/>
  <c r="AC27" i="72"/>
  <c r="AD27" i="72" s="1"/>
  <c r="AF27" i="72" s="1"/>
  <c r="AC28" i="72"/>
  <c r="AD28" i="72" s="1"/>
  <c r="AF28" i="72" s="1"/>
  <c r="AC29" i="72"/>
  <c r="AD29" i="72" s="1"/>
  <c r="AF29" i="72" s="1"/>
  <c r="AC30" i="72"/>
  <c r="AD30" i="72" s="1"/>
  <c r="AF30" i="72" s="1"/>
  <c r="AC22" i="72"/>
  <c r="AD22" i="72" s="1"/>
  <c r="AF22" i="72" s="1"/>
  <c r="AA9" i="72"/>
  <c r="AB9" i="72" s="1"/>
  <c r="AA10" i="72"/>
  <c r="AB10" i="72" s="1"/>
  <c r="AA11" i="72"/>
  <c r="AA12" i="72"/>
  <c r="AB12" i="72" s="1"/>
  <c r="AB13" i="72"/>
  <c r="AC13" i="72" s="1"/>
  <c r="AC14" i="72"/>
  <c r="AD14" i="72" s="1"/>
  <c r="AC15" i="72"/>
  <c r="AD15" i="72" s="1"/>
  <c r="AC16" i="72"/>
  <c r="AD16" i="72" s="1"/>
  <c r="AC17" i="72"/>
  <c r="AD17" i="72" s="1"/>
  <c r="AA8" i="72"/>
  <c r="AB8" i="72" l="1"/>
  <c r="AC8" i="72" s="1"/>
  <c r="AA18" i="72"/>
  <c r="AC12" i="72"/>
  <c r="AE16" i="72"/>
  <c r="AB11" i="72"/>
  <c r="AC11" i="72" s="1"/>
  <c r="AE15" i="72"/>
  <c r="AE14" i="72"/>
  <c r="AE17" i="72"/>
  <c r="AD13" i="72"/>
  <c r="AC9" i="72"/>
  <c r="AC10" i="72"/>
  <c r="AE9" i="72" l="1"/>
  <c r="AF9" i="72" s="1"/>
  <c r="AE10" i="72"/>
  <c r="AF10" i="72" s="1"/>
  <c r="AE11" i="72"/>
  <c r="AF11" i="72" s="1"/>
  <c r="AE12" i="72"/>
  <c r="AF12" i="72" s="1"/>
  <c r="AF13" i="72"/>
  <c r="AG13" i="72" s="1"/>
  <c r="AG14" i="72"/>
  <c r="AH14" i="72" s="1"/>
  <c r="AG15" i="72"/>
  <c r="AH15" i="72" s="1"/>
  <c r="AG16" i="72"/>
  <c r="AH16" i="72" s="1"/>
  <c r="AG17" i="72"/>
  <c r="AH17" i="72" s="1"/>
  <c r="AE8" i="72"/>
  <c r="AF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619"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615" i="60" l="1"/>
  <c r="J8489" i="12"/>
  <c r="E8487" i="12"/>
  <c r="E8486" i="12"/>
  <c r="J8447" i="12" l="1"/>
  <c r="I616"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6718" i="12" l="1"/>
  <c r="E6730" i="12" l="1"/>
  <c r="E6582" i="12" l="1"/>
  <c r="E6365" i="12" l="1"/>
  <c r="H624" i="60" s="1"/>
  <c r="E6308" i="12" l="1"/>
  <c r="E6286" i="12" l="1"/>
  <c r="H622"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620" i="60" l="1"/>
  <c r="E5545" i="12" l="1"/>
  <c r="L616" i="60" l="1"/>
  <c r="M616" i="60" s="1"/>
  <c r="L615" i="60" l="1"/>
  <c r="D1037" i="53"/>
  <c r="J624" i="60" l="1"/>
  <c r="J615" i="60"/>
  <c r="J616" i="60"/>
  <c r="J625" i="60"/>
  <c r="K625" i="60" s="1"/>
  <c r="E5485" i="12"/>
  <c r="H618" i="60" s="1"/>
  <c r="J617" i="60" l="1"/>
  <c r="J618" i="60"/>
  <c r="J620" i="60"/>
  <c r="J621" i="60"/>
  <c r="J622" i="60"/>
  <c r="L618" i="60" l="1"/>
  <c r="E5369" i="12" l="1"/>
  <c r="E5373" i="12" l="1"/>
  <c r="E5372" i="12"/>
  <c r="H619" i="60" s="1"/>
  <c r="H615" i="60" l="1"/>
  <c r="H616" i="60"/>
  <c r="H620" i="60"/>
  <c r="H621" i="60"/>
  <c r="H617" i="60"/>
  <c r="Q16" i="60"/>
  <c r="Q18" i="60" s="1"/>
  <c r="I621" i="60" l="1"/>
  <c r="I617" i="60" l="1"/>
  <c r="K617" i="60" s="1"/>
  <c r="I618" i="60"/>
  <c r="K618" i="60" s="1"/>
  <c r="M618" i="60" s="1"/>
  <c r="I619" i="60"/>
  <c r="K619" i="60" s="1"/>
  <c r="K620" i="60"/>
  <c r="K621" i="60"/>
  <c r="D1027" i="53" l="1"/>
  <c r="L622" i="60" l="1"/>
  <c r="L624" i="60"/>
  <c r="L617" i="60"/>
  <c r="M617" i="60" s="1"/>
  <c r="L619" i="60"/>
  <c r="M619" i="60" s="1"/>
  <c r="L620" i="60"/>
  <c r="M620" i="60" s="1"/>
  <c r="L621" i="60"/>
  <c r="M621"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624" i="60"/>
  <c r="M624" i="60" s="1"/>
  <c r="K622" i="60"/>
  <c r="M622"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199" i="53"/>
  <c r="F1200" i="53" s="1"/>
  <c r="F1201" i="53" s="1"/>
  <c r="F1202" i="53" s="1"/>
  <c r="F1203" i="53" s="1"/>
  <c r="F1204" i="53" s="1"/>
  <c r="F1205" i="53" s="1"/>
  <c r="F1206" i="53" s="1"/>
  <c r="F1207" i="53" s="1"/>
  <c r="F1208" i="53" s="1"/>
  <c r="F1209" i="53" s="1"/>
  <c r="F1210" i="53" s="1"/>
  <c r="F1211" i="53" s="1"/>
  <c r="G2888" i="12"/>
  <c r="G2889" i="12" s="1"/>
  <c r="G2890" i="12" s="1"/>
  <c r="F1258" i="54" l="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212" i="53"/>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F1313" i="54" l="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G2895" i="12"/>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F1356" i="54" l="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G2932" i="12"/>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21" i="54" l="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F1505" i="54" s="1"/>
  <c r="F1506" i="54" s="1"/>
  <c r="F1507" i="54" s="1"/>
  <c r="F1508" i="54" s="1"/>
  <c r="F1509" i="54" s="1"/>
  <c r="F1510" i="54" s="1"/>
  <c r="D10" i="57" s="1"/>
  <c r="F1414" i="53"/>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F1499" i="53" l="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F2013" i="53" s="1"/>
  <c r="F2014" i="53" s="1"/>
  <c r="D11" i="57" s="1"/>
  <c r="G3144" i="12"/>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615" i="60"/>
  <c r="M615" i="60" s="1"/>
  <c r="M626"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9" i="12"/>
  <c r="J9095" i="12"/>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85"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1" i="12"/>
  <c r="G11612" i="12" l="1"/>
  <c r="G11613" i="12" s="1"/>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16" i="12" s="1"/>
  <c r="G11817" i="12" s="1"/>
  <c r="G11818" i="12" s="1"/>
  <c r="G11819" i="12" s="1"/>
  <c r="G11820" i="12" s="1"/>
  <c r="G11821" i="12" s="1"/>
  <c r="G11822" i="12" s="1"/>
  <c r="G11823" i="12" s="1"/>
  <c r="G11824" i="12" s="1"/>
  <c r="G11825" i="12" s="1"/>
  <c r="G11826" i="12" s="1"/>
  <c r="G11827" i="12" s="1"/>
  <c r="G11828" i="12" s="1"/>
  <c r="G11829" i="12" s="1"/>
  <c r="G11830" i="12" s="1"/>
  <c r="G11831" i="12" l="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l="1"/>
  <c r="G11863" i="12" s="1"/>
  <c r="G11864" i="12" l="1"/>
  <c r="G11865" i="12" s="1"/>
  <c r="G11866" i="12" l="1"/>
  <c r="G11867" i="12" l="1"/>
  <c r="G11868" i="12" s="1"/>
  <c r="G11869" i="12" s="1"/>
  <c r="G11870" i="12" s="1"/>
  <c r="G11871" i="12" l="1"/>
  <c r="G11872" i="12" s="1"/>
  <c r="G11873" i="12" s="1"/>
  <c r="G11874" i="12" s="1"/>
  <c r="G11875" i="12" s="1"/>
  <c r="G11876" i="12" l="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l="1"/>
  <c r="G11894" i="12" s="1"/>
  <c r="G11895" i="12" s="1"/>
  <c r="G11896" i="12" s="1"/>
  <c r="G11897" i="12" s="1"/>
  <c r="G11898" i="12" s="1"/>
  <c r="G11899" i="12" s="1"/>
  <c r="G11900" i="12" s="1"/>
  <c r="G11901" i="12" s="1"/>
  <c r="G11902" i="12" s="1"/>
  <c r="G11903" i="12" s="1"/>
  <c r="G11904" i="12" l="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l="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l="1"/>
  <c r="G11977" i="12" s="1"/>
  <c r="G11978" i="12" s="1"/>
  <c r="G11979" i="12" s="1"/>
  <c r="G11980" i="12" s="1"/>
  <c r="G11981" i="12" l="1"/>
  <c r="G11982" i="12" s="1"/>
  <c r="G11983" i="12" s="1"/>
  <c r="G11984" i="12" s="1"/>
  <c r="G11985" i="12" s="1"/>
  <c r="G11986" i="12" s="1"/>
  <c r="G11987" i="12" s="1"/>
  <c r="G11988" i="12" s="1"/>
  <c r="G11989" i="12" s="1"/>
  <c r="G11990" i="12" s="1"/>
  <c r="G11991" i="12" s="1"/>
  <c r="G11992" i="12" s="1"/>
  <c r="G11993" i="12" s="1"/>
  <c r="G11994" i="12" s="1"/>
  <c r="G11995" i="12" s="1"/>
  <c r="G11996" i="12" s="1"/>
  <c r="G11997" i="12" l="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J11947" i="12"/>
  <c r="G12018" i="12" l="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l="1"/>
  <c r="G12049" i="12" l="1"/>
  <c r="G12050" i="12" s="1"/>
  <c r="G12051" i="12" s="1"/>
  <c r="G12052" i="12" l="1"/>
  <c r="G12053" i="12" s="1"/>
  <c r="G12054" i="12" s="1"/>
  <c r="G12055" i="12" l="1"/>
  <c r="G12056" i="12" s="1"/>
  <c r="G12057" i="12" s="1"/>
  <c r="G12058" i="12" s="1"/>
  <c r="G12059" i="12" l="1"/>
  <c r="G12060" i="12" s="1"/>
  <c r="G12061" i="12" l="1"/>
  <c r="G12062" i="12" s="1"/>
  <c r="G12063" i="12" s="1"/>
  <c r="G12064" i="12" s="1"/>
  <c r="G12065" i="12" s="1"/>
  <c r="G12066" i="12" s="1"/>
  <c r="G12067" i="12" s="1"/>
  <c r="G12068" i="12" s="1"/>
  <c r="G12069" i="12" s="1"/>
  <c r="G12070" i="12" s="1"/>
  <c r="G12071" i="12" s="1"/>
  <c r="G12072" i="12" s="1"/>
  <c r="G12073" i="12" s="1"/>
  <c r="G12074" i="12" l="1"/>
  <c r="G12075" i="12" s="1"/>
  <c r="G12076" i="12" l="1"/>
  <c r="G12077" i="12" s="1"/>
  <c r="G12078" i="12" s="1"/>
  <c r="G12079" i="12" s="1"/>
  <c r="G12080" i="12" s="1"/>
  <c r="G12081" i="12" l="1"/>
  <c r="G12082" i="12" s="1"/>
  <c r="G12083" i="12" s="1"/>
  <c r="G12084" i="12" s="1"/>
  <c r="G12085" i="12" s="1"/>
  <c r="G12086" i="12" l="1"/>
  <c r="G12087" i="12" s="1"/>
  <c r="G12088" i="12" s="1"/>
  <c r="G12089" i="12" s="1"/>
  <c r="G12090" i="12" s="1"/>
  <c r="G12091" i="12" s="1"/>
  <c r="G12092" i="12" s="1"/>
  <c r="G12093" i="12" s="1"/>
  <c r="G12094" i="12" s="1"/>
  <c r="G12095" i="12" s="1"/>
  <c r="G12096" i="12" l="1"/>
  <c r="G12097" i="12" s="1"/>
  <c r="G12098" i="12" l="1"/>
  <c r="G12099" i="12" l="1"/>
  <c r="G12100" i="12" s="1"/>
  <c r="G12101" i="12" s="1"/>
  <c r="G12102" i="12" s="1"/>
  <c r="G12103" i="12" l="1"/>
  <c r="G12104" i="12" s="1"/>
  <c r="G12105" i="12" s="1"/>
  <c r="G12106" i="12" s="1"/>
  <c r="G12107" i="12" s="1"/>
  <c r="G12108" i="12" s="1"/>
  <c r="G12109" i="12" l="1"/>
  <c r="G12110" i="12" s="1"/>
  <c r="G12111" i="12" l="1"/>
  <c r="G12112" i="12" s="1"/>
  <c r="G12113" i="12" s="1"/>
  <c r="G12114" i="12" s="1"/>
  <c r="G12115" i="12" s="1"/>
  <c r="G12116" i="12" l="1"/>
  <c r="G12117" i="12" s="1"/>
  <c r="G12118" i="12" s="1"/>
  <c r="G12119" i="12" l="1"/>
  <c r="G12120" i="12" s="1"/>
  <c r="G12121" i="12" s="1"/>
  <c r="G12122" i="12" s="1"/>
  <c r="G12123" i="12" s="1"/>
  <c r="G12124" i="12" s="1"/>
  <c r="G12125" i="12" s="1"/>
  <c r="G12126" i="12" s="1"/>
  <c r="G12127" i="12" s="1"/>
  <c r="G12128" i="12" s="1"/>
  <c r="G12129" i="12" s="1"/>
  <c r="G12130" i="12" s="1"/>
  <c r="G12131" i="12" s="1"/>
  <c r="G12132" i="12" s="1"/>
  <c r="G12133" i="12" s="1"/>
  <c r="G12134" i="12" s="1"/>
  <c r="G12135" i="12" s="1"/>
  <c r="G12136" i="12" s="1"/>
  <c r="G12137" i="12" s="1"/>
  <c r="G12138" i="12" s="1"/>
  <c r="G12139" i="12" s="1"/>
  <c r="G12140" i="12" s="1"/>
  <c r="G12141" i="12" s="1"/>
  <c r="G12142" i="12" s="1"/>
  <c r="G12143" i="12" s="1"/>
  <c r="G12144" i="12" s="1"/>
  <c r="G12145" i="12" s="1"/>
  <c r="G12146" i="12" s="1"/>
  <c r="G12147" i="12" s="1"/>
  <c r="G12148" i="12" s="1"/>
  <c r="G12149" i="12" s="1"/>
  <c r="G12150" i="12" s="1"/>
  <c r="G12151" i="12" s="1"/>
  <c r="G12152" i="12" s="1"/>
  <c r="G12153" i="12" s="1"/>
  <c r="G12154" i="12" s="1"/>
  <c r="G12155" i="12" s="1"/>
  <c r="G12156" i="12" s="1"/>
  <c r="G12157" i="12" s="1"/>
  <c r="G12158" i="12" s="1"/>
  <c r="G12159" i="12" s="1"/>
  <c r="G12160" i="12" s="1"/>
  <c r="G12161" i="12" s="1"/>
  <c r="G12162" i="12" s="1"/>
  <c r="G12163" i="12" s="1"/>
  <c r="G12164" i="12" s="1"/>
  <c r="G12165" i="12" s="1"/>
  <c r="G12166" i="12" s="1"/>
  <c r="G12167" i="12" s="1"/>
  <c r="G12168" i="12" s="1"/>
  <c r="G12169" i="12" s="1"/>
  <c r="G12170" i="12" s="1"/>
  <c r="G12171" i="12" s="1"/>
  <c r="G12172" i="12" s="1"/>
  <c r="G12173" i="12" s="1"/>
  <c r="G12174" i="12" s="1"/>
  <c r="G12175" i="12" s="1"/>
  <c r="G12176" i="12" s="1"/>
  <c r="G12177" i="12" s="1"/>
  <c r="G12178" i="12" s="1"/>
  <c r="G12179" i="12" s="1"/>
  <c r="G12180" i="12" s="1"/>
  <c r="G12181" i="12" s="1"/>
  <c r="G12182" i="12" s="1"/>
  <c r="G12183" i="12" s="1"/>
  <c r="G12184" i="12" s="1"/>
  <c r="G12185" i="12" s="1"/>
  <c r="G12186" i="12" s="1"/>
  <c r="G12187" i="12" s="1"/>
  <c r="G12188" i="12" s="1"/>
  <c r="G12189" i="12" s="1"/>
  <c r="G12190" i="12" s="1"/>
  <c r="G12191" i="12" s="1"/>
  <c r="G12192" i="12" s="1"/>
  <c r="G12193" i="12" s="1"/>
  <c r="G12194" i="12" s="1"/>
  <c r="G12195" i="12" s="1"/>
  <c r="G12196" i="12" s="1"/>
  <c r="G12197" i="12" s="1"/>
  <c r="G12198" i="12" s="1"/>
  <c r="G12199" i="12" s="1"/>
  <c r="G12200" i="12" s="1"/>
  <c r="G12201" i="12" s="1"/>
  <c r="G12202" i="12" s="1"/>
  <c r="G12203" i="12" s="1"/>
  <c r="G12204" i="12" s="1"/>
  <c r="G12205" i="12" s="1"/>
  <c r="G12206" i="12" s="1"/>
  <c r="G12207" i="12" s="1"/>
  <c r="G12208" i="12" s="1"/>
  <c r="G12209" i="12" l="1"/>
  <c r="G12210" i="12" s="1"/>
  <c r="G12211" i="12" s="1"/>
  <c r="G12212" i="12" s="1"/>
  <c r="G12213" i="12" s="1"/>
  <c r="G12214" i="12" s="1"/>
  <c r="G12215" i="12" l="1"/>
  <c r="G12216" i="12" s="1"/>
  <c r="G12217" i="12" s="1"/>
  <c r="G12218" i="12" l="1"/>
  <c r="G12219" i="12" s="1"/>
  <c r="G12220" i="12" s="1"/>
  <c r="G12221" i="12" s="1"/>
  <c r="G12222" i="12" s="1"/>
  <c r="G12223" i="12" s="1"/>
  <c r="G12224" i="12" s="1"/>
  <c r="G12225" i="12" s="1"/>
  <c r="G12226" i="12" s="1"/>
  <c r="G12227" i="12" s="1"/>
  <c r="G12228" i="12" s="1"/>
  <c r="G12229" i="12" s="1"/>
  <c r="G12230" i="12" s="1"/>
  <c r="G12231" i="12" s="1"/>
  <c r="G12232" i="12" s="1"/>
  <c r="G12233" i="12" s="1"/>
  <c r="G12234" i="12" s="1"/>
  <c r="G12235" i="12" s="1"/>
  <c r="G12236" i="12" s="1"/>
  <c r="G12237" i="12" s="1"/>
  <c r="G12238" i="12" s="1"/>
  <c r="G12239" i="12" s="1"/>
  <c r="G12240" i="12" s="1"/>
  <c r="G12241" i="12" s="1"/>
  <c r="G12242" i="12" s="1"/>
  <c r="G12243" i="12" s="1"/>
  <c r="G12244" i="12" s="1"/>
  <c r="G12245" i="12" s="1"/>
  <c r="G12246" i="12" s="1"/>
  <c r="G12247" i="12" s="1"/>
  <c r="G12248" i="12" s="1"/>
  <c r="G12249" i="12" s="1"/>
  <c r="G12250" i="12" s="1"/>
  <c r="G12251" i="12" s="1"/>
  <c r="G12252" i="12" s="1"/>
  <c r="G12253" i="12" s="1"/>
  <c r="G12254" i="12" s="1"/>
  <c r="G12255" i="12" s="1"/>
  <c r="G12256" i="12" s="1"/>
  <c r="G12257" i="12" s="1"/>
  <c r="G12258" i="12" s="1"/>
  <c r="G12259" i="12" s="1"/>
  <c r="G12260" i="12" s="1"/>
  <c r="G12261" i="12" s="1"/>
  <c r="G12262" i="12" s="1"/>
  <c r="G12263" i="12" s="1"/>
  <c r="G12264" i="12" s="1"/>
  <c r="G12265" i="12" s="1"/>
  <c r="G12266" i="12" s="1"/>
  <c r="G12267" i="12" s="1"/>
  <c r="G12268" i="12" s="1"/>
  <c r="G12269" i="12" s="1"/>
  <c r="G12270" i="12" s="1"/>
  <c r="G12271" i="12" s="1"/>
  <c r="G12272" i="12" s="1"/>
  <c r="G12273" i="12" s="1"/>
  <c r="G12274" i="12" s="1"/>
  <c r="G12275" i="12" s="1"/>
  <c r="G12276" i="12" s="1"/>
  <c r="G12277" i="12" s="1"/>
  <c r="G12278" i="12" s="1"/>
  <c r="G12279" i="12" s="1"/>
  <c r="G12280" i="12" s="1"/>
  <c r="G12281" i="12" s="1"/>
  <c r="G12282" i="12" s="1"/>
  <c r="G12283" i="12" s="1"/>
  <c r="G12284" i="12" s="1"/>
  <c r="G12285" i="12" s="1"/>
  <c r="G12286" i="12" l="1"/>
  <c r="G12287" i="12" s="1"/>
  <c r="G12288" i="12" s="1"/>
  <c r="G12289" i="12" s="1"/>
  <c r="G12290" i="12" s="1"/>
  <c r="G12291" i="12" s="1"/>
  <c r="G12292" i="12" s="1"/>
  <c r="G12293" i="12" l="1"/>
  <c r="G12294" i="12" s="1"/>
  <c r="G12295" i="12" s="1"/>
  <c r="G12296" i="12" s="1"/>
  <c r="G12297" i="12" s="1"/>
  <c r="G12298" i="12" s="1"/>
  <c r="G12299" i="12" s="1"/>
  <c r="G12300" i="12" s="1"/>
  <c r="G12301" i="12" s="1"/>
  <c r="G12302" i="12" l="1"/>
  <c r="G12303" i="12" s="1"/>
  <c r="G12304" i="12" s="1"/>
  <c r="G12305" i="12" s="1"/>
  <c r="G12306" i="12" s="1"/>
  <c r="G12307" i="12" s="1"/>
  <c r="G12308" i="12" s="1"/>
  <c r="G12309" i="12" s="1"/>
  <c r="G12310" i="12" s="1"/>
  <c r="G12311" i="12" s="1"/>
  <c r="G12312" i="12" s="1"/>
  <c r="G12313" i="12" s="1"/>
  <c r="G12314" i="12" s="1"/>
  <c r="G12315" i="12" s="1"/>
  <c r="G12316" i="12" s="1"/>
  <c r="G12317" i="12" s="1"/>
  <c r="G12318" i="12" l="1"/>
  <c r="G12319" i="12" s="1"/>
  <c r="G12320" i="12" s="1"/>
  <c r="G12321" i="12" s="1"/>
  <c r="G12322" i="12" s="1"/>
  <c r="G12323" i="12" s="1"/>
  <c r="G12324" i="12" s="1"/>
  <c r="G12325" i="12" s="1"/>
  <c r="G12326" i="12" s="1"/>
  <c r="G12327" i="12" s="1"/>
  <c r="G12328" i="12" s="1"/>
  <c r="G12329" i="12" s="1"/>
  <c r="G12330" i="12" s="1"/>
  <c r="G12331" i="12" s="1"/>
  <c r="G12332" i="12" s="1"/>
  <c r="G12333" i="12" s="1"/>
  <c r="G12334" i="12" s="1"/>
  <c r="G12335" i="12" s="1"/>
  <c r="G12336" i="12" s="1"/>
  <c r="G12337" i="12" s="1"/>
  <c r="G12338" i="12" s="1"/>
  <c r="G12339" i="12" s="1"/>
  <c r="G12340" i="12" s="1"/>
  <c r="G12341" i="12" s="1"/>
  <c r="G12342" i="12" s="1"/>
  <c r="G12343" i="12" s="1"/>
  <c r="G12344" i="12" s="1"/>
  <c r="G12345" i="12" s="1"/>
  <c r="G12346" i="12" s="1"/>
  <c r="G12347" i="12" s="1"/>
  <c r="G12348" i="12" s="1"/>
  <c r="G12349" i="12" s="1"/>
  <c r="G12350" i="12" s="1"/>
  <c r="G12351" i="12" s="1"/>
  <c r="G12352" i="12" s="1"/>
  <c r="G12353" i="12" s="1"/>
  <c r="G12354" i="12" s="1"/>
  <c r="G12355" i="12" s="1"/>
  <c r="G12356" i="12" s="1"/>
  <c r="G12357" i="12" s="1"/>
  <c r="G12358" i="12" s="1"/>
  <c r="G12359" i="12" s="1"/>
  <c r="G12360" i="12" s="1"/>
  <c r="G12361" i="12" s="1"/>
  <c r="G12362" i="12" s="1"/>
  <c r="G12363" i="12" s="1"/>
  <c r="G12364" i="12" s="1"/>
  <c r="G12365" i="12" s="1"/>
  <c r="G12366" i="12" l="1"/>
  <c r="G12367" i="12" s="1"/>
  <c r="G12368" i="12" s="1"/>
  <c r="G12369" i="12" s="1"/>
  <c r="G12370" i="12" s="1"/>
  <c r="G12371" i="12" s="1"/>
  <c r="G12372" i="12" s="1"/>
  <c r="G12373" i="12" s="1"/>
  <c r="G12374" i="12" s="1"/>
  <c r="G12375" i="12" s="1"/>
  <c r="G12376" i="12" s="1"/>
  <c r="G12377" i="12" s="1"/>
  <c r="G12378" i="12" s="1"/>
  <c r="G12379" i="12" s="1"/>
  <c r="G12380" i="12" l="1"/>
  <c r="G12381" i="12" l="1"/>
  <c r="G12382" i="12" s="1"/>
  <c r="G12383" i="12" s="1"/>
  <c r="G12384" i="12" s="1"/>
  <c r="G12385" i="12" s="1"/>
  <c r="G12386" i="12" s="1"/>
  <c r="G12387" i="12" s="1"/>
  <c r="G12388" i="12" s="1"/>
  <c r="G12389" i="12" l="1"/>
  <c r="G12390" i="12" s="1"/>
  <c r="G12391" i="12" s="1"/>
  <c r="G12392" i="12" l="1"/>
  <c r="G12393" i="12" s="1"/>
  <c r="G12394" i="12" s="1"/>
  <c r="G12395" i="12" s="1"/>
  <c r="G12396" i="12" l="1"/>
  <c r="G12397" i="12" s="1"/>
  <c r="G12398" i="12" s="1"/>
  <c r="G12399" i="12" s="1"/>
  <c r="G12400" i="12" s="1"/>
  <c r="G12401" i="12" s="1"/>
  <c r="G12402" i="12" s="1"/>
  <c r="G12403" i="12" s="1"/>
  <c r="G12404" i="12" s="1"/>
  <c r="G12405" i="12" s="1"/>
  <c r="G12406" i="12" s="1"/>
  <c r="G12407" i="12" s="1"/>
  <c r="G12408" i="12" s="1"/>
  <c r="G12409" i="12" s="1"/>
  <c r="G12410" i="12" s="1"/>
  <c r="G12411" i="12" s="1"/>
  <c r="G12412" i="12" s="1"/>
  <c r="G12413" i="12" s="1"/>
  <c r="G12414" i="12" l="1"/>
  <c r="G12415" i="12" s="1"/>
  <c r="G12416" i="12" s="1"/>
  <c r="G12417" i="12" s="1"/>
  <c r="G12418" i="12" l="1"/>
  <c r="G12419" i="12" s="1"/>
  <c r="G12420" i="12" s="1"/>
  <c r="G12421" i="12" s="1"/>
  <c r="G12422" i="12" s="1"/>
  <c r="G12423" i="12" s="1"/>
  <c r="G12424" i="12" s="1"/>
  <c r="E39" i="57"/>
  <c r="G12425" i="12" l="1"/>
  <c r="G12426" i="12" s="1"/>
  <c r="G12427" i="12" s="1"/>
  <c r="G12428" i="12" s="1"/>
  <c r="G12429" i="12" s="1"/>
  <c r="G12430" i="12" s="1"/>
  <c r="G12431" i="12" s="1"/>
  <c r="G12432" i="12" s="1"/>
  <c r="G12433" i="12" s="1"/>
  <c r="G12434" i="12" s="1"/>
  <c r="G12435" i="12" s="1"/>
  <c r="G12436" i="12" s="1"/>
  <c r="G12437" i="12" s="1"/>
  <c r="G12438" i="12" s="1"/>
  <c r="G12439" i="12" s="1"/>
  <c r="G12440" i="12" s="1"/>
  <c r="G12441" i="12" s="1"/>
  <c r="G12442" i="12" s="1"/>
  <c r="G12443" i="12" s="1"/>
  <c r="G12444" i="12" s="1"/>
  <c r="G12445" i="12" s="1"/>
  <c r="G12446" i="12" s="1"/>
  <c r="G12447" i="12" s="1"/>
  <c r="G12448" i="12" s="1"/>
  <c r="G12449" i="12" s="1"/>
  <c r="G12450" i="12" s="1"/>
  <c r="G12451" i="12" s="1"/>
  <c r="G12452" i="12" s="1"/>
  <c r="R55" i="57" l="1"/>
  <c r="E32" i="57" l="1"/>
  <c r="G12468" i="12" l="1"/>
  <c r="G12469" i="12" s="1"/>
  <c r="G12470" i="12" s="1"/>
  <c r="G12471" i="12" s="1"/>
  <c r="G12472" i="12" s="1"/>
  <c r="G12473" i="12" s="1"/>
  <c r="G12474" i="12" s="1"/>
  <c r="G12475" i="12" s="1"/>
  <c r="G12476" i="12" s="1"/>
  <c r="G12477" i="12" s="1"/>
  <c r="G12478" i="12" s="1"/>
  <c r="G12479" i="12" s="1"/>
  <c r="G12480" i="12" s="1"/>
  <c r="G12481" i="12" s="1"/>
  <c r="G12482" i="12" s="1"/>
  <c r="G12483" i="12" s="1"/>
  <c r="G12484" i="12" s="1"/>
  <c r="G12485" i="12" s="1"/>
  <c r="G12486" i="12" s="1"/>
  <c r="G12487" i="12" s="1"/>
  <c r="G12488" i="12" s="1"/>
  <c r="G12489" i="12" s="1"/>
  <c r="G12490" i="12" s="1"/>
  <c r="G12491" i="12" s="1"/>
  <c r="G12492" i="12" s="1"/>
  <c r="G12493" i="12" s="1"/>
  <c r="G12494" i="12" s="1"/>
  <c r="G12495" i="12" s="1"/>
  <c r="G12496" i="12" s="1"/>
  <c r="G12497" i="12" s="1"/>
  <c r="G12498" i="12" s="1"/>
  <c r="G12499" i="12" s="1"/>
  <c r="G12500" i="12" s="1"/>
  <c r="G12501" i="12" s="1"/>
  <c r="G12502" i="12" s="1"/>
  <c r="G12503" i="12" s="1"/>
  <c r="G12504" i="12" s="1"/>
  <c r="G12505" i="12" s="1"/>
  <c r="G12506" i="12" s="1"/>
  <c r="G12507" i="12" s="1"/>
  <c r="G12508" i="12" s="1"/>
  <c r="G12509" i="12" s="1"/>
  <c r="G12510" i="12" s="1"/>
  <c r="G12511" i="12" s="1"/>
  <c r="G12512" i="12" s="1"/>
  <c r="G12513" i="12" s="1"/>
  <c r="G12514" i="12" s="1"/>
  <c r="G12515" i="12" s="1"/>
  <c r="G12516" i="12" s="1"/>
  <c r="G12517" i="12" s="1"/>
  <c r="G12518" i="12" s="1"/>
  <c r="G12519" i="12" s="1"/>
  <c r="G12520" i="12" s="1"/>
  <c r="G12521" i="12" s="1"/>
  <c r="G12522" i="12" s="1"/>
  <c r="G12523" i="12" s="1"/>
  <c r="G12524" i="12" s="1"/>
  <c r="G12525" i="12" s="1"/>
  <c r="G12526" i="12" s="1"/>
  <c r="G12527" i="12" s="1"/>
  <c r="G12528" i="12" s="1"/>
  <c r="G12529" i="12" s="1"/>
  <c r="G12530" i="12" s="1"/>
  <c r="G12531" i="12" s="1"/>
  <c r="G12532" i="12" s="1"/>
  <c r="G12533" i="12" s="1"/>
  <c r="G12534" i="12" s="1"/>
  <c r="G12535" i="12" s="1"/>
  <c r="G12536" i="12" s="1"/>
  <c r="G12537" i="12" s="1"/>
  <c r="G12538" i="12" s="1"/>
  <c r="G12539" i="12" s="1"/>
  <c r="G12540" i="12" s="1"/>
  <c r="G12541" i="12" s="1"/>
  <c r="G12542" i="12" s="1"/>
  <c r="G12543" i="12" s="1"/>
  <c r="G12544" i="12" s="1"/>
  <c r="G12545" i="12" s="1"/>
  <c r="G12546" i="12" s="1"/>
  <c r="G12547" i="12" s="1"/>
  <c r="G12548" i="12" s="1"/>
  <c r="G12549" i="12" s="1"/>
  <c r="G12550" i="12" s="1"/>
  <c r="G12551" i="12" s="1"/>
  <c r="G12552" i="12" s="1"/>
  <c r="G12553" i="12" s="1"/>
  <c r="G12554" i="12" s="1"/>
  <c r="G12555" i="12" s="1"/>
  <c r="G12556" i="12" s="1"/>
  <c r="G12557" i="12" s="1"/>
  <c r="G12558" i="12" s="1"/>
  <c r="G12559" i="12" s="1"/>
  <c r="G12560" i="12" s="1"/>
  <c r="G12561" i="12" s="1"/>
  <c r="G12562" i="12" s="1"/>
  <c r="G12563" i="12" s="1"/>
  <c r="G12564" i="12" s="1"/>
  <c r="G12565" i="12" s="1"/>
  <c r="G12566" i="12" s="1"/>
  <c r="G12567" i="12" s="1"/>
  <c r="G12568" i="12" s="1"/>
  <c r="G12569" i="12" s="1"/>
  <c r="G12570" i="12" s="1"/>
  <c r="G12571" i="12" s="1"/>
  <c r="G12572" i="12" s="1"/>
  <c r="G12573" i="12" s="1"/>
  <c r="G12574" i="12" s="1"/>
  <c r="G12575" i="12" s="1"/>
  <c r="G12576" i="12" s="1"/>
  <c r="G12577" i="12" s="1"/>
  <c r="G12578" i="12" s="1"/>
  <c r="G12579" i="12" s="1"/>
  <c r="G12580" i="12" s="1"/>
  <c r="G12581" i="12" s="1"/>
  <c r="G12582" i="12" s="1"/>
  <c r="G12583" i="12" s="1"/>
  <c r="G12584" i="12" s="1"/>
  <c r="G12585" i="12" s="1"/>
  <c r="G12586" i="12" s="1"/>
  <c r="G12587" i="12" s="1"/>
  <c r="G12588" i="12" s="1"/>
  <c r="G12589" i="12" s="1"/>
  <c r="G12590" i="12" s="1"/>
  <c r="G12591" i="12" s="1"/>
  <c r="G12592" i="12" s="1"/>
  <c r="G12593" i="12" s="1"/>
  <c r="G12594" i="12" s="1"/>
  <c r="G12595" i="12" s="1"/>
  <c r="G12596" i="12" s="1"/>
  <c r="G12597" i="12" s="1"/>
  <c r="G12598" i="12" s="1"/>
  <c r="G12599" i="12" s="1"/>
  <c r="G12600" i="12" s="1"/>
  <c r="G12601" i="12" s="1"/>
  <c r="G12602" i="12" s="1"/>
  <c r="G12603" i="12" s="1"/>
  <c r="G12604" i="12" s="1"/>
  <c r="G12605" i="12" s="1"/>
  <c r="G12606" i="12" s="1"/>
  <c r="G12607" i="12" s="1"/>
  <c r="G12608" i="12" s="1"/>
  <c r="G12609" i="12" s="1"/>
  <c r="G12610" i="12" s="1"/>
  <c r="G12611" i="12" s="1"/>
  <c r="G12612" i="12" s="1"/>
  <c r="G12613" i="12" s="1"/>
  <c r="G12614" i="12" s="1"/>
  <c r="G12615" i="12" s="1"/>
  <c r="G12616" i="12" s="1"/>
  <c r="G12617" i="12" s="1"/>
  <c r="G12618" i="12" s="1"/>
  <c r="G12619" i="12" s="1"/>
  <c r="G12620" i="12" s="1"/>
  <c r="G12621" i="12" s="1"/>
  <c r="G12622" i="12" s="1"/>
  <c r="G12623" i="12" s="1"/>
  <c r="G12624" i="12" s="1"/>
  <c r="G12625" i="12" s="1"/>
  <c r="G12626" i="12" s="1"/>
  <c r="G12627" i="12" s="1"/>
  <c r="G12628" i="12" s="1"/>
  <c r="G12629" i="12" s="1"/>
  <c r="G12630" i="12" s="1"/>
  <c r="G12631" i="12" s="1"/>
  <c r="G12632" i="12" s="1"/>
  <c r="G12633" i="12" s="1"/>
  <c r="G12634" i="12" s="1"/>
  <c r="G12635" i="12" s="1"/>
  <c r="G12636" i="12" s="1"/>
  <c r="G12637" i="12" s="1"/>
  <c r="G12638" i="12" s="1"/>
  <c r="G12639" i="12" s="1"/>
  <c r="G12640" i="12" s="1"/>
  <c r="G12641" i="12" s="1"/>
  <c r="G12642" i="12" s="1"/>
  <c r="G12643" i="12" s="1"/>
  <c r="G12644" i="12" s="1"/>
  <c r="G12645" i="12" s="1"/>
  <c r="G12646" i="12" s="1"/>
  <c r="G12647" i="12" s="1"/>
  <c r="G12648" i="12" s="1"/>
  <c r="G12649" i="12" s="1"/>
  <c r="G12650" i="12" s="1"/>
  <c r="G12651" i="12" s="1"/>
  <c r="G12652" i="12" s="1"/>
  <c r="G12653" i="12" s="1"/>
  <c r="G12654" i="12" s="1"/>
  <c r="G12655" i="12" s="1"/>
  <c r="G12656" i="12" s="1"/>
  <c r="G12657" i="12" s="1"/>
  <c r="G12658" i="12" s="1"/>
  <c r="G12659" i="12" s="1"/>
  <c r="G12660" i="12" s="1"/>
  <c r="G12661" i="12" s="1"/>
  <c r="G12662" i="12" s="1"/>
  <c r="G12663" i="12" s="1"/>
  <c r="G12664" i="12" s="1"/>
  <c r="G12665" i="12" s="1"/>
  <c r="G12666" i="12" s="1"/>
  <c r="G12667" i="12" s="1"/>
  <c r="G12668" i="12" s="1"/>
  <c r="D12" i="57" s="1"/>
  <c r="D17" i="57" s="1"/>
  <c r="E30" i="57" s="1"/>
  <c r="D20" i="57"/>
  <c r="S54" i="57" l="1"/>
  <c r="N9" i="57" s="1"/>
  <c r="N3" i="57" s="1"/>
  <c r="M5" i="57" s="1"/>
  <c r="E33" i="57" l="1"/>
  <c r="D21" i="57" l="1"/>
  <c r="D24" i="57" s="1"/>
  <c r="E37" i="57"/>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<sst xmlns="http://schemas.openxmlformats.org/spreadsheetml/2006/main" count="86623" uniqueCount="16338">
  <si>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</si>
  <si>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</si>
  <si>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</si>
  <si>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</si>
  <si>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</si>
  <si>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</si>
  <si>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</si>
  <si>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</si>
  <si>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</si>
  <si>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</si>
  <si>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</si>
  <si>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</si>
  <si>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</si>
  <si>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</si>
  <si>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</si>
  <si>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</si>
  <si>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</si>
  <si>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</si>
  <si>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</si>
  <si>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</si>
  <si>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</si>
  <si>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</si>
  <si>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</si>
  <si>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</si>
  <si>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</si>
  <si>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</si>
  <si>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</si>
  <si>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</si>
  <si>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</si>
  <si>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</si>
  <si>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</si>
  <si>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</si>
  <si>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</si>
  <si>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</si>
  <si>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</si>
  <si>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</si>
  <si>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</si>
  <si>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</si>
  <si>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</si>
  <si>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</si>
  <si>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</si>
  <si>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</si>
  <si>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</si>
  <si>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</si>
  <si>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</si>
  <si>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</si>
  <si>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</si>
  <si>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</si>
  <si>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</si>
  <si>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</si>
  <si>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</si>
  <si>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</si>
  <si>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</si>
  <si>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</si>
  <si>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</si>
  <si>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</si>
  <si>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</si>
  <si>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</si>
  <si>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</si>
  <si>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</si>
  <si>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</si>
  <si>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</si>
  <si>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</si>
  <si>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</si>
  <si>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</si>
  <si>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</si>
  <si>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</si>
  <si>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</si>
  <si>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</si>
  <si>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</si>
  <si>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</si>
  <si>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</si>
  <si>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</si>
  <si>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</si>
  <si>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</si>
  <si>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</si>
  <si>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</si>
  <si>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</si>
  <si>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</si>
  <si>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</si>
  <si>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</si>
  <si>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</si>
  <si>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</si>
  <si>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</si>
  <si>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</si>
  <si>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</si>
  <si>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</si>
  <si>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</si>
  <si>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</si>
  <si>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</si>
  <si>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</si>
  <si>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</si>
  <si>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</si>
  <si>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</si>
  <si>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</si>
  <si>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</si>
  <si>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</si>
  <si>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</si>
  <si>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</si>
  <si>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</si>
  <si>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</si>
  <si>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</si>
  <si>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</si>
  <si>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</si>
  <si>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</si>
  <si>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</si>
  <si>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</si>
  <si>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</si>
  <si>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</si>
  <si>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</si>
  <si>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</si>
  <si>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</si>
  <si>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</si>
  <si>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</si>
  <si>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</si>
  <si>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</si>
  <si>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</si>
  <si>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</si>
  <si>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</si>
  <si>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</si>
  <si>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</si>
  <si>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</si>
  <si>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</si>
  <si>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</si>
  <si>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</si>
  <si>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</si>
  <si>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</si>
  <si>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</si>
  <si>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</si>
  <si>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</si>
  <si>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</si>
  <si>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</si>
  <si>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</si>
  <si>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</si>
  <si>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</si>
  <si>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</si>
  <si>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</si>
  <si>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</si>
  <si>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</si>
  <si>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</si>
  <si>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</si>
  <si>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</si>
  <si>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</si>
  <si>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</si>
  <si>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</si>
  <si>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</si>
  <si>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</si>
  <si>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</si>
  <si>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</si>
  <si>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</si>
  <si>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</si>
  <si>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</si>
  <si>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</si>
  <si>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</si>
  <si>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</si>
  <si>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</si>
  <si>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</si>
  <si>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</si>
  <si>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</si>
  <si>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</si>
  <si>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</si>
  <si>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</si>
  <si>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</si>
  <si>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</si>
  <si>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</si>
  <si>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</si>
  <si>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</si>
  <si>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</si>
  <si>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</si>
  <si>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</si>
  <si>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</si>
  <si>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</si>
  <si>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</si>
  <si>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</si>
  <si>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</si>
  <si>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</si>
  <si>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</si>
  <si>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</si>
  <si>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</si>
  <si>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</si>
  <si>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</si>
  <si>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</si>
  <si>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</si>
  <si>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</si>
  <si>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</si>
  <si>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</si>
  <si>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</si>
  <si>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</si>
  <si>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</si>
  <si>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</si>
  <si>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</si>
  <si>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</si>
  <si>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</si>
  <si>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</si>
  <si>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</si>
  <si>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</si>
  <si>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</si>
  <si>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</si>
  <si>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</si>
  <si>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</si>
  <si>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</si>
  <si>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</si>
  <si>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</si>
  <si>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</si>
  <si>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</si>
  <si>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</si>
  <si>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</si>
  <si>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</si>
  <si>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</si>
  <si>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</si>
  <si>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</si>
  <si>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</si>
  <si>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</si>
  <si>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</si>
  <si>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</si>
  <si>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</si>
  <si>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</si>
  <si>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</si>
  <si>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</si>
  <si>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</si>
  <si>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</si>
  <si>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</si>
  <si>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</si>
  <si>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</si>
  <si>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</si>
  <si>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</si>
  <si>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</si>
  <si>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</si>
  <si>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</si>
  <si>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</si>
  <si>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</si>
  <si>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</si>
  <si>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</si>
  <si>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</si>
  <si>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</si>
  <si>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</si>
  <si>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</si>
  <si>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</si>
  <si>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</si>
  <si>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</si>
  <si>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</si>
  <si>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</si>
  <si>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</si>
  <si>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</si>
  <si>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</si>
  <si>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</si>
  <si>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</si>
  <si>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</si>
  <si>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</si>
  <si>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</si>
  <si>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</si>
  <si>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</si>
  <si>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</si>
  <si>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</si>
  <si>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</si>
  <si>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</si>
  <si>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</si>
  <si>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</si>
  <si>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</si>
  <si>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</si>
  <si>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</si>
  <si>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</si>
  <si>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</si>
  <si>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</si>
  <si>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</si>
  <si>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</si>
  <si>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</si>
  <si>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</si>
  <si>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</si>
  <si>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</si>
  <si>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</si>
  <si>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</si>
  <si>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</si>
  <si>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</si>
  <si>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</si>
  <si>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</si>
  <si>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</si>
  <si>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</si>
  <si>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</si>
  <si>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</si>
  <si>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</si>
  <si>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</si>
  <si>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</si>
  <si>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</si>
  <si>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</si>
  <si>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</si>
  <si>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</si>
  <si>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</si>
  <si>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</si>
  <si>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</si>
  <si>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</si>
  <si>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</si>
  <si>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</si>
  <si>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</si>
  <si>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</si>
  <si>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</si>
  <si>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</si>
  <si>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</si>
  <si>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</si>
  <si>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</si>
  <si>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</si>
  <si>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</si>
  <si>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</si>
  <si>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</si>
  <si>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</si>
  <si>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</si>
  <si>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</si>
  <si>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</si>
  <si>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</si>
  <si>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</si>
  <si>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</si>
  <si>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</si>
  <si>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</si>
  <si>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</si>
  <si>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</si>
  <si>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</si>
  <si>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</si>
  <si>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</si>
  <si>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</si>
  <si>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</si>
  <si>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</si>
  <si>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</si>
  <si>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</si>
  <si>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</si>
  <si>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</si>
  <si>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</si>
  <si>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</si>
  <si>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</si>
  <si>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</si>
  <si>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</si>
  <si>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</si>
  <si>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</si>
  <si>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</si>
  <si>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</si>
  <si>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</si>
  <si>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</si>
  <si>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</si>
  <si>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</si>
  <si>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</si>
  <si>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</si>
  <si>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</si>
  <si>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</si>
  <si>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</si>
  <si>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</si>
  <si>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</si>
  <si>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</si>
  <si>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</si>
  <si>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</si>
  <si>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</si>
  <si>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</si>
  <si>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</si>
  <si>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</si>
  <si>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</si>
  <si>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</si>
  <si>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</si>
  <si>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</si>
  <si>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</si>
  <si>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</si>
  <si>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</si>
  <si>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</si>
  <si>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</si>
  <si>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</si>
  <si>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</si>
  <si>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</si>
  <si>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</si>
  <si>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</si>
  <si>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</si>
  <si>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</si>
  <si>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</si>
  <si>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</si>
  <si>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</si>
  <si>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</si>
  <si>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</si>
  <si>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</si>
  <si>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</si>
  <si>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</si>
  <si>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</si>
  <si>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</si>
  <si>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</si>
  <si>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</si>
  <si>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</si>
  <si>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</si>
  <si>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</si>
  <si>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</si>
  <si>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</si>
  <si>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</si>
  <si>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</si>
  <si>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</si>
  <si>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</si>
  <si>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</si>
  <si>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</si>
  <si>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</si>
  <si>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</si>
  <si>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</si>
  <si>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</si>
  <si>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</si>
  <si>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</si>
  <si>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</si>
  <si>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</si>
  <si>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</si>
  <si>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</si>
  <si>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</si>
  <si>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</si>
  <si>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</si>
  <si>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</si>
  <si>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</si>
  <si>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</si>
  <si>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</si>
  <si>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</si>
  <si>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</si>
  <si>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</si>
  <si>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</si>
  <si>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</si>
  <si>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</si>
  <si>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</si>
  <si>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</si>
  <si>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</si>
  <si>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</si>
  <si>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</si>
  <si>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</si>
  <si>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</si>
  <si>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</si>
  <si>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</si>
  <si>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</si>
  <si>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</si>
  <si>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</si>
  <si>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</si>
  <si>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</si>
  <si>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</si>
  <si>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</si>
  <si>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</si>
  <si>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</si>
  <si>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</si>
  <si>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</si>
  <si>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</si>
  <si>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</si>
  <si>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</si>
  <si>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</si>
  <si>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</si>
  <si>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</si>
  <si>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</si>
  <si>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</si>
  <si>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</si>
  <si>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</si>
  <si>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</si>
  <si>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</si>
  <si>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</si>
  <si>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</si>
  <si>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</si>
  <si>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</si>
  <si>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</si>
  <si>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</si>
  <si>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</si>
  <si>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</si>
  <si>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</si>
  <si>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</si>
  <si>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</si>
  <si>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</si>
  <si>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</si>
  <si>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</si>
  <si>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</si>
  <si>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</si>
  <si>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</si>
  <si>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</si>
  <si>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</si>
  <si>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</si>
  <si>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</si>
  <si>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</si>
  <si>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</si>
  <si>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</si>
  <si>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</si>
  <si>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</si>
  <si>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</si>
  <si>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</si>
  <si>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</si>
  <si>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</si>
  <si>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</si>
  <si>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</si>
  <si>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</si>
  <si>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</si>
  <si>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</si>
  <si>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</si>
  <si>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</si>
  <si>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</si>
  <si>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</si>
  <si>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</si>
  <si>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</si>
  <si>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</si>
  <si>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</si>
  <si>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</si>
  <si>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</si>
  <si>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</si>
  <si>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</si>
  <si>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</si>
  <si>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</si>
  <si>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</si>
  <si>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</si>
  <si>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</si>
  <si>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</si>
  <si>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</si>
  <si>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</si>
  <si>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</si>
  <si>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</si>
  <si>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</si>
  <si>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</si>
  <si>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</si>
  <si>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</si>
  <si>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</si>
  <si>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</si>
  <si>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</si>
  <si>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</si>
  <si>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</si>
  <si>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</si>
  <si>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</si>
  <si>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</si>
  <si>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</si>
  <si>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</si>
  <si>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</si>
  <si>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</si>
  <si>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</si>
  <si>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</si>
  <si>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</si>
  <si>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</si>
  <si>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</si>
  <si>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</si>
  <si>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</si>
  <si>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</si>
  <si>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</si>
  <si>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</si>
  <si>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</si>
  <si>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</si>
  <si>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</si>
  <si>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</si>
  <si>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</si>
  <si>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</si>
  <si>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</si>
  <si>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</si>
  <si>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</si>
  <si>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</si>
  <si>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</si>
  <si>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</si>
  <si>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</si>
  <si>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</si>
  <si>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</si>
  <si>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</si>
  <si>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</si>
  <si>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</si>
  <si>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</si>
  <si>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</si>
  <si>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</si>
  <si>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</si>
  <si>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</si>
  <si>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</si>
  <si>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</si>
  <si>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</si>
  <si>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</si>
  <si>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</si>
  <si>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</si>
  <si>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</si>
  <si>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</si>
  <si>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</si>
  <si>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</si>
  <si>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</si>
  <si>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</si>
  <si>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</si>
  <si>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</si>
  <si>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</si>
  <si>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</si>
  <si>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</si>
  <si>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</si>
  <si>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</si>
  <si>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</si>
  <si>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</si>
  <si>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</si>
  <si>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</si>
  <si>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</si>
  <si>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</si>
  <si>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</si>
  <si>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</si>
  <si>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</si>
  <si>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</si>
  <si>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</si>
  <si>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</si>
  <si>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</si>
  <si>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</si>
  <si>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</si>
  <si>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</si>
  <si>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</si>
  <si>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</si>
  <si>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</si>
  <si>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</si>
  <si>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</si>
  <si>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</si>
  <si>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</si>
  <si>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</si>
  <si>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</si>
  <si>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</si>
  <si>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</si>
  <si>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</si>
  <si>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</si>
  <si>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</si>
  <si>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</si>
  <si>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</si>
  <si>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</si>
  <si>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</si>
  <si>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</si>
  <si>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</si>
  <si>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</si>
  <si>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</si>
  <si>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</si>
  <si>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</si>
  <si>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</si>
  <si>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</si>
  <si>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</si>
  <si>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</si>
  <si>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</si>
  <si>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</si>
  <si>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</si>
  <si>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</si>
  <si>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</si>
  <si>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</si>
  <si>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</si>
  <si>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</si>
  <si>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</si>
  <si>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</si>
  <si>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</si>
  <si>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</si>
  <si>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</si>
  <si>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</si>
  <si>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</si>
  <si>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</si>
  <si>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</si>
  <si>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</si>
  <si>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</si>
  <si>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</si>
  <si>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</si>
  <si>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</si>
  <si>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</si>
  <si>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</si>
  <si>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</si>
  <si>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</si>
  <si>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</si>
  <si>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</si>
  <si>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</si>
  <si>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</si>
  <si>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</si>
  <si>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</si>
  <si>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</si>
  <si>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</si>
  <si>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</si>
  <si>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</si>
  <si>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</si>
  <si>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</si>
  <si>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</si>
  <si>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</si>
  <si>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</si>
  <si>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</si>
  <si>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</si>
  <si>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</si>
  <si>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</si>
  <si>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</si>
  <si>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</si>
  <si>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</si>
  <si>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</si>
  <si>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</si>
  <si>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</si>
  <si>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</si>
  <si>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</si>
  <si>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</si>
  <si>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</si>
  <si>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</si>
  <si>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</si>
  <si>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</si>
  <si>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</si>
  <si>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</si>
  <si>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</si>
  <si>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</si>
  <si>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</si>
  <si>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</si>
  <si>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</si>
  <si>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</si>
  <si>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</si>
  <si>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</si>
  <si>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</si>
  <si>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</si>
  <si>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</si>
  <si>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</si>
  <si>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</si>
  <si>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</si>
  <si>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</si>
  <si>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</si>
  <si>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</si>
  <si>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</si>
  <si>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</si>
  <si>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</si>
  <si>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</si>
  <si>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</si>
  <si>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</si>
  <si>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</si>
  <si>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</si>
  <si>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</si>
  <si>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</si>
  <si>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</si>
  <si>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</si>
  <si>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</si>
  <si>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</si>
  <si>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</si>
  <si>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</si>
  <si>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</si>
  <si>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</si>
  <si>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</si>
  <si>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</si>
  <si>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</si>
  <si>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</si>
  <si>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</si>
  <si>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</si>
  <si>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</si>
  <si>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</si>
  <si>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</si>
  <si>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</si>
  <si>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</si>
  <si>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</si>
  <si>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</si>
  <si>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</si>
  <si>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</si>
  <si>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</si>
  <si>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</si>
  <si>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</si>
  <si>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</si>
  <si>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</si>
  <si>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</si>
  <si>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</si>
  <si>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</si>
  <si>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</si>
  <si>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</si>
  <si>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</si>
  <si>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</si>
  <si>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</si>
  <si>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</si>
  <si>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</si>
  <si>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</si>
  <si>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</si>
  <si>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</si>
  <si>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</si>
  <si>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</si>
  <si>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</si>
  <si>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</si>
  <si>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</si>
  <si>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</si>
  <si>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</si>
  <si>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</si>
  <si>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</si>
  <si>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</si>
  <si>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</si>
  <si>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</si>
  <si>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</si>
  <si>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</si>
  <si>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</si>
  <si>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</si>
  <si>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</si>
  <si>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</si>
  <si>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</si>
  <si>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</si>
  <si>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</si>
  <si>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</si>
  <si>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</si>
  <si>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</si>
  <si>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</si>
  <si>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</si>
  <si>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</si>
  <si>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</si>
  <si>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</si>
  <si>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</si>
  <si>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</si>
  <si>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</si>
  <si>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</si>
  <si>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</si>
  <si>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</si>
  <si>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</si>
  <si>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</si>
  <si>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</si>
  <si>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</si>
  <si>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</si>
  <si>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</si>
  <si>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</si>
  <si>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</si>
  <si>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</si>
  <si>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</si>
  <si>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</si>
  <si>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</si>
  <si>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</si>
  <si>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</si>
  <si>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</si>
  <si>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</si>
  <si>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</si>
  <si>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</si>
  <si>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</si>
  <si>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</si>
  <si>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</si>
  <si>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</si>
  <si>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</si>
  <si>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</si>
  <si>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</si>
  <si>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</si>
  <si>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</si>
  <si>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</si>
  <si>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</si>
  <si>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</si>
  <si>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</si>
  <si>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</si>
  <si>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</si>
  <si>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</si>
  <si>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</si>
  <si>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</si>
  <si>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</si>
  <si>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</si>
  <si>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</si>
  <si>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</si>
  <si>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</si>
  <si>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</si>
  <si>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</si>
  <si>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</si>
  <si>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</si>
  <si>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</si>
  <si>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</si>
  <si>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</si>
  <si>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</si>
  <si>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</si>
  <si>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</si>
  <si>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</si>
  <si>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</si>
  <si>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</si>
  <si>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</si>
  <si>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</si>
  <si>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</si>
  <si>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</si>
  <si>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</si>
  <si>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</si>
  <si>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</si>
  <si>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</si>
  <si>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</si>
  <si>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</si>
  <si>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</si>
  <si>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</si>
  <si>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</si>
  <si>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</si>
  <si>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</si>
  <si>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</si>
  <si>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</si>
  <si>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</si>
  <si>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</si>
  <si>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</si>
  <si>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</si>
  <si>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</si>
  <si>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</si>
  <si>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</si>
  <si>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</si>
  <si>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</si>
  <si>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</si>
  <si>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</si>
  <si>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</si>
  <si>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</si>
  <si>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</si>
  <si>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</si>
  <si>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</si>
  <si>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</si>
  <si>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</si>
  <si>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</si>
  <si>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</si>
  <si>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</si>
  <si>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</si>
  <si>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</si>
  <si>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</si>
  <si>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</si>
  <si>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</si>
  <si>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</si>
  <si>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</si>
  <si>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</si>
  <si>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</si>
  <si>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</si>
  <si>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</si>
  <si>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</si>
  <si>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</si>
  <si>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</si>
  <si>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</si>
  <si>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</si>
  <si>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</si>
  <si>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</si>
  <si>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</si>
  <si>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</si>
  <si>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</si>
  <si>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</si>
  <si>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</si>
  <si>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</si>
  <si>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</si>
  <si>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</si>
  <si>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</si>
  <si>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</si>
  <si>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</si>
  <si>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</si>
  <si>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</si>
  <si>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</si>
  <si>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</si>
  <si>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</si>
  <si>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</si>
  <si>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</si>
  <si>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</si>
  <si>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</si>
  <si>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</si>
  <si>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</si>
  <si>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</si>
  <si>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</si>
  <si>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</si>
  <si>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</si>
  <si>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</si>
  <si>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</si>
  <si>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</si>
  <si>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</si>
  <si>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</si>
  <si>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</si>
  <si>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</si>
  <si>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</si>
  <si>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</si>
  <si>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</si>
  <si>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</si>
  <si>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</si>
  <si>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</si>
  <si>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</si>
  <si>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</si>
  <si>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</si>
  <si>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</si>
  <si>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</si>
  <si>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</si>
  <si>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</si>
  <si>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</si>
  <si>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</si>
  <si>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</si>
  <si>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</si>
  <si>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</si>
  <si>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</si>
  <si>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</si>
  <si>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</si>
  <si>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</si>
  <si>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</si>
  <si>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</si>
  <si>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</si>
  <si>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</si>
  <si>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</si>
  <si>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</si>
  <si>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</si>
  <si>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</si>
  <si>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</si>
  <si>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</si>
  <si>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</si>
  <si>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</si>
  <si>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</si>
  <si>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</si>
  <si>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</si>
  <si>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</si>
  <si>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</si>
  <si>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</si>
  <si>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</si>
  <si>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</si>
  <si>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</si>
  <si>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</si>
  <si>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</si>
  <si>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</si>
  <si>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</si>
  <si>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</si>
  <si>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</si>
  <si>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</si>
  <si>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</si>
  <si>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</si>
  <si>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</si>
  <si>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</si>
  <si>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</si>
  <si>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</si>
  <si>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</si>
  <si>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</si>
  <si>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</si>
  <si>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</si>
  <si>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</si>
  <si>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</si>
  <si>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</si>
  <si>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</si>
  <si>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</si>
  <si>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</si>
  <si>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</si>
  <si>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</si>
  <si>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</si>
  <si>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</si>
  <si>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</si>
  <si>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</si>
  <si>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</si>
  <si>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</si>
  <si>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</si>
  <si>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</si>
  <si>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</si>
  <si>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</si>
  <si>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</si>
  <si>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</si>
  <si>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</si>
  <si>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</si>
  <si>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</si>
  <si>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</si>
  <si>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</si>
  <si>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</si>
  <si>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</si>
  <si>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</si>
  <si>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</si>
  <si>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</si>
  <si>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</si>
  <si>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</si>
  <si>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</si>
  <si>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</si>
  <si>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</si>
  <si>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</si>
  <si>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</si>
  <si>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</si>
  <si>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</si>
  <si>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</si>
  <si>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</si>
  <si>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</si>
  <si>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</si>
  <si>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</si>
  <si>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</si>
  <si>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</si>
  <si>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</si>
  <si>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</si>
  <si>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</si>
  <si>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</si>
  <si>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</si>
  <si>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</si>
  <si>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</si>
  <si>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</si>
  <si>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</si>
  <si>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</si>
  <si>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</si>
  <si>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</si>
  <si>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</si>
  <si>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</si>
  <si>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</si>
  <si>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</si>
  <si>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</si>
  <si>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</si>
  <si>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</si>
  <si>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</si>
  <si>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</si>
  <si>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</si>
  <si>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</si>
  <si>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</si>
  <si>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</si>
  <si>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</si>
  <si>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</si>
  <si>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</si>
  <si>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</si>
  <si>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</si>
  <si>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</si>
  <si>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</si>
  <si>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</si>
  <si>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</si>
  <si>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</si>
  <si>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</si>
  <si>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</si>
  <si>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</si>
  <si>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</si>
  <si>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</si>
  <si>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</si>
  <si>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</si>
  <si>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</si>
  <si>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</si>
  <si>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</si>
  <si>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</si>
  <si>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</si>
  <si>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</si>
  <si>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</si>
  <si>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</si>
  <si>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</si>
  <si>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</si>
  <si>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</si>
  <si>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</si>
  <si>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</si>
  <si>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</si>
  <si>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</si>
  <si>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</si>
  <si>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</si>
  <si>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</si>
  <si>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</si>
  <si>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</si>
  <si>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</si>
  <si>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</si>
  <si>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</si>
  <si>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</si>
  <si>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</si>
  <si>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</si>
  <si>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</si>
  <si>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</si>
  <si>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</si>
  <si>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</si>
  <si>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</si>
  <si>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</si>
  <si>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</si>
  <si>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</si>
  <si>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</si>
  <si>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</si>
  <si>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</si>
  <si>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</si>
  <si>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</si>
  <si>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</si>
  <si>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</si>
  <si>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</si>
  <si>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</si>
  <si>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</si>
  <si>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</si>
  <si>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</si>
  <si>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</si>
  <si>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</si>
  <si>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</si>
  <si>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</si>
  <si>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</si>
  <si>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</si>
  <si>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</si>
  <si>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</si>
  <si>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</si>
  <si>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</si>
  <si>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</si>
  <si>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</si>
  <si>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</si>
  <si>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</si>
  <si>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</si>
  <si>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</si>
  <si>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</si>
  <si>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</si>
  <si>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</si>
  <si>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</si>
  <si>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</si>
  <si>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</si>
  <si>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</si>
  <si>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</si>
  <si>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</si>
  <si>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</si>
  <si>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</si>
  <si>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</si>
  <si>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</si>
  <si>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</si>
  <si>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</si>
  <si>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</si>
  <si>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</si>
  <si>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</si>
  <si>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</si>
  <si>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</si>
  <si>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</si>
  <si>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</si>
  <si>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</si>
  <si>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</si>
  <si>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</si>
  <si>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</si>
  <si>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</si>
  <si>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</si>
  <si>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</si>
  <si>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</si>
  <si>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</si>
  <si>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</si>
  <si>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</si>
  <si>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</si>
  <si>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</si>
  <si>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</si>
  <si>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</si>
  <si>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</si>
  <si>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</si>
  <si>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</si>
  <si>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</si>
  <si>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</si>
  <si>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</si>
  <si>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</si>
  <si>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</si>
  <si>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</si>
  <si>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</si>
  <si>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</si>
  <si>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</si>
  <si>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</si>
  <si>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</si>
  <si>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</si>
  <si>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</si>
  <si>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</si>
  <si>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</si>
  <si>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</si>
  <si>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</si>
  <si>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</si>
  <si>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</si>
  <si>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</si>
  <si>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</si>
  <si>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</si>
  <si>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</si>
  <si>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</si>
  <si>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</si>
  <si>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</si>
  <si>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</si>
  <si>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</si>
  <si>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</si>
  <si>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</si>
  <si>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</si>
  <si>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</si>
  <si>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</si>
  <si>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</si>
  <si>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</si>
  <si>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</si>
  <si>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</si>
  <si>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</si>
  <si>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</si>
  <si>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</si>
  <si>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</si>
  <si>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</si>
  <si>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</si>
  <si>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</si>
  <si>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</si>
  <si>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</si>
  <si>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</si>
  <si>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</si>
  <si>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</si>
  <si>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</si>
  <si>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</si>
  <si>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</si>
  <si>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</si>
  <si>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</si>
  <si>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</si>
  <si>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</si>
  <si>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</si>
  <si>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</si>
  <si>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</si>
  <si>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</si>
  <si>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</si>
  <si>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</si>
  <si>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</si>
  <si>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</si>
  <si>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</si>
  <si>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</si>
  <si>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</si>
  <si>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</si>
  <si>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</si>
  <si>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</si>
  <si>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</si>
  <si>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</si>
  <si>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</si>
  <si>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</si>
  <si>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</si>
  <si>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</si>
  <si>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</si>
  <si>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</si>
  <si>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</si>
  <si>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</si>
  <si>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</si>
  <si>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</si>
  <si>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</si>
  <si>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</si>
  <si>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</si>
  <si>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</si>
  <si>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</si>
  <si>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</si>
  <si>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</si>
  <si>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</si>
  <si>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</si>
  <si>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</si>
  <si>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</si>
  <si>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</si>
  <si>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</si>
  <si>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</si>
  <si>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</si>
  <si>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</si>
  <si>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</si>
  <si>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</si>
  <si>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</si>
  <si>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</si>
  <si>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</si>
  <si>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</si>
  <si>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</si>
  <si>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</si>
  <si>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</si>
  <si>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</si>
  <si>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</si>
  <si>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</si>
  <si>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</si>
  <si>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</si>
  <si>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</si>
  <si>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</si>
  <si>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</si>
  <si>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</si>
  <si>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</si>
  <si>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</si>
  <si>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</si>
  <si>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</si>
  <si>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</si>
  <si>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</si>
  <si>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</si>
  <si>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</si>
  <si>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</si>
  <si>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</si>
  <si>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</si>
  <si>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</si>
  <si>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</si>
  <si>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</si>
  <si>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</si>
  <si>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</si>
  <si>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</si>
  <si>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</si>
  <si>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</si>
  <si>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</si>
  <si>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</si>
  <si>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</si>
  <si>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</si>
  <si>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</si>
  <si>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</si>
  <si>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</si>
  <si>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</si>
  <si>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</si>
  <si>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</si>
  <si>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</si>
  <si>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</si>
  <si>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</si>
  <si>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</si>
  <si>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</si>
  <si>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</si>
  <si>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</si>
  <si>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</si>
  <si>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</si>
  <si>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</si>
  <si>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</si>
  <si>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</si>
  <si>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</si>
  <si>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</si>
  <si>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</si>
  <si>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</si>
  <si>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</si>
  <si>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</si>
  <si>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</si>
  <si>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</si>
  <si>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</si>
  <si>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</si>
  <si>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</si>
  <si>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</si>
  <si>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</si>
  <si>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</si>
  <si>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</si>
  <si>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</si>
  <si>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</si>
  <si>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</si>
  <si>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</si>
  <si>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</si>
  <si>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</si>
  <si>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</si>
  <si>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</si>
  <si>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</si>
  <si>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</si>
  <si>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</si>
  <si>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</si>
  <si>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</si>
  <si>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</si>
  <si>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</si>
  <si>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</si>
  <si>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</si>
  <si>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</si>
  <si>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</si>
  <si>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</si>
  <si>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</si>
  <si>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</si>
  <si>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</si>
  <si>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</si>
  <si>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</si>
  <si>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</si>
  <si>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</si>
  <si>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</si>
  <si>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</si>
  <si>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</si>
  <si>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</si>
  <si>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</si>
  <si>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</si>
  <si>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</si>
  <si>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</si>
  <si>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</si>
  <si>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</si>
  <si>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</si>
  <si>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</si>
  <si>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</si>
  <si>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</si>
  <si>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</si>
  <si>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</si>
  <si>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</si>
  <si>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</si>
  <si>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</si>
  <si>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</si>
  <si>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</si>
  <si>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</si>
  <si>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</si>
  <si>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</si>
  <si>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</si>
  <si>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</si>
  <si>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</si>
  <si>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</si>
  <si>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</si>
  <si>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</si>
  <si>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</si>
  <si>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</si>
  <si>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</si>
  <si>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</si>
  <si>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</si>
  <si>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</si>
  <si>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</si>
  <si>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</si>
  <si>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</si>
  <si>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</si>
  <si>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</si>
  <si>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</si>
  <si>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</si>
  <si>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</si>
  <si>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</si>
  <si>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</si>
  <si>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</si>
  <si>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</si>
  <si>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</si>
  <si>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</si>
  <si>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</si>
  <si>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</si>
  <si>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</si>
  <si>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</si>
  <si>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</si>
  <si>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</si>
  <si>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</si>
  <si>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</si>
  <si>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</si>
  <si>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</si>
  <si>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</si>
  <si>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</si>
  <si>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</si>
  <si>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</si>
  <si>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</si>
  <si>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</si>
  <si>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</si>
  <si>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</si>
  <si>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</si>
  <si>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</si>
  <si>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</si>
  <si>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</si>
  <si>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</si>
  <si>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</si>
  <si>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</si>
  <si>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</si>
  <si>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</si>
  <si>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</si>
  <si>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</si>
  <si>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</si>
  <si>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</si>
  <si>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</si>
  <si>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</si>
  <si>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</si>
  <si>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</si>
  <si>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</si>
  <si>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</si>
  <si>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</si>
  <si>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</si>
  <si>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</si>
  <si>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</si>
  <si>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</si>
  <si>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</si>
  <si>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</si>
  <si>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</si>
  <si>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</si>
  <si>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</si>
  <si>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</si>
  <si>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</si>
  <si>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</si>
  <si>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</si>
  <si>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</si>
  <si>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</si>
  <si>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</si>
  <si>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</si>
  <si>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</si>
  <si>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</si>
  <si>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</si>
  <si>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</si>
  <si>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</si>
  <si>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</si>
  <si>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</si>
  <si>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</si>
  <si>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</si>
  <si>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</si>
  <si>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</si>
  <si>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</si>
  <si>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</si>
  <si>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</si>
  <si>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</si>
  <si>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</si>
  <si>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</si>
  <si>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</si>
  <si>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</si>
  <si>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</si>
  <si>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</si>
  <si>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</si>
  <si>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</si>
  <si>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</si>
  <si>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</si>
  <si>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</si>
  <si>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</si>
  <si>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</si>
  <si>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</si>
  <si>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</si>
  <si>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</si>
  <si>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</si>
  <si>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</si>
  <si>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</si>
  <si>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</si>
  <si>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</si>
  <si>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</si>
  <si>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</si>
  <si>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</si>
  <si>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</si>
  <si>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</si>
  <si>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</si>
  <si>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</si>
  <si>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</si>
  <si>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</si>
  <si>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</si>
  <si>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</si>
  <si>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</si>
  <si>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</si>
  <si>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</si>
  <si>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</si>
  <si>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</si>
  <si>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</si>
  <si>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</si>
  <si>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</si>
  <si>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</si>
  <si>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</si>
  <si>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</si>
  <si>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</si>
  <si>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</si>
  <si>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</si>
  <si>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</si>
  <si>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</si>
  <si>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</si>
  <si>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</si>
  <si>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</si>
  <si>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</si>
  <si>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</si>
  <si>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</si>
  <si>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</si>
  <si>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</si>
  <si>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</si>
  <si>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</si>
  <si>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</si>
  <si>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</si>
  <si>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</si>
  <si>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</si>
  <si>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</si>
  <si>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</si>
  <si>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</si>
  <si>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</si>
  <si>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</si>
  <si>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</si>
  <si>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</si>
  <si>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</si>
  <si>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</si>
  <si>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</si>
  <si>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</si>
  <si>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</si>
  <si>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</si>
  <si>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</si>
  <si>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</si>
  <si>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</si>
  <si>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</si>
  <si>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</si>
  <si>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</si>
  <si>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</si>
  <si>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</si>
  <si>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</si>
  <si>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</si>
  <si>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</si>
  <si>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</si>
  <si>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</si>
  <si>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</si>
  <si>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</si>
  <si>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</si>
  <si>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</si>
  <si>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</si>
  <si>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</si>
  <si>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</si>
  <si>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</si>
  <si>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</si>
  <si>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</si>
  <si>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</si>
  <si>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</si>
  <si>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</si>
  <si>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</si>
  <si>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</si>
  <si>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</si>
  <si>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</si>
  <si>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</si>
  <si>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</si>
  <si>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</si>
  <si>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</si>
  <si>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</si>
  <si>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</si>
  <si>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</si>
  <si>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</si>
  <si>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</si>
  <si>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</si>
  <si>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</si>
  <si>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</si>
  <si>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</si>
  <si>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</si>
  <si>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</si>
  <si>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</si>
  <si>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</si>
  <si>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</si>
  <si>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</si>
  <si>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</si>
  <si>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</si>
  <si>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</si>
  <si>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</si>
  <si>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</si>
  <si>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</si>
  <si>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</si>
  <si>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</si>
  <si>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</si>
  <si>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</si>
  <si>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</si>
  <si>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</si>
  <si>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</si>
  <si>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</si>
  <si>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</si>
  <si>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</si>
  <si>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</si>
  <si>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</si>
  <si>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</si>
  <si>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</si>
  <si>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</si>
  <si>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</si>
  <si>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</si>
  <si>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</si>
  <si>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</si>
  <si>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</si>
  <si>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</si>
  <si>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</si>
  <si>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</si>
  <si>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</si>
  <si>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</si>
  <si>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</si>
  <si>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</si>
  <si>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</si>
  <si>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</si>
  <si>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</si>
  <si>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</si>
  <si>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</si>
  <si>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</si>
  <si>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</si>
  <si>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</si>
  <si>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</si>
  <si>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</si>
  <si>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</si>
  <si>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</si>
  <si>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</si>
  <si>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</si>
  <si>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</si>
  <si>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</si>
  <si>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</si>
  <si>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</si>
  <si>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</si>
  <si>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</si>
  <si>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</si>
  <si>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</si>
  <si>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</si>
  <si>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</si>
  <si>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</si>
  <si>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</si>
  <si>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</si>
  <si>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</si>
  <si>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</si>
  <si>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</si>
  <si>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</si>
  <si>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</si>
  <si>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</si>
  <si>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</si>
  <si>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</si>
  <si>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</si>
  <si>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</si>
  <si>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</si>
  <si>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</si>
  <si>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</si>
  <si>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</si>
  <si>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</si>
  <si>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</si>
  <si>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</si>
  <si>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</si>
  <si>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</si>
  <si>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</si>
  <si>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</si>
  <si>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</si>
  <si>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</si>
  <si>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</si>
  <si>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</si>
  <si>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</si>
  <si>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</si>
  <si>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</si>
  <si>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</si>
  <si>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</si>
  <si>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</si>
  <si>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</si>
  <si>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</si>
  <si>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</si>
  <si>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</si>
  <si>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</si>
  <si>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</si>
  <si>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</si>
  <si>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</si>
  <si>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</si>
  <si>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</si>
  <si>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</si>
  <si>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</si>
  <si>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</si>
  <si>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</si>
  <si>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</si>
  <si>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</si>
  <si>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</si>
  <si>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</si>
  <si>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</si>
  <si>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</si>
  <si>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</si>
  <si>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</si>
  <si>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</si>
  <si>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</si>
  <si>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</si>
  <si>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</si>
  <si>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</si>
  <si>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</si>
  <si>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</si>
  <si>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</si>
  <si>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</si>
  <si>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</si>
  <si>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</si>
  <si>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</si>
  <si>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</si>
  <si>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</si>
  <si>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</si>
  <si>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</si>
  <si>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</si>
  <si>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</si>
  <si>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</si>
  <si>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</si>
  <si>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</si>
  <si>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</si>
  <si>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</si>
  <si>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</si>
  <si>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</si>
  <si>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</si>
  <si>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</si>
  <si>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</si>
  <si>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</si>
  <si>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</si>
  <si>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</si>
  <si>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</si>
  <si>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</si>
  <si>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</si>
  <si>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</si>
  <si>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</si>
  <si>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</si>
  <si>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</si>
  <si>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</si>
  <si>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</si>
  <si>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</si>
  <si>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</si>
  <si>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</si>
  <si>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</si>
  <si>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</si>
  <si>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</si>
  <si>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</si>
  <si>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</si>
  <si>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</si>
  <si>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</si>
  <si>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</si>
  <si>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</si>
  <si>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</si>
  <si>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</si>
  <si>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</si>
  <si>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</si>
  <si>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</si>
  <si>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</si>
  <si>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</si>
  <si>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</si>
  <si>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</si>
  <si>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</si>
  <si>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</si>
  <si>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</si>
  <si>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</si>
  <si>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</si>
  <si>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</si>
  <si>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</si>
  <si>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</si>
  <si>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</si>
  <si>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</si>
  <si>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</si>
  <si>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</si>
  <si>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</si>
  <si>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</si>
  <si>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</si>
  <si>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</si>
  <si>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</si>
  <si>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</si>
  <si>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</si>
  <si>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</si>
  <si>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</si>
  <si>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</si>
  <si>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</si>
  <si>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</si>
  <si>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</si>
  <si>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</si>
  <si>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</si>
  <si>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</si>
  <si>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</si>
  <si>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</si>
  <si>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</si>
  <si>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</si>
  <si>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</si>
  <si>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</si>
  <si>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</si>
  <si>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</si>
  <si>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</si>
  <si>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</si>
  <si>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</si>
  <si>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</si>
  <si>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</si>
  <si>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</si>
  <si>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</si>
  <si>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</si>
  <si>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</si>
  <si>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</si>
  <si>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</si>
  <si>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</si>
  <si>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</si>
  <si>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</si>
  <si>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</si>
  <si>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</si>
  <si>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</si>
  <si>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</si>
  <si>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</si>
  <si>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</si>
  <si>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</si>
  <si>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</si>
  <si>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</si>
  <si>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</si>
  <si>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</si>
  <si>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</si>
  <si>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</si>
  <si>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</si>
  <si>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</si>
  <si>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</si>
  <si>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</si>
  <si>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</si>
  <si>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</si>
  <si>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</si>
  <si>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</si>
  <si>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</si>
  <si>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</si>
  <si>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</si>
  <si>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</si>
  <si>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</si>
  <si>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</si>
  <si>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</si>
  <si>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</si>
  <si>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</si>
  <si>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</si>
  <si>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</si>
  <si>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</si>
  <si>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</si>
  <si>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</si>
  <si>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</si>
  <si>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</si>
  <si>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</si>
  <si>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</si>
  <si>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</si>
  <si>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</si>
  <si>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</si>
  <si>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</si>
  <si>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</si>
  <si>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</si>
  <si>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</si>
  <si>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</si>
  <si>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</si>
  <si>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</si>
  <si>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</si>
  <si>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</si>
  <si>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</si>
  <si>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</si>
  <si>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</si>
  <si>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</si>
  <si>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</si>
  <si>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</si>
  <si>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</si>
  <si>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</si>
  <si>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</si>
  <si>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</si>
  <si>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</si>
  <si>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</si>
  <si>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</si>
  <si>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</si>
  <si>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</si>
  <si>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</si>
  <si>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</si>
  <si>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</si>
  <si>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</si>
  <si>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</si>
  <si>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</si>
  <si>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</si>
  <si>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</si>
  <si>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</si>
  <si>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</si>
  <si>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</si>
  <si>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</si>
  <si>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</si>
  <si>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</si>
  <si>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</si>
  <si>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</si>
  <si>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</si>
  <si>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</si>
  <si>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</si>
  <si>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</si>
  <si>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</si>
  <si>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</si>
  <si>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</si>
  <si>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</si>
  <si>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</si>
  <si>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</si>
  <si>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</si>
  <si>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</si>
  <si>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</si>
  <si>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</si>
  <si>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</si>
  <si>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</si>
  <si>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</si>
  <si>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</si>
  <si>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</si>
  <si>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</si>
  <si>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</si>
  <si>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</si>
  <si>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</si>
  <si>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</si>
  <si>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</si>
  <si>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</si>
  <si>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</si>
  <si>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</si>
  <si>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</si>
  <si>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</si>
  <si>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</si>
  <si>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</si>
  <si>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</si>
  <si>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</si>
  <si>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</si>
  <si>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</si>
  <si>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</si>
  <si>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</si>
  <si>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</si>
  <si>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</si>
  <si>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</si>
  <si>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</si>
  <si>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</si>
  <si>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</si>
  <si>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</si>
  <si>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</si>
  <si>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</si>
  <si>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</si>
  <si>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</si>
  <si>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</si>
  <si>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</si>
  <si>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</si>
  <si>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</si>
  <si>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</si>
  <si>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</si>
  <si>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</si>
  <si>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</si>
  <si>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</si>
  <si>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</si>
  <si>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</si>
  <si>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</si>
  <si>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</si>
  <si>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</si>
  <si>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</si>
  <si>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</si>
  <si>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</si>
  <si>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</si>
  <si>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</si>
  <si>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</si>
  <si>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</si>
  <si>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</si>
  <si>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</si>
  <si>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</si>
  <si>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</si>
  <si>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</si>
  <si>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</si>
  <si>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</si>
  <si>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</si>
  <si>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</si>
  <si>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</si>
  <si>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</si>
  <si>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</si>
  <si>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</si>
  <si>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</si>
  <si>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</si>
  <si>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</si>
  <si>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</si>
  <si>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</si>
  <si>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</si>
  <si>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</si>
  <si>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</si>
  <si>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</si>
  <si>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</si>
  <si>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</si>
  <si>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</si>
  <si>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</si>
  <si>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</si>
  <si>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</si>
  <si>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</si>
  <si>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</si>
  <si>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</si>
  <si>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</si>
  <si>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</si>
  <si>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</si>
  <si>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</si>
  <si>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</si>
  <si>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</si>
  <si>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</si>
  <si>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</si>
  <si>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</si>
  <si>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</si>
  <si>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</si>
  <si>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</si>
  <si>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</si>
  <si>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</si>
  <si>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</si>
  <si>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</si>
  <si>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</si>
  <si>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</si>
  <si>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</si>
  <si>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</si>
  <si>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</si>
  <si>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</si>
  <si>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</si>
  <si>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</si>
  <si>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</si>
  <si>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</si>
  <si>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</si>
  <si>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</si>
  <si>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</si>
  <si>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</si>
  <si>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</si>
  <si>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</si>
  <si>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</si>
  <si>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</si>
  <si>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</si>
  <si>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</si>
  <si>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</si>
  <si>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</si>
  <si>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</si>
  <si>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</si>
  <si>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</si>
  <si>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</si>
  <si>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</si>
  <si>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</si>
  <si>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</si>
  <si>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</si>
  <si>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</si>
  <si>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</si>
  <si>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</si>
  <si>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</si>
  <si>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</si>
  <si>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</si>
  <si>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</si>
  <si>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</si>
  <si>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</si>
  <si>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</si>
  <si>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</si>
  <si>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</si>
  <si>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</si>
  <si>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</si>
  <si>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</si>
  <si>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</si>
  <si>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</si>
  <si>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</si>
  <si>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</si>
  <si>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</si>
  <si>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</si>
  <si>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</si>
  <si>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</si>
  <si>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</si>
  <si>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</si>
  <si>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</si>
  <si>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</si>
  <si>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</si>
  <si>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</si>
  <si>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</si>
  <si>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</si>
  <si>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</si>
  <si>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</si>
  <si>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</si>
  <si>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</si>
  <si>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</si>
  <si>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</si>
  <si>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</si>
  <si>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</si>
  <si>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</si>
  <si>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</si>
  <si>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</si>
  <si>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</si>
  <si>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</si>
  <si>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</si>
  <si>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</si>
  <si>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</si>
  <si>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</si>
  <si>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</si>
  <si>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</si>
  <si>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</si>
  <si>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</si>
  <si>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</si>
  <si>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</si>
  <si>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</si>
  <si>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</si>
  <si>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</si>
  <si>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</si>
  <si>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</si>
  <si>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</si>
  <si>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</si>
  <si>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</si>
  <si>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</si>
  <si>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</si>
  <si>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</si>
  <si>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</si>
  <si>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</si>
  <si>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</si>
  <si>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</si>
  <si>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</si>
  <si>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</si>
  <si>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</si>
  <si>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</si>
  <si>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</si>
  <si>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</si>
  <si>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</si>
  <si>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</si>
  <si>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</si>
  <si>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</si>
  <si>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</si>
  <si>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</si>
  <si>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</si>
  <si>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</si>
  <si>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</si>
  <si>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</si>
  <si>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</si>
  <si>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</si>
  <si>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</si>
  <si>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</si>
  <si>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</si>
  <si>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</si>
  <si>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</si>
  <si>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</si>
  <si>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</si>
  <si>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</si>
  <si>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</si>
  <si>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</si>
  <si>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</si>
  <si>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</si>
  <si>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</si>
  <si>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</si>
  <si>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</si>
  <si>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</si>
  <si>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</si>
  <si>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</si>
  <si>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</si>
  <si>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</si>
  <si>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</si>
  <si>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</si>
  <si>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</si>
  <si>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</si>
  <si>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</si>
  <si>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</si>
  <si>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</si>
  <si>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</si>
  <si>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</si>
  <si>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</si>
  <si>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</si>
  <si>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</si>
  <si>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</si>
  <si>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</si>
  <si>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</si>
  <si>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</si>
  <si>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</si>
  <si>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</si>
  <si>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</si>
  <si>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</si>
  <si>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</si>
  <si>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</si>
  <si>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</si>
  <si>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</si>
  <si>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</si>
  <si>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</si>
  <si>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</si>
  <si>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</si>
  <si>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</si>
  <si>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</si>
  <si>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</si>
  <si>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</si>
  <si>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</si>
  <si>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</si>
  <si>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</si>
  <si>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</si>
  <si>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</si>
  <si>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</si>
  <si>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</si>
  <si>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</si>
  <si>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</si>
  <si>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</si>
  <si>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</si>
  <si>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</si>
  <si>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</si>
  <si>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</si>
  <si>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</si>
  <si>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</si>
  <si>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</si>
  <si>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</si>
  <si>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</si>
  <si>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</si>
  <si>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</si>
  <si>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</si>
  <si>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</si>
  <si>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</si>
  <si>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</si>
  <si>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</si>
  <si>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</si>
  <si>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</si>
  <si>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</si>
  <si>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</si>
  <si>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</si>
  <si>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</si>
  <si>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</si>
  <si>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</si>
  <si>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</si>
  <si>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</si>
  <si>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</si>
  <si>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</si>
  <si>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</si>
  <si>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</si>
  <si>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</si>
  <si>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</si>
  <si>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</si>
  <si>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</si>
  <si>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</si>
  <si>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</si>
  <si>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</si>
  <si>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</si>
  <si>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</si>
  <si>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</si>
  <si>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</si>
  <si>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</si>
  <si>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</si>
  <si>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</si>
  <si>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</si>
  <si>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</si>
  <si>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</si>
  <si>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</si>
  <si>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</si>
  <si>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</si>
  <si>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</si>
  <si>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</si>
  <si>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</si>
  <si>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</si>
  <si>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</si>
  <si>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</si>
  <si>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</si>
  <si>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</si>
  <si>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</si>
  <si>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</si>
  <si>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</si>
  <si>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</si>
  <si>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</si>
  <si>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</si>
  <si>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</si>
  <si>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</si>
  <si>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</si>
  <si>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</si>
  <si>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</si>
  <si>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</si>
  <si>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</si>
  <si>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</si>
  <si>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</si>
  <si>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</si>
  <si>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</si>
  <si>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</si>
  <si>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</si>
  <si>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</si>
  <si>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</si>
  <si>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</si>
  <si>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</si>
  <si>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</si>
  <si>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</si>
  <si>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</si>
  <si>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</si>
  <si>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</si>
  <si>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</si>
  <si>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</si>
  <si>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</si>
  <si>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</si>
  <si>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</si>
  <si>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</si>
  <si>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</si>
  <si>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</si>
  <si>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</si>
  <si>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</si>
  <si>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</si>
  <si>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</si>
  <si>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</si>
  <si>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</si>
  <si>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</si>
  <si>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</si>
  <si>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</si>
  <si>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</si>
  <si>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</si>
  <si>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</si>
  <si>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</si>
  <si>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</si>
  <si>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</si>
  <si>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</si>
  <si>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</si>
  <si>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</si>
  <si>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</si>
  <si>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</si>
  <si>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</si>
  <si>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</si>
  <si>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</si>
  <si>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</si>
  <si>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</si>
  <si>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</si>
  <si>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</si>
  <si>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</si>
  <si>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</si>
  <si>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</si>
  <si>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</si>
  <si>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</si>
  <si>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</si>
  <si>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</si>
  <si>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</si>
  <si>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</si>
  <si>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</si>
  <si>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</si>
  <si>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</si>
  <si>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</si>
  <si>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</si>
  <si>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</si>
  <si>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</si>
  <si>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</si>
  <si>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</si>
  <si>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</si>
  <si>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</si>
  <si>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</si>
  <si>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</si>
  <si>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</si>
  <si>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</si>
  <si>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</si>
  <si>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</si>
  <si>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</si>
  <si>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</si>
  <si>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</si>
  <si>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</si>
  <si>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</si>
  <si>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</si>
  <si>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</si>
  <si>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</si>
  <si>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</si>
  <si>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</si>
  <si>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</si>
  <si>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</si>
  <si>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</si>
  <si>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</si>
  <si>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</si>
  <si>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</si>
  <si>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</si>
  <si>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</si>
  <si>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</si>
  <si>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</si>
  <si>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</si>
  <si>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</si>
  <si>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</si>
  <si>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</si>
  <si>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</si>
  <si>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</si>
  <si>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</si>
  <si>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</si>
  <si>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</si>
  <si>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</si>
  <si>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</si>
  <si>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</si>
  <si>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</si>
  <si>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</si>
  <si>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</si>
  <si>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</si>
  <si>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</si>
  <si>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</si>
  <si>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</si>
  <si>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</si>
  <si>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</si>
  <si>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</si>
  <si>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</si>
  <si>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</si>
  <si>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</si>
  <si>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</si>
  <si>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</si>
  <si>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</si>
  <si>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</si>
  <si>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</si>
  <si>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</si>
  <si>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</si>
  <si>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</si>
  <si>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</si>
  <si>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</si>
  <si>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</si>
  <si>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</si>
  <si>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</si>
  <si>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</si>
  <si>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</si>
  <si>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</si>
  <si>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</si>
  <si>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</si>
  <si>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</si>
  <si>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</si>
  <si>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</si>
  <si>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</si>
  <si>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</si>
  <si>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</si>
  <si>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</si>
  <si>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</si>
  <si>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</si>
  <si>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</si>
  <si>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</si>
  <si>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</si>
  <si>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</si>
  <si>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</si>
  <si>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</si>
  <si>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</si>
  <si>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</si>
  <si>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</si>
  <si>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</si>
  <si>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</si>
  <si>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</si>
  <si>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</si>
  <si>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</si>
  <si>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</si>
  <si>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</si>
  <si>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</si>
  <si>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</si>
  <si>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</si>
  <si>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</si>
  <si>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</si>
  <si>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</si>
  <si>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</si>
  <si>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</si>
  <si>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</si>
  <si>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</si>
  <si>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</si>
  <si>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</si>
  <si>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</si>
  <si>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</si>
  <si>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</si>
  <si>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</si>
  <si>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</si>
  <si>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</si>
  <si>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</si>
  <si>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</si>
  <si>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</si>
  <si>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</si>
  <si>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</si>
  <si>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</si>
  <si>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</si>
  <si>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</si>
  <si>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</si>
  <si>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</si>
  <si>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</si>
  <si>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</si>
  <si>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</si>
  <si>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</si>
  <si>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</si>
  <si>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</si>
  <si>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</si>
  <si>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</si>
  <si>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</si>
  <si>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</si>
  <si>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</si>
  <si>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</si>
  <si>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</si>
  <si>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</si>
  <si>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</si>
  <si>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</si>
  <si>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</si>
  <si>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</si>
  <si>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</si>
  <si>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</si>
  <si>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</si>
  <si>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</si>
  <si>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</si>
  <si>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</si>
  <si>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</si>
  <si>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</si>
  <si>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</si>
  <si>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</si>
  <si>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</si>
  <si>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</si>
  <si>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</si>
  <si>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</si>
  <si>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</si>
  <si>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</si>
  <si>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</si>
  <si>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</si>
  <si>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</si>
  <si>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</si>
  <si>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</si>
  <si>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</si>
  <si>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</si>
  <si>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</si>
  <si>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</si>
  <si>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</si>
  <si>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</si>
  <si>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</si>
  <si>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</si>
  <si>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</si>
  <si>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</si>
  <si>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</si>
  <si>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</si>
  <si>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</si>
  <si>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</si>
  <si>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</si>
  <si>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</si>
  <si>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</si>
  <si>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</si>
  <si>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</si>
  <si>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</si>
  <si>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</si>
  <si>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</si>
  <si>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</si>
  <si>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</si>
  <si>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</si>
  <si>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</si>
  <si>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</si>
  <si>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</si>
  <si>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</si>
  <si>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</si>
  <si>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</si>
  <si>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</si>
  <si>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</si>
  <si>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</si>
  <si>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</si>
  <si>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</si>
  <si>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</si>
  <si>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</si>
  <si>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</si>
  <si>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</si>
  <si>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</si>
  <si>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</si>
  <si>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</si>
  <si>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</si>
  <si>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</si>
  <si>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</si>
  <si>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</si>
  <si>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</si>
  <si>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</si>
  <si>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</si>
  <si>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</si>
  <si>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</si>
  <si>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</si>
  <si>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</si>
  <si>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</si>
  <si>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</si>
  <si>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</si>
  <si>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</si>
  <si>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</si>
  <si>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</si>
  <si>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</si>
  <si>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</si>
  <si>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</si>
  <si>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</si>
  <si>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</si>
  <si>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</si>
  <si>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</si>
  <si>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</si>
  <si>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</si>
  <si>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</si>
  <si>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</si>
  <si>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</si>
  <si>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</si>
  <si>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</si>
  <si>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</si>
  <si>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</si>
  <si>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</si>
  <si>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</si>
  <si>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</si>
  <si>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</si>
  <si>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</si>
  <si>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</si>
  <si>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</si>
  <si>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</si>
  <si>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</si>
  <si>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</si>
  <si>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</si>
  <si>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</si>
  <si>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</si>
  <si>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</si>
  <si>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</si>
  <si>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</si>
  <si>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</si>
  <si>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</si>
  <si>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</si>
  <si>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</si>
  <si>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</si>
  <si>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</si>
  <si>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</si>
  <si>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</si>
  <si>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</si>
  <si>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</si>
  <si>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</si>
  <si>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</si>
  <si>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</si>
  <si>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</si>
  <si>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</si>
  <si>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</si>
  <si>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</si>
  <si>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</si>
  <si>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</si>
  <si>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</si>
  <si>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</si>
  <si>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</si>
  <si>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</si>
  <si>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</si>
  <si>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</si>
  <si>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</si>
  <si>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</si>
  <si>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</si>
  <si>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</si>
  <si>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</si>
  <si>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</si>
  <si>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</si>
  <si>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</si>
  <si>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</si>
  <si>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</si>
  <si>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</si>
  <si>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</si>
  <si>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</si>
  <si>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</si>
  <si>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</si>
  <si>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</si>
  <si>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</si>
  <si>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</si>
  <si>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</si>
  <si>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</si>
  <si>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</si>
  <si>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</si>
  <si>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</si>
  <si>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</si>
  <si>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</si>
  <si>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</si>
  <si>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</si>
  <si>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</si>
  <si>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</si>
  <si>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</si>
  <si>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</si>
  <si>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</si>
  <si>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</si>
  <si>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</si>
  <si>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</si>
  <si>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</si>
  <si>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</si>
  <si>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</si>
  <si>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</si>
  <si>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</si>
  <si>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</si>
  <si>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</si>
  <si>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</si>
  <si>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</si>
  <si>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</si>
  <si>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</si>
  <si>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</si>
  <si>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</si>
  <si>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</si>
  <si>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</si>
  <si>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</si>
  <si>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</si>
  <si>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</si>
  <si>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</si>
  <si>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</si>
  <si>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</si>
  <si>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</si>
  <si>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</si>
  <si>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</si>
  <si>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</si>
  <si>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</si>
  <si>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</si>
  <si>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</si>
  <si>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</si>
  <si>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</si>
  <si>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</si>
  <si>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</si>
  <si>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</si>
  <si>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</si>
  <si>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</si>
  <si>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</si>
  <si>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</si>
  <si>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</si>
  <si>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</si>
  <si>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</si>
  <si>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</si>
  <si>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</si>
  <si>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</si>
  <si>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</si>
  <si>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</si>
  <si>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</si>
  <si>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</si>
  <si>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</si>
  <si>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</si>
  <si>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</si>
  <si>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</si>
  <si>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</si>
  <si>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</si>
  <si>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</si>
  <si>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</si>
  <si>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</si>
  <si>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</si>
  <si>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</si>
  <si>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</si>
  <si>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</si>
  <si>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</si>
  <si>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</si>
  <si>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</si>
  <si>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</si>
  <si>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</si>
  <si>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</si>
  <si>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</si>
  <si>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</si>
  <si>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</si>
  <si>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</si>
  <si>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</si>
  <si>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</si>
  <si>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</si>
  <si>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</si>
  <si>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</si>
  <si>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</si>
  <si>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</si>
  <si>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</si>
  <si>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</si>
  <si>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</si>
  <si>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</si>
  <si>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</si>
  <si>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</si>
  <si>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</si>
  <si>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</si>
  <si>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</si>
  <si>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</si>
  <si>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</si>
  <si>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</si>
  <si>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</si>
  <si>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</si>
  <si>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</si>
  <si>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</si>
  <si>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</si>
  <si>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</si>
  <si>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</si>
  <si>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</si>
  <si>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</si>
  <si>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</si>
  <si>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</si>
  <si>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</si>
  <si>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</si>
  <si>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</si>
  <si>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</si>
  <si>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</si>
  <si>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</si>
  <si>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</si>
  <si>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</si>
  <si>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</si>
  <si>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</si>
  <si>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</si>
  <si>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</si>
  <si>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</si>
  <si>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</si>
  <si>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</si>
  <si>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</si>
  <si>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</si>
  <si>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</si>
  <si>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</si>
  <si>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</si>
  <si>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</si>
  <si>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</si>
  <si>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</si>
  <si>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</si>
  <si>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</si>
  <si>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</si>
  <si>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</si>
  <si>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</si>
  <si>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</si>
  <si>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</si>
  <si>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</si>
  <si>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</si>
  <si>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</si>
  <si>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</si>
  <si>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</si>
  <si>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</si>
  <si>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</si>
  <si>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</si>
  <si>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</si>
  <si>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</si>
  <si>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</si>
  <si>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</si>
  <si>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</si>
  <si>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</si>
  <si>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</si>
  <si>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</si>
  <si>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</si>
  <si>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</si>
  <si>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</si>
  <si>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</si>
  <si>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</si>
  <si>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</si>
  <si>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</si>
  <si>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</si>
  <si>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</si>
  <si>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</si>
  <si>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</si>
  <si>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</si>
  <si>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</si>
  <si>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</si>
  <si>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</si>
  <si>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</si>
  <si>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</si>
  <si>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</si>
  <si>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</si>
  <si>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</si>
  <si>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</si>
  <si>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</si>
  <si>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</si>
  <si>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</si>
  <si>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</si>
  <si>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</si>
  <si>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</si>
  <si>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</si>
  <si>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</si>
  <si>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</si>
  <si>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</si>
  <si>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</si>
  <si>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</si>
  <si>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</si>
  <si>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</si>
  <si>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</si>
  <si>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</si>
  <si>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</si>
  <si>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</si>
  <si>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</si>
  <si>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</si>
  <si>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</si>
  <si>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</si>
  <si>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</si>
  <si>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</si>
  <si>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</si>
  <si>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</si>
  <si>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</si>
  <si>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</si>
  <si>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</si>
  <si>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</si>
  <si>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</si>
  <si>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</si>
  <si>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</si>
  <si>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</si>
  <si>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</si>
  <si>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</si>
  <si>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</si>
  <si>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</si>
  <si>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</si>
  <si>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</si>
  <si>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</si>
  <si>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</si>
  <si>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</si>
  <si>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</si>
  <si>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</si>
  <si>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</si>
  <si>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</si>
  <si>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</si>
  <si>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</si>
  <si>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</si>
  <si>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</si>
  <si>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</si>
  <si>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</si>
  <si>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</si>
  <si>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</si>
  <si>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</si>
  <si>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</si>
  <si>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</si>
  <si>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</si>
  <si>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</si>
  <si>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</si>
  <si>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</si>
  <si>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</si>
  <si>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</si>
  <si>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</si>
  <si>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</si>
  <si>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</si>
  <si>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</si>
  <si>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</si>
  <si>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</si>
  <si>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</si>
  <si>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</si>
  <si>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</si>
  <si>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</si>
  <si>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</si>
  <si>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</si>
  <si>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</si>
  <si>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</si>
  <si>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</si>
  <si>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</si>
  <si>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</si>
  <si>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</si>
  <si>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</si>
  <si>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</si>
  <si>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</si>
  <si>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</si>
  <si>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</si>
  <si>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</si>
  <si>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</si>
  <si>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</si>
  <si>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</si>
  <si>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</si>
  <si>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</si>
  <si>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</si>
  <si>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</si>
  <si>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</si>
  <si>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</si>
  <si>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</si>
  <si>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</si>
  <si>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</si>
  <si>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</si>
  <si>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</si>
  <si>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</si>
  <si>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</si>
  <si>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</si>
  <si>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</si>
  <si>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</si>
  <si>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</si>
  <si>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</si>
  <si>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</si>
  <si>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</si>
  <si>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</si>
  <si>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</si>
  <si>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</si>
  <si>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</si>
  <si>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</si>
  <si>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</si>
  <si>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</si>
  <si>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</si>
  <si>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</si>
  <si>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</si>
  <si>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</si>
  <si>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</si>
  <si>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</si>
  <si>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</si>
  <si>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</si>
  <si>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</si>
  <si>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</si>
  <si>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</si>
  <si>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</si>
  <si>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</si>
  <si>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</si>
  <si>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</si>
  <si>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</si>
  <si>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</si>
  <si>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</si>
  <si>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</si>
  <si>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</si>
  <si>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</si>
  <si>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</si>
  <si>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</si>
  <si>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</si>
  <si>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</si>
  <si>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</si>
  <si>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</si>
  <si>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</si>
  <si>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</si>
  <si>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</si>
  <si>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</si>
  <si>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</si>
  <si>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</si>
  <si>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</si>
  <si>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</si>
  <si>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</si>
  <si>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</si>
  <si>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</si>
  <si>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</si>
  <si>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</si>
  <si>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</si>
  <si>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</si>
  <si>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</si>
  <si>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</si>
  <si>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</si>
  <si>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</si>
  <si>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</si>
  <si>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</si>
  <si>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</si>
  <si>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</si>
  <si>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</si>
  <si>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</si>
  <si>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</si>
  <si>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</si>
  <si>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</si>
  <si>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</si>
  <si>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</si>
  <si>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</si>
  <si>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</si>
  <si>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</si>
  <si>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</si>
  <si>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</si>
  <si>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</si>
  <si>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</si>
  <si>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</si>
  <si>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</si>
  <si>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</si>
  <si>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</si>
  <si>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</si>
  <si>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</si>
  <si>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</si>
  <si>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</si>
  <si>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</si>
  <si>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</si>
  <si>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</si>
  <si>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</si>
  <si>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</si>
  <si>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</si>
  <si>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</si>
  <si>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</si>
  <si>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</si>
  <si>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</si>
  <si>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</si>
  <si>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</si>
  <si>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</si>
  <si>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</si>
  <si>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</si>
  <si>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</si>
  <si>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</si>
  <si>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</si>
  <si>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</si>
  <si>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</si>
  <si>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</si>
  <si>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</si>
  <si>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</si>
  <si>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</si>
  <si>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</si>
  <si>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</si>
  <si>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</si>
  <si>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</si>
  <si>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</si>
  <si>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</si>
  <si>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</si>
  <si>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</si>
  <si>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</si>
  <si>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</si>
  <si>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</si>
  <si>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</si>
  <si>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</si>
  <si>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</si>
  <si>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</si>
  <si>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</si>
  <si>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</si>
  <si>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</si>
  <si>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</si>
  <si>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</si>
  <si>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</si>
  <si>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</si>
  <si>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</si>
  <si>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</si>
  <si>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</si>
  <si>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</si>
  <si>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</si>
  <si>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</si>
  <si>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</si>
  <si>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</si>
  <si>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</si>
  <si>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</si>
  <si>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</si>
  <si>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</si>
  <si>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</si>
  <si>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</si>
  <si>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</si>
  <si>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</si>
  <si>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</si>
  <si>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</si>
  <si>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</si>
  <si>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</si>
  <si>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</si>
  <si>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</si>
  <si>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</si>
  <si>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</si>
  <si>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</si>
  <si>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</si>
  <si>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</si>
  <si>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</si>
  <si>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</si>
  <si>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</si>
  <si>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</si>
  <si>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</si>
  <si>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</si>
  <si>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</si>
  <si>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</si>
  <si>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</si>
  <si>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</si>
  <si>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</si>
  <si>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</si>
  <si>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</si>
  <si>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</si>
  <si>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</si>
  <si>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</si>
  <si>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</si>
  <si>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</si>
  <si>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</si>
  <si>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</si>
  <si>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</si>
  <si>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</si>
  <si>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</si>
  <si>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</si>
  <si>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</si>
  <si>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</si>
  <si>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</si>
  <si>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</si>
  <si>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</si>
  <si>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</si>
  <si>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</si>
  <si>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</si>
  <si>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</si>
  <si>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</si>
  <si>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</si>
  <si>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</si>
  <si>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</si>
  <si>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</si>
  <si>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</si>
  <si>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</si>
  <si>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</si>
  <si>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</si>
  <si>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</si>
  <si>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</si>
  <si>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</si>
  <si>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</si>
  <si>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</si>
  <si>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</si>
  <si>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</si>
  <si>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</si>
  <si>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</si>
  <si>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</si>
  <si>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</si>
  <si>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</si>
  <si>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</si>
  <si>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</si>
  <si>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</si>
  <si>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</si>
  <si>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</si>
  <si>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</si>
  <si>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</si>
  <si>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</si>
  <si>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</si>
  <si>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</si>
  <si>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</si>
  <si>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</si>
  <si>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</si>
  <si>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</si>
  <si>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</si>
  <si>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</si>
  <si>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</si>
  <si>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</si>
  <si>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</si>
  <si>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</si>
  <si>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</si>
  <si>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</si>
  <si>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</si>
  <si>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</si>
  <si>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</si>
  <si>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</si>
  <si>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</si>
  <si>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</si>
  <si>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</si>
  <si>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</si>
  <si>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</si>
  <si>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</si>
  <si>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</si>
  <si>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</si>
  <si>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</si>
  <si>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</si>
  <si>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</si>
  <si>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</si>
  <si>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</si>
  <si>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</si>
  <si>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</si>
  <si>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</si>
  <si>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</si>
  <si>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</si>
  <si>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</si>
  <si>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</si>
  <si>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</si>
  <si>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</si>
  <si>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</si>
  <si>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</si>
  <si>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</si>
  <si>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</si>
  <si>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</si>
  <si>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</si>
  <si>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</si>
  <si>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</si>
  <si>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</si>
  <si>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</si>
  <si>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</si>
  <si>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</si>
  <si>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</si>
  <si>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</si>
  <si>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</si>
  <si>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</si>
  <si>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</si>
  <si>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</si>
  <si>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</si>
  <si>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</si>
  <si>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</si>
  <si>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</si>
  <si>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</si>
  <si>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</si>
  <si>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</si>
  <si>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</si>
  <si>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</si>
  <si>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</si>
  <si>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</si>
  <si>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</si>
  <si>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</si>
  <si>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</si>
  <si>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</si>
  <si>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</si>
  <si>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</si>
  <si>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</si>
  <si>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</si>
  <si>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</si>
  <si>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</si>
  <si>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</si>
  <si>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</si>
  <si>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</si>
  <si>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</si>
  <si>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</si>
  <si>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</si>
  <si>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</si>
  <si>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</si>
  <si>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</si>
  <si>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</si>
  <si>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</si>
  <si>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</si>
  <si>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</si>
  <si>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</si>
  <si>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</si>
  <si>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</si>
  <si>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</si>
  <si>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</si>
  <si>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</si>
  <si>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</si>
  <si>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</si>
  <si>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</si>
  <si>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</si>
  <si>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</si>
  <si>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</si>
  <si>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</si>
  <si>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</si>
  <si>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</si>
  <si>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</si>
  <si>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</si>
  <si>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</si>
  <si>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</si>
  <si>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</si>
  <si>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</si>
  <si>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</si>
  <si>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</si>
  <si>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</si>
  <si>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</si>
  <si>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</si>
  <si>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</si>
  <si>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</si>
  <si>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</si>
  <si>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</si>
  <si>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</si>
  <si>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</si>
  <si>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</si>
  <si>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</si>
  <si>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</si>
  <si>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</si>
  <si>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</si>
  <si>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</si>
  <si>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</si>
  <si>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</si>
  <si>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</si>
  <si>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</si>
  <si>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</si>
  <si>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</si>
  <si>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</si>
  <si>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</si>
  <si>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</si>
  <si>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</si>
  <si>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</si>
  <si>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</si>
  <si>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</si>
  <si>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</si>
  <si>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</si>
  <si>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</si>
  <si>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</si>
  <si>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</si>
  <si>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</si>
  <si>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</si>
  <si>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</si>
  <si>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</si>
  <si>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</si>
  <si>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</si>
  <si>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</si>
  <si>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</si>
  <si>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</si>
  <si>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</si>
  <si>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</si>
  <si>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</si>
  <si>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</si>
  <si>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</si>
  <si>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</si>
  <si>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</si>
  <si>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</si>
  <si>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</si>
  <si>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</si>
  <si>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</si>
  <si>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</si>
  <si>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</si>
  <si>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</si>
  <si>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</si>
  <si>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</si>
  <si>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</si>
  <si>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</si>
  <si>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</si>
  <si>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</si>
  <si>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</si>
  <si>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</si>
  <si>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</si>
  <si>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</si>
  <si>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</si>
  <si>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</si>
  <si>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</si>
  <si>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</si>
  <si>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</si>
  <si>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</si>
  <si>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</si>
  <si>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</si>
  <si>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</si>
  <si>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</si>
  <si>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</si>
  <si>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</si>
  <si>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</si>
  <si>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</si>
  <si>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</si>
  <si>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</si>
  <si>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</si>
  <si>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</si>
  <si>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</si>
  <si>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</si>
  <si>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</si>
  <si>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</si>
  <si>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</si>
  <si>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</si>
  <si>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</si>
  <si>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</si>
  <si>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</si>
  <si>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</si>
  <si>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</si>
  <si>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</si>
  <si>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</si>
  <si>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</si>
  <si>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</si>
  <si>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</si>
  <si>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</si>
  <si>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</si>
  <si>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</si>
  <si>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</si>
  <si>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</si>
  <si>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</si>
  <si>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</si>
  <si>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</si>
  <si>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</si>
  <si>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</si>
  <si>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</si>
  <si>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</si>
  <si>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</si>
  <si>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</si>
  <si>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</si>
  <si>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</si>
  <si>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</si>
  <si>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</si>
  <si>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</si>
  <si>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</si>
  <si>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</si>
  <si>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</si>
  <si>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</si>
  <si>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</si>
  <si>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</si>
  <si>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</si>
  <si>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</si>
  <si>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</si>
  <si>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</si>
  <si>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</si>
  <si>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</si>
  <si>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</si>
  <si>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</si>
  <si>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</si>
  <si>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</si>
  <si>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</si>
  <si>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</si>
  <si>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</si>
  <si>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</si>
  <si>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</si>
  <si>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</si>
  <si>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</si>
  <si>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</si>
  <si>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</si>
  <si>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</si>
  <si>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</si>
  <si>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</si>
  <si>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</si>
  <si>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</si>
  <si>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</si>
  <si>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</si>
  <si>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</si>
  <si>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</si>
  <si>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</si>
  <si>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</si>
  <si>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</si>
  <si>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</si>
  <si>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</si>
  <si>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</si>
  <si>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</si>
  <si>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</si>
  <si>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</si>
  <si>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</si>
  <si>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</si>
  <si>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</si>
  <si>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</si>
  <si>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</si>
  <si>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</si>
  <si>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</si>
  <si>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</si>
  <si>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</si>
  <si>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</si>
  <si>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</si>
  <si>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</si>
  <si>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</si>
  <si>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</si>
  <si>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</si>
  <si>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</si>
  <si>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</si>
  <si>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</si>
  <si>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</si>
  <si>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</si>
  <si>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</si>
  <si>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</si>
  <si>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</si>
  <si>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</si>
  <si>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</si>
  <si>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</si>
  <si>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</si>
  <si>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</si>
  <si>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</si>
  <si>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</si>
  <si>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</si>
  <si>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</si>
  <si>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</si>
  <si>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</si>
  <si>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</si>
  <si>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</si>
  <si>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</si>
  <si>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</si>
  <si>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</si>
  <si>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</si>
  <si>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</si>
  <si>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</si>
  <si>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</si>
  <si>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</si>
  <si>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</si>
  <si>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</si>
  <si>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</si>
  <si>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</si>
  <si>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</si>
  <si>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</si>
  <si>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</si>
  <si>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</si>
  <si>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</si>
  <si>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</si>
  <si>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</si>
  <si>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</si>
  <si>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</si>
  <si>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</si>
  <si>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</si>
  <si>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</si>
  <si>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</si>
  <si>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</si>
  <si>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</si>
  <si>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</si>
  <si>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</si>
  <si>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</si>
  <si>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</si>
  <si>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</si>
  <si>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</si>
  <si>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</si>
  <si>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</si>
  <si>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</si>
  <si>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</si>
  <si>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</si>
  <si>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</si>
  <si>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</si>
  <si>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</si>
  <si>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</si>
  <si>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</si>
  <si>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</si>
  <si>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</si>
  <si>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</si>
  <si>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</si>
  <si>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</si>
  <si>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</si>
  <si>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</si>
  <si>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</si>
  <si>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</si>
  <si>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</si>
  <si>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</si>
  <si>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</si>
  <si>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</si>
  <si>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</si>
  <si>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</si>
  <si>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</si>
  <si>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</si>
  <si>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</si>
  <si>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</si>
  <si>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</si>
  <si>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</si>
  <si>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</si>
  <si>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</si>
  <si>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</si>
  <si>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</si>
  <si>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</si>
  <si>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</si>
  <si>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</si>
  <si>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</si>
  <si>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</si>
  <si>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</si>
  <si>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</si>
  <si>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</si>
  <si>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</si>
  <si>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</si>
  <si>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</si>
  <si>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</si>
  <si>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</si>
  <si>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</si>
  <si>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</si>
  <si>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</si>
  <si>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</si>
  <si>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</si>
  <si>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</si>
  <si>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</si>
  <si>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</si>
  <si>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</si>
  <si>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</si>
  <si>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</si>
  <si>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</si>
  <si>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</si>
  <si>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</si>
  <si>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</si>
  <si>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</si>
  <si>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</si>
  <si>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</si>
  <si>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</si>
  <si>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</si>
  <si>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</si>
  <si>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</si>
  <si>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</si>
  <si>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</si>
  <si>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</si>
  <si>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</si>
  <si>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</si>
  <si>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</si>
  <si>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</si>
  <si>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</si>
  <si>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</si>
  <si>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</si>
  <si>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</si>
  <si>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</si>
  <si>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</si>
  <si>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</si>
  <si>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</si>
  <si>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</si>
  <si>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</si>
  <si>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</si>
  <si>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</si>
  <si>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</si>
  <si>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</si>
  <si>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</si>
  <si>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</si>
  <si>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</si>
  <si>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</si>
  <si>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</si>
  <si>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</si>
  <si>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</si>
  <si>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</si>
  <si>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</si>
  <si>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</si>
  <si>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</si>
  <si>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</si>
  <si>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</si>
  <si>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</si>
  <si>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</si>
  <si>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</si>
  <si>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</si>
  <si>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</si>
  <si>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</si>
  <si>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</si>
  <si>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</si>
  <si>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</si>
  <si>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</si>
  <si>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</si>
  <si>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</si>
  <si>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</si>
  <si>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</si>
  <si>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</si>
  <si>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</si>
  <si>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</si>
  <si>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</si>
  <si>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</si>
  <si>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</si>
  <si>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</si>
  <si>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</si>
  <si>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</si>
  <si>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</si>
  <si>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</si>
  <si>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</si>
  <si>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</si>
  <si>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</si>
  <si>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</si>
  <si>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</si>
  <si>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</si>
  <si>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</si>
  <si>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</si>
  <si>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</si>
  <si>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</si>
  <si>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</si>
  <si>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</si>
  <si>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</si>
  <si>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</si>
  <si>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</si>
  <si>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</si>
  <si>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</si>
  <si>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</si>
  <si>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</si>
  <si>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</si>
  <si>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</si>
  <si>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</si>
  <si>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</si>
  <si>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</si>
  <si>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</si>
  <si>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</si>
  <si>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</si>
  <si>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</si>
  <si>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</si>
  <si>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</si>
  <si>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</si>
  <si>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</si>
  <si>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</si>
  <si>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</si>
  <si>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</si>
  <si>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</si>
  <si>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</si>
  <si>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</si>
  <si>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</si>
  <si>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</si>
  <si>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</si>
  <si>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</si>
  <si>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</si>
  <si>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</si>
  <si>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</si>
  <si>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</si>
  <si>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</si>
  <si>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</si>
  <si>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</si>
  <si>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</si>
  <si>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</si>
  <si>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</si>
  <si>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</si>
  <si>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</si>
  <si>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</si>
  <si>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</si>
  <si>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</si>
  <si>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</si>
  <si>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</si>
  <si>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</si>
  <si>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</si>
  <si>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</si>
  <si>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</si>
  <si>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</si>
  <si>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</si>
  <si>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</si>
  <si>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</si>
  <si>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</si>
  <si>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</si>
  <si>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</si>
  <si>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</si>
  <si>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</si>
  <si>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</si>
  <si>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</si>
  <si>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</si>
  <si>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</si>
  <si>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</si>
  <si>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</si>
  <si>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</si>
  <si>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</si>
  <si>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</si>
  <si>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</si>
  <si>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</si>
  <si>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</si>
  <si>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</si>
  <si>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</si>
  <si>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</si>
  <si>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</si>
  <si>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</si>
  <si>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</si>
  <si>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</si>
  <si>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</si>
  <si>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</si>
  <si>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</si>
  <si>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</si>
  <si>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</si>
  <si>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</si>
  <si>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</si>
  <si>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</si>
  <si>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</si>
  <si>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</si>
  <si>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</si>
  <si>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</si>
  <si>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</si>
  <si>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</si>
  <si>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</si>
  <si>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</si>
  <si>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</si>
  <si>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</si>
  <si>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</si>
  <si>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</si>
  <si>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</si>
  <si>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</si>
  <si>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</si>
  <si>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</si>
  <si>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</si>
  <si>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</si>
  <si>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</si>
  <si>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</si>
  <si>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</si>
  <si>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</si>
  <si>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</si>
  <si>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</si>
  <si>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</si>
  <si>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</si>
  <si>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</si>
  <si>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</si>
  <si>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</si>
  <si>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</si>
  <si>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</si>
  <si>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</si>
  <si>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</si>
  <si>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</si>
  <si>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</si>
  <si>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</si>
  <si>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</si>
  <si>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</si>
  <si>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</si>
  <si>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</si>
  <si>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</si>
  <si>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</si>
  <si>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</si>
  <si>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</si>
  <si>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</si>
  <si>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</si>
  <si>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</si>
  <si>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</si>
  <si>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</si>
  <si>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</si>
  <si>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</si>
  <si>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</si>
  <si>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</si>
  <si>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</si>
  <si>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</si>
  <si>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</si>
  <si>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</si>
  <si>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</si>
  <si>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</si>
  <si>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</si>
  <si>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</si>
  <si>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</si>
  <si>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</si>
  <si>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</si>
  <si>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</si>
  <si>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</si>
  <si>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</si>
  <si>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</si>
  <si>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</si>
  <si>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</si>
  <si>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</si>
  <si>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</si>
  <si>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</si>
  <si>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</si>
  <si>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</si>
  <si>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</si>
  <si>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</si>
  <si>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</si>
  <si>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</si>
  <si>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</si>
  <si>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</si>
  <si>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</si>
  <si>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</si>
  <si>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</si>
  <si>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</si>
  <si>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</si>
  <si>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</si>
  <si>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</si>
  <si>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</si>
  <si>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</si>
  <si>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</si>
  <si>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</si>
  <si>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</si>
  <si>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</si>
  <si>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</si>
  <si>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</si>
  <si>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</si>
  <si>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</si>
  <si>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</si>
  <si>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</si>
  <si>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</si>
  <si>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</si>
  <si>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</si>
  <si>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</si>
  <si>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</si>
  <si>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</si>
  <si>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</si>
  <si>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</si>
  <si>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</si>
  <si>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</si>
  <si>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</si>
  <si>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</si>
  <si>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</si>
  <si>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</si>
  <si>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</si>
  <si>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</si>
  <si>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</si>
  <si>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</si>
  <si>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</si>
  <si>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</si>
  <si>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</si>
  <si>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</si>
  <si>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</si>
  <si>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</si>
  <si>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</si>
  <si>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</si>
  <si>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</si>
  <si>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</si>
  <si>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</si>
  <si>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</si>
  <si>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</si>
  <si>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</si>
  <si>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</si>
  <si>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</si>
  <si>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</si>
  <si>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</si>
  <si>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</si>
  <si>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</si>
  <si>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</si>
  <si>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</si>
  <si>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</si>
  <si>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</si>
  <si>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</si>
  <si>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</si>
  <si>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</si>
  <si>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</si>
  <si>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</si>
  <si>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</si>
  <si>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</si>
  <si>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</si>
  <si>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</si>
  <si>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</si>
  <si>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</si>
  <si>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</si>
  <si>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</si>
  <si>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</si>
  <si>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</si>
  <si>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</si>
  <si>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</si>
  <si>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</si>
  <si>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</si>
  <si>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</si>
  <si>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</si>
  <si>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</si>
  <si>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</si>
  <si>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</si>
  <si>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</si>
  <si>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</si>
  <si>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</si>
  <si>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</si>
  <si>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</si>
  <si>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</si>
  <si>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</si>
  <si>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</si>
  <si>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</si>
  <si>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</si>
  <si>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</si>
  <si>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</si>
  <si>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</si>
  <si>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</si>
  <si>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</si>
  <si>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</si>
  <si>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</si>
  <si>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</si>
  <si>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</si>
  <si>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</si>
  <si>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</si>
  <si>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</si>
  <si>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</si>
  <si>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</si>
  <si>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</si>
  <si>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</si>
  <si>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</si>
  <si>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</si>
  <si>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</si>
  <si>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</si>
  <si>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</si>
  <si>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</si>
  <si>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</si>
  <si>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</si>
  <si>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</si>
  <si>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</si>
  <si>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</si>
  <si>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</si>
  <si>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</si>
  <si>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</si>
  <si>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</si>
  <si>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</si>
  <si>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</si>
  <si>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</si>
  <si>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</si>
  <si>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</si>
  <si>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</si>
  <si>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</si>
  <si>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</si>
  <si>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</si>
  <si>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</si>
  <si>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</si>
  <si>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</si>
  <si>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</si>
  <si>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</si>
  <si>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</si>
  <si>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</si>
  <si>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</si>
  <si>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</si>
  <si>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</si>
  <si>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</si>
  <si>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</si>
  <si>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</si>
  <si>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</si>
  <si>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</si>
  <si>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</si>
  <si>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</si>
  <si>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</si>
  <si>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</si>
  <si>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</si>
  <si>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</si>
  <si>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</si>
  <si>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</si>
  <si>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</si>
  <si>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</si>
  <si>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</si>
  <si>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</si>
  <si>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</si>
  <si>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</si>
  <si>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</si>
  <si>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</si>
  <si>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</si>
  <si>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</si>
  <si>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</si>
  <si>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</si>
  <si>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</si>
  <si>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</si>
  <si>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</si>
  <si>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</si>
  <si>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</si>
  <si>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</si>
  <si>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</si>
  <si>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</si>
  <si>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</si>
  <si>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</si>
  <si>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</si>
  <si>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</si>
  <si>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</si>
  <si>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</si>
  <si>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</si>
  <si>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</si>
  <si>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</si>
  <si>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</si>
  <si>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</si>
  <si>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</si>
  <si>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</si>
  <si>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</si>
  <si>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</si>
  <si>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</si>
  <si>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</si>
  <si>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</si>
  <si>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</si>
  <si>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</si>
  <si>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</si>
  <si>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</si>
  <si>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</si>
  <si>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</si>
  <si>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</si>
  <si>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</si>
  <si>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</si>
  <si>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</si>
  <si>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</si>
  <si>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</si>
  <si>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</si>
  <si>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</si>
  <si>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</si>
  <si>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</si>
  <si>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</si>
  <si>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</si>
  <si>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</si>
  <si>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</si>
  <si>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</si>
  <si>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</si>
  <si>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</si>
  <si>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</si>
  <si>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</si>
  <si>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</si>
  <si>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</si>
  <si>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</si>
  <si>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</si>
  <si>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</si>
  <si>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</si>
  <si>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</si>
  <si>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</si>
  <si>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</si>
  <si>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</si>
  <si>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</si>
  <si>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</si>
  <si>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</si>
  <si>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</si>
  <si>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</si>
  <si>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</si>
  <si>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</si>
  <si>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</si>
  <si>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</si>
  <si>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</si>
  <si>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</si>
  <si>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</si>
  <si>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</si>
  <si>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</si>
  <si>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</si>
  <si>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</si>
  <si>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</si>
  <si>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</si>
  <si>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</si>
  <si>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</si>
  <si>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</si>
  <si>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</si>
  <si>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</si>
  <si>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</si>
  <si>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</si>
  <si>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</si>
  <si>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</si>
  <si>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</si>
  <si>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</si>
  <si>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</si>
  <si>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</si>
  <si>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</si>
  <si>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</si>
  <si>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</si>
  <si>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</si>
  <si>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</si>
  <si>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</si>
  <si>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</si>
  <si>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</si>
  <si>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</si>
  <si>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</si>
  <si>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</si>
  <si>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</si>
  <si>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</si>
  <si>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</si>
  <si>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</si>
  <si>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</si>
  <si>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</si>
  <si>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</si>
  <si>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</si>
  <si>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</si>
  <si>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</si>
  <si>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</si>
  <si>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</si>
  <si>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</si>
  <si>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</si>
  <si>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</si>
  <si>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</si>
  <si>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</si>
  <si>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</si>
  <si>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</si>
  <si>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</si>
  <si>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</si>
  <si>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</si>
  <si>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</si>
  <si>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</si>
  <si>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</si>
  <si>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</si>
  <si>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</si>
  <si>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</si>
  <si>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</si>
  <si>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</si>
  <si>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</si>
  <si>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</si>
  <si>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</si>
  <si>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</si>
  <si>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</si>
  <si>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</si>
  <si>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</si>
  <si>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</si>
  <si>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</si>
  <si>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</si>
  <si>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</si>
  <si>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</si>
  <si>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</si>
  <si>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</si>
  <si>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</si>
  <si>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</si>
  <si>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</si>
  <si>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</si>
  <si>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</si>
  <si>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</si>
  <si>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</si>
  <si>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</si>
  <si>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</si>
  <si>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</si>
  <si>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</si>
  <si>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</si>
  <si>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</si>
  <si>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</si>
  <si>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</si>
  <si>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</si>
  <si>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</si>
  <si>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</si>
  <si>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</si>
  <si>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</si>
  <si>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</si>
  <si>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</si>
  <si>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</si>
  <si>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</si>
  <si>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</si>
  <si>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</si>
  <si>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</si>
  <si>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</si>
  <si>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</si>
  <si>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</si>
  <si>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</si>
  <si>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</si>
  <si>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</si>
  <si>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</si>
  <si>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</si>
  <si>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</si>
  <si>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</si>
  <si>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</si>
  <si>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</si>
  <si>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</si>
  <si>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</si>
  <si>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</si>
  <si>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</si>
  <si>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</si>
  <si>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</si>
  <si>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</si>
  <si>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</si>
  <si>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</si>
  <si>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</si>
  <si>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</si>
  <si>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</si>
  <si>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</si>
  <si>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</si>
  <si>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</si>
  <si>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</si>
  <si>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</si>
  <si>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</si>
  <si>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</si>
  <si>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</si>
  <si>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</si>
  <si>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</si>
  <si>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</si>
  <si>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</si>
  <si>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</si>
  <si>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</si>
  <si>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</si>
  <si>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</si>
  <si>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</si>
  <si>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</si>
  <si>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</si>
  <si>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</si>
  <si>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</si>
  <si>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</si>
  <si>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</si>
  <si>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</si>
  <si>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</si>
  <si>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</si>
  <si>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</si>
  <si>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</si>
  <si>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</si>
  <si>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</si>
  <si>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</si>
  <si>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</si>
  <si>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</si>
  <si>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</si>
  <si>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</si>
  <si>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</si>
  <si>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</si>
  <si>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</si>
  <si>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</si>
  <si>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</si>
  <si>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</si>
  <si>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</si>
  <si>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</si>
  <si>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</si>
  <si>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</si>
  <si>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</si>
  <si>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</si>
  <si>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</si>
  <si>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</si>
  <si>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</si>
  <si>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</si>
  <si>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</si>
  <si>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</si>
  <si>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</si>
  <si>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</si>
  <si>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</si>
  <si>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</si>
  <si>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</si>
  <si>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</si>
  <si>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</si>
  <si>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</si>
  <si>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</si>
  <si>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</si>
  <si>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</si>
  <si>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</si>
  <si>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</si>
  <si>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</si>
  <si>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</si>
  <si>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</si>
  <si>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</si>
  <si>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</si>
  <si>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</si>
  <si>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</si>
  <si>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</si>
  <si>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</si>
  <si>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</si>
  <si>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</si>
  <si>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</si>
  <si>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</si>
  <si>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</si>
  <si>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</si>
  <si>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</si>
  <si>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</si>
  <si>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</si>
  <si>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</si>
  <si>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</si>
  <si>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</si>
  <si>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</si>
  <si>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</si>
  <si>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</si>
  <si>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</si>
  <si>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</si>
  <si>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</si>
  <si>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</si>
  <si>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</si>
  <si>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</si>
  <si>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</si>
  <si>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</si>
  <si>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</si>
  <si>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</si>
  <si>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</si>
  <si>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</si>
  <si>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</si>
  <si>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</si>
  <si>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</si>
  <si>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</si>
  <si>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</si>
  <si>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</si>
  <si>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</si>
  <si>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</si>
  <si>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</si>
  <si>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</si>
  <si>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</si>
  <si>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</si>
  <si>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</si>
  <si>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</si>
  <si>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</si>
  <si>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</si>
  <si>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</si>
  <si>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</si>
  <si>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</si>
  <si>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</si>
  <si>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</si>
  <si>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</si>
  <si>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</si>
  <si>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</si>
  <si>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</si>
  <si>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</si>
  <si>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</si>
  <si>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</si>
  <si>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</si>
  <si>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</si>
  <si>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</si>
  <si>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</si>
  <si>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</si>
  <si>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</si>
  <si>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</si>
  <si>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</si>
  <si>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</si>
  <si>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</si>
  <si>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</si>
  <si>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</si>
  <si>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</si>
  <si>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</si>
  <si>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</si>
  <si>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</si>
  <si>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</si>
  <si>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</si>
  <si>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</si>
  <si>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</si>
  <si>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</si>
  <si>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</si>
  <si>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</si>
  <si>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</si>
  <si>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</si>
  <si>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</si>
  <si>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</si>
  <si>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</si>
  <si>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</si>
  <si>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</si>
  <si>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</si>
  <si>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</si>
  <si>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</si>
  <si>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</si>
  <si>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</si>
  <si>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</si>
  <si>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</si>
  <si>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</si>
  <si>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</si>
  <si>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</si>
  <si>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</si>
  <si>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</si>
  <si>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</si>
  <si>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</si>
  <si>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</si>
  <si>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</si>
  <si>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</si>
  <si>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</si>
  <si>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</si>
  <si>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</si>
  <si>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</si>
  <si>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</si>
  <si>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</si>
  <si>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</si>
  <si>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</si>
  <si>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</si>
  <si>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</si>
  <si>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</si>
  <si>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</si>
  <si>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</si>
  <si>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</si>
  <si>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</si>
  <si>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</si>
  <si>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</si>
  <si>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</si>
  <si>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</si>
  <si>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</si>
  <si>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</si>
  <si>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</si>
  <si>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</si>
  <si>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</si>
  <si>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</si>
  <si>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</si>
  <si>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</si>
  <si>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</si>
  <si>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</si>
  <si>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</si>
  <si>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</si>
  <si>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</si>
  <si>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</si>
  <si>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</si>
  <si>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</si>
  <si>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</si>
  <si>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</si>
  <si>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</si>
  <si>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</si>
  <si>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</si>
  <si>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</si>
  <si>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</si>
  <si>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</si>
  <si>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</si>
  <si>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</si>
  <si>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</si>
  <si>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</si>
  <si>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</si>
  <si>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</si>
  <si>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</si>
  <si>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</si>
  <si>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</si>
  <si>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</si>
  <si>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</si>
  <si>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</si>
  <si>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</si>
  <si>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</si>
  <si>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</si>
  <si>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</si>
  <si>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</si>
  <si>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</si>
  <si>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</si>
  <si>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</si>
  <si>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</si>
  <si>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</si>
  <si>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</si>
  <si>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</si>
  <si>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</si>
  <si>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</si>
  <si>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</si>
  <si>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</si>
  <si>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</si>
  <si>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</si>
  <si>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</si>
  <si>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</si>
  <si>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</si>
  <si>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</si>
  <si>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</si>
  <si>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</si>
  <si>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</si>
  <si>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</si>
  <si>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</si>
  <si>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</si>
  <si>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</si>
  <si>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</si>
  <si>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</si>
  <si>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</si>
  <si>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</si>
  <si>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</si>
  <si>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</si>
  <si>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</si>
  <si>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</si>
  <si>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</si>
  <si>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</si>
  <si>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</si>
  <si>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</si>
  <si>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</si>
  <si>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</si>
  <si>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</si>
  <si>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</si>
  <si>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</si>
  <si>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</si>
  <si>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</si>
  <si>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</si>
  <si>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</si>
  <si>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</si>
  <si>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</si>
  <si>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</si>
  <si>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</si>
  <si>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</si>
  <si>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</si>
  <si>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</si>
  <si>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</si>
  <si>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</si>
  <si>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</si>
  <si>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</si>
  <si>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</si>
  <si>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</si>
  <si>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</si>
  <si>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</si>
  <si>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</si>
  <si>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</si>
  <si>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</si>
  <si>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</si>
  <si>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</si>
  <si>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</si>
  <si>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</si>
  <si>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</si>
  <si>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</si>
  <si>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</si>
  <si>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</si>
  <si>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</si>
  <si>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</si>
  <si>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</si>
  <si>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</si>
  <si>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</si>
  <si>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</si>
  <si>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</si>
  <si>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</si>
  <si>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</si>
  <si>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</si>
  <si>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</si>
  <si>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</si>
  <si>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</si>
  <si>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</si>
  <si>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</si>
  <si>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</si>
  <si>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</si>
  <si>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</si>
  <si>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</si>
  <si>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</si>
  <si>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</si>
  <si>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</si>
  <si>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</si>
  <si>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</si>
  <si>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</si>
  <si>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</si>
  <si>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</si>
  <si>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</si>
  <si>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</si>
  <si>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</si>
  <si>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</si>
  <si>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</si>
  <si>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</si>
  <si>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</si>
  <si>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</si>
  <si>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</si>
  <si>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</si>
  <si>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</si>
  <si>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</si>
  <si>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</si>
  <si>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</si>
  <si>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</si>
  <si>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</si>
  <si>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</si>
  <si>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</si>
  <si>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</si>
  <si>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</si>
  <si>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</si>
  <si>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</si>
  <si>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</si>
  <si>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</si>
  <si>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</si>
  <si>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</si>
  <si>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</si>
  <si>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</si>
  <si>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</si>
  <si>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</si>
  <si>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</si>
  <si>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</si>
  <si>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</si>
  <si>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</si>
  <si>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</si>
  <si>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</si>
  <si>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</si>
  <si>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</si>
  <si>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</si>
  <si>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</si>
  <si>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</si>
  <si>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</si>
  <si>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</si>
  <si>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</si>
  <si>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</si>
  <si>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</si>
  <si>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</si>
  <si>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</si>
  <si>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</si>
  <si>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</si>
  <si>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</si>
  <si>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</si>
  <si>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</si>
  <si>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</si>
  <si>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</si>
  <si>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</si>
  <si>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</si>
  <si>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</si>
  <si>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</si>
  <si>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</si>
  <si>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</si>
  <si>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</si>
  <si>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</si>
  <si>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</si>
  <si>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</si>
  <si>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</si>
  <si>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</si>
  <si>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</si>
  <si>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</si>
  <si>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</si>
  <si>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</si>
  <si>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</si>
  <si>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</si>
  <si>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</si>
  <si>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</si>
  <si>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</si>
  <si>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</si>
  <si>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</si>
  <si>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</si>
  <si>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</si>
  <si>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</si>
  <si>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</si>
  <si>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</si>
  <si>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</si>
  <si>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</si>
  <si>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</si>
  <si>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</si>
  <si>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</si>
  <si>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</si>
  <si>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</si>
  <si>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</si>
  <si>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</si>
  <si>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</si>
  <si>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</si>
  <si>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</si>
  <si>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</si>
  <si>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</si>
  <si>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</si>
  <si>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</si>
  <si>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</si>
  <si>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</si>
  <si>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</si>
  <si>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</si>
  <si>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</si>
  <si>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</si>
  <si>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</si>
  <si>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</si>
  <si>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</si>
  <si>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</si>
  <si>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</si>
  <si>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</si>
  <si>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</si>
  <si>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</si>
  <si>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</si>
  <si>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</si>
  <si>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</si>
  <si>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</si>
  <si>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</si>
  <si>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</si>
  <si>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</si>
  <si>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</si>
  <si>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</si>
  <si>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</si>
  <si>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</si>
  <si>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</si>
  <si>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</si>
  <si>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</si>
  <si>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</si>
  <si>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</si>
  <si>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</si>
  <si>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</si>
  <si>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</si>
  <si>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</si>
  <si>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</si>
  <si>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</si>
  <si>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</si>
  <si>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</si>
  <si>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</si>
  <si>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</si>
  <si>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</si>
  <si>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</si>
  <si>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</si>
  <si>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</si>
  <si>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</si>
  <si>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</si>
  <si>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</si>
  <si>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</si>
  <si>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</si>
  <si>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</si>
  <si>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</si>
  <si>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</si>
  <si>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</si>
  <si>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</si>
  <si>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</si>
  <si>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</si>
  <si>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</si>
  <si>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</si>
  <si>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</si>
  <si>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</si>
  <si>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</si>
  <si>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</si>
  <si>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</si>
  <si>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</si>
  <si>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</si>
  <si>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</si>
  <si>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</si>
  <si>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</si>
  <si>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</si>
  <si>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</si>
  <si>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</si>
  <si>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</si>
  <si>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</si>
  <si>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</si>
  <si>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</si>
  <si>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</si>
  <si>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</si>
  <si>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</si>
  <si>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</si>
  <si>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</si>
  <si>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</si>
  <si>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</si>
  <si>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</si>
  <si>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</si>
  <si>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</si>
  <si>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</si>
  <si>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</si>
  <si>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</si>
  <si>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</si>
  <si>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</si>
  <si>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</si>
  <si>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</si>
  <si>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</si>
  <si>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</si>
  <si>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</si>
  <si>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</si>
  <si>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</si>
  <si>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</si>
  <si>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</si>
  <si>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</si>
  <si>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</si>
  <si>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</si>
  <si>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</si>
  <si>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</si>
  <si>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</si>
  <si>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</si>
  <si>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</si>
  <si>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</si>
  <si>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</si>
  <si>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</si>
  <si>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</si>
  <si>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</si>
  <si>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</si>
  <si>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</si>
  <si>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</si>
  <si>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</si>
  <si>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</si>
  <si>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</si>
  <si>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</si>
  <si>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</si>
  <si>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</si>
  <si>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</si>
  <si>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</si>
  <si>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</si>
  <si>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</si>
  <si>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</si>
  <si>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</si>
  <si>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</si>
  <si>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</si>
  <si>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</si>
  <si>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</si>
  <si>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</si>
  <si>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</si>
  <si>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</si>
  <si>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</si>
  <si>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</si>
  <si>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</si>
  <si>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</si>
  <si>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</si>
  <si>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</si>
  <si>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</si>
  <si>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</si>
  <si>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</si>
  <si>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</si>
  <si>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</si>
  <si>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</si>
  <si>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</si>
  <si>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</si>
  <si>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</si>
  <si>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</si>
  <si>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</si>
  <si>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</si>
  <si>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</si>
  <si>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</si>
  <si>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</si>
  <si>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</si>
  <si>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</si>
  <si>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</si>
  <si>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</si>
  <si>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</si>
  <si>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</si>
  <si>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</si>
  <si>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</si>
  <si>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</si>
  <si>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</si>
  <si>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</si>
  <si>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</si>
  <si>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</si>
  <si>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</si>
  <si>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</si>
  <si>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</si>
  <si>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</si>
  <si>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</si>
  <si>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</si>
  <si>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</si>
  <si>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</si>
  <si>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</si>
  <si>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</si>
  <si>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</si>
  <si>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</si>
  <si>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</si>
  <si>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</si>
  <si>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</si>
  <si>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</si>
  <si>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</si>
  <si>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</si>
  <si>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</si>
  <si>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</si>
  <si>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</si>
  <si>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</si>
  <si>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</si>
  <si>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</si>
  <si>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</si>
  <si>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</si>
  <si>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</si>
  <si>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</si>
  <si>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</si>
  <si>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</si>
  <si>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</si>
  <si>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</si>
  <si>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</si>
  <si>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</si>
  <si>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</si>
  <si>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</si>
  <si>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</si>
  <si>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</si>
  <si>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</si>
  <si>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</si>
  <si>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</si>
  <si>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</si>
  <si>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</si>
  <si>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</si>
  <si>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</si>
  <si>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</si>
  <si>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</si>
  <si>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</si>
  <si>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</si>
  <si>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</si>
  <si>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</si>
  <si>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</si>
  <si>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</si>
  <si>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</si>
  <si>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</si>
  <si>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</si>
  <si>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</si>
  <si>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</si>
  <si>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</si>
  <si>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</si>
  <si>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</si>
  <si>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</si>
  <si>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</si>
  <si>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</si>
  <si>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</si>
  <si>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</si>
  <si>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</si>
  <si>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</si>
  <si>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</si>
  <si>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</si>
  <si>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</si>
  <si>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</si>
  <si>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</si>
  <si>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</si>
  <si>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</si>
  <si>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</si>
  <si>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</si>
  <si>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</si>
  <si>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</si>
  <si>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</si>
  <si>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</si>
  <si>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</si>
  <si>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</si>
  <si>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</si>
  <si>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</si>
  <si>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</si>
  <si>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</si>
  <si>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</si>
  <si>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</si>
  <si>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</si>
  <si>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</si>
  <si>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</si>
  <si>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</si>
  <si>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</si>
  <si>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</si>
  <si>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</si>
  <si>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</si>
  <si>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</si>
  <si>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</si>
  <si>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</si>
  <si>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</si>
  <si>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</si>
  <si>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</si>
  <si>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</si>
  <si>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</si>
  <si>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</si>
  <si>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</si>
  <si>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</si>
  <si>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</si>
  <si>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</si>
  <si>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</si>
  <si>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</si>
  <si>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</si>
  <si>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</si>
  <si>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</si>
  <si>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</si>
  <si>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</si>
  <si>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</si>
  <si>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</si>
  <si>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</si>
  <si>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</si>
  <si>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</si>
  <si>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</si>
  <si>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</si>
  <si>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</si>
  <si>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</si>
  <si>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</si>
  <si>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</si>
  <si>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</si>
  <si>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</si>
  <si>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</si>
  <si>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</si>
  <si>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</si>
  <si>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</si>
  <si>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</si>
  <si>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</si>
  <si>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</si>
  <si>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</si>
  <si>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</si>
  <si>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</si>
  <si>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</si>
  <si>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</si>
  <si>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</si>
  <si>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</si>
  <si>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</si>
  <si>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</si>
  <si>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</si>
  <si>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</si>
  <si>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</si>
  <si>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</si>
  <si>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</si>
  <si>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</si>
  <si>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</si>
  <si>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</si>
  <si>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</si>
  <si>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</si>
  <si>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</si>
  <si>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</si>
  <si>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</si>
  <si>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</si>
  <si>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</si>
  <si>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</si>
  <si>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</si>
  <si>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</si>
  <si>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</si>
  <si>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</si>
  <si>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</si>
  <si>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</si>
  <si>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</si>
  <si>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</si>
  <si>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</si>
  <si>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</si>
  <si>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</si>
  <si>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</si>
  <si>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</si>
  <si>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</si>
  <si>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</si>
  <si>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</si>
  <si>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</si>
  <si>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</si>
  <si>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</si>
  <si>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</si>
  <si>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</si>
  <si>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</si>
  <si>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</si>
  <si>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</si>
  <si>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</si>
  <si>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</si>
  <si>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</si>
  <si>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</si>
  <si>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</si>
  <si>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</si>
  <si>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</si>
  <si>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</si>
  <si>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</si>
  <si>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</si>
  <si>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</si>
  <si>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</si>
  <si>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</si>
  <si>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</si>
  <si>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</si>
  <si>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</si>
  <si>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</si>
  <si>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</si>
  <si>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</si>
  <si>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</si>
  <si>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</si>
  <si>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</si>
  <si>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</si>
  <si>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</si>
  <si>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</si>
  <si>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</si>
  <si>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</si>
  <si>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</si>
  <si>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</si>
  <si>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</si>
  <si>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</si>
  <si>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</si>
  <si>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</si>
  <si>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</si>
  <si>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</si>
  <si>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</si>
  <si>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</si>
  <si>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</si>
  <si>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</si>
  <si>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</si>
  <si>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</si>
  <si>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</si>
  <si>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</si>
  <si>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</si>
  <si>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</si>
  <si>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</si>
  <si>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</si>
  <si>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</si>
  <si>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</si>
  <si>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</si>
  <si>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</si>
  <si>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</si>
  <si>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</si>
  <si>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</si>
  <si>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</si>
  <si>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</si>
  <si>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</si>
  <si>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</si>
  <si>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</si>
  <si>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</si>
  <si>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</si>
  <si>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</si>
  <si>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</si>
  <si>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</si>
  <si>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</si>
  <si>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</si>
  <si>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</si>
  <si>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</si>
  <si>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</si>
  <si>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</si>
  <si>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</si>
  <si>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</si>
  <si>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</si>
  <si>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</si>
  <si>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</si>
  <si>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</si>
  <si>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</si>
  <si>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</si>
  <si>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</si>
  <si>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</si>
  <si>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</si>
  <si>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</si>
  <si>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</si>
  <si>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</si>
  <si>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</si>
  <si>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</si>
  <si>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</si>
  <si>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</si>
  <si>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</si>
  <si>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</si>
  <si>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</si>
  <si>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</si>
  <si>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</si>
  <si>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</si>
  <si>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</si>
  <si>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</si>
  <si>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</si>
  <si>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</si>
  <si>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</si>
  <si>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</si>
  <si>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</si>
  <si>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</si>
  <si>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</si>
  <si>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</si>
  <si>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</si>
  <si>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</si>
  <si>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</si>
  <si>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</si>
  <si>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</si>
  <si>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</si>
  <si>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</si>
  <si>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</si>
  <si>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</si>
  <si>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</si>
  <si>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</si>
  <si>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</si>
  <si>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</si>
  <si>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</si>
  <si>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</si>
  <si>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</si>
  <si>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</si>
  <si>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</si>
  <si>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</si>
  <si>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</si>
  <si>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</si>
  <si>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</si>
  <si>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</si>
  <si>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</si>
  <si>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</si>
  <si>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</si>
  <si>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</si>
  <si>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</si>
  <si>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</si>
  <si>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</si>
  <si>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</si>
  <si>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</si>
  <si>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</si>
  <si>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</si>
  <si>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</si>
  <si>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</si>
  <si>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</si>
  <si>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</si>
  <si>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</si>
  <si>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</si>
  <si>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</si>
  <si>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</si>
  <si>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</si>
  <si>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</si>
  <si>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</si>
  <si>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</si>
  <si>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</si>
  <si>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</si>
  <si>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</si>
  <si>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</si>
  <si>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</si>
  <si>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</si>
  <si>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</si>
  <si>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</si>
  <si>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</si>
  <si>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</si>
  <si>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</si>
  <si>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</si>
  <si>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</si>
  <si>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</si>
  <si>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</si>
  <si>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</si>
  <si>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</si>
  <si>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</si>
  <si>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</si>
  <si>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</si>
  <si>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</si>
  <si>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</si>
  <si>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</si>
  <si>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</si>
  <si>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</si>
  <si>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</si>
  <si>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</si>
  <si>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</si>
  <si>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</si>
  <si>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</si>
  <si>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</si>
  <si>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</si>
  <si>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</si>
  <si>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</si>
  <si>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</si>
  <si>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</si>
  <si>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</si>
  <si>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</si>
  <si>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</si>
  <si>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</si>
  <si>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</si>
  <si>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</si>
  <si>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</si>
  <si>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</si>
  <si>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</si>
  <si>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</si>
  <si>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</si>
  <si>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</si>
  <si>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</si>
  <si>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</si>
  <si>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</si>
  <si>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</si>
  <si>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</si>
  <si>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</si>
  <si>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</si>
  <si>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</si>
  <si>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</si>
  <si>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</si>
  <si>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</si>
  <si>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</si>
  <si>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</si>
  <si>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</si>
  <si>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</si>
  <si>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</si>
  <si>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</si>
  <si>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</si>
  <si>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</si>
  <si>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</si>
  <si>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</si>
  <si>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</si>
  <si>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</si>
  <si>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</si>
  <si>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</si>
  <si>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</si>
  <si>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</si>
  <si>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</si>
  <si>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</si>
  <si>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</si>
  <si>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</si>
  <si>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</si>
  <si>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</si>
  <si>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</si>
  <si>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</si>
  <si>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</si>
  <si>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</si>
  <si>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</si>
  <si>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</si>
  <si>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</si>
  <si>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</si>
  <si>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</si>
  <si>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</si>
  <si>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</si>
  <si>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</si>
  <si>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</si>
  <si>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</si>
  <si>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</si>
  <si>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</si>
  <si>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</si>
  <si>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</si>
  <si>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</si>
  <si>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</si>
  <si>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</si>
  <si>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</si>
  <si>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</si>
  <si>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</si>
  <si>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</si>
  <si>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</si>
  <si>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</si>
  <si>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</si>
  <si>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</si>
  <si>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</si>
  <si>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</si>
  <si>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</si>
  <si>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</si>
  <si>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</si>
  <si>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</si>
  <si>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</si>
  <si>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</si>
  <si>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</si>
  <si>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</si>
  <si>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</si>
  <si>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</si>
  <si>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</si>
  <si>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</si>
  <si>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</si>
  <si>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</si>
  <si>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</si>
  <si>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</si>
  <si>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</si>
  <si>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</si>
  <si>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</si>
  <si>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</si>
  <si>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</si>
  <si>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</si>
  <si>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</si>
  <si>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</si>
  <si>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</si>
  <si>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</si>
  <si>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</si>
  <si>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</si>
  <si>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</si>
  <si>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</si>
  <si>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</si>
  <si>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</si>
  <si>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</si>
  <si>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</si>
  <si>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</si>
  <si>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</si>
  <si>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</si>
  <si>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</si>
  <si>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</si>
  <si>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</si>
  <si>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</si>
  <si>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</si>
  <si>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</si>
  <si>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</si>
  <si>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</si>
  <si>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</si>
  <si>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</si>
  <si>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</si>
  <si>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</si>
  <si>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</si>
  <si>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</si>
  <si>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</si>
  <si>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</si>
  <si>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</si>
  <si>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</si>
  <si>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</si>
  <si>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</si>
  <si>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</si>
  <si>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</si>
  <si>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</si>
  <si>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</si>
  <si>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</si>
  <si>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</si>
  <si>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</si>
  <si>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</si>
  <si>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</si>
  <si>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</si>
  <si>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</si>
  <si>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</si>
  <si>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</si>
  <si>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</si>
  <si>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</si>
  <si>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</si>
  <si>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</si>
  <si>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</si>
  <si>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</si>
  <si>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</si>
  <si>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</si>
  <si>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</si>
  <si>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</si>
  <si>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</si>
  <si>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</si>
  <si>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</si>
  <si>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</si>
  <si>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</si>
  <si>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</si>
  <si>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</si>
  <si>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</si>
  <si>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</si>
  <si>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</si>
  <si>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</si>
  <si>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</si>
  <si>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</si>
  <si>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</si>
  <si>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</si>
  <si>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</si>
  <si>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</si>
  <si>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</si>
  <si>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</si>
  <si>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</si>
  <si>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</si>
  <si>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</si>
  <si>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</si>
  <si>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</si>
  <si>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</si>
  <si>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</si>
  <si>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</si>
  <si>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</si>
  <si>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</si>
  <si>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</si>
  <si>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</si>
  <si>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</si>
  <si>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</si>
  <si>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</si>
  <si>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</si>
  <si>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</si>
  <si>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</si>
  <si>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</si>
  <si>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</si>
  <si>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</si>
  <si>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</si>
  <si>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</si>
  <si>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</si>
  <si>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</si>
  <si>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</si>
  <si>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</si>
  <si>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</si>
  <si>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</si>
  <si>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</si>
  <si>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</si>
  <si>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</si>
  <si>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</si>
  <si>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</si>
  <si>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</si>
  <si>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</si>
  <si>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</si>
  <si>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</si>
  <si>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</si>
  <si>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</si>
  <si>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</si>
  <si>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</si>
  <si>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</si>
  <si>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</si>
  <si>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</si>
  <si>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</si>
  <si>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</si>
  <si>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</si>
  <si>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</si>
  <si>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</si>
  <si>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</si>
  <si>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</si>
  <si>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</si>
  <si>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</si>
  <si>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</si>
  <si>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</si>
  <si>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</si>
  <si>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</si>
  <si>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</si>
  <si>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</si>
  <si>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</si>
  <si>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</si>
  <si>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</si>
  <si>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</si>
  <si>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</si>
  <si>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</si>
  <si>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</si>
  <si>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</si>
  <si>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</si>
  <si>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</si>
  <si>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</si>
  <si>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</si>
  <si>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</si>
  <si>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</si>
  <si>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</si>
  <si>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</si>
  <si>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</si>
  <si>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</si>
  <si>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</si>
  <si>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</si>
  <si>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</si>
  <si>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</si>
  <si>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</si>
  <si>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</si>
  <si>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</si>
  <si>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</si>
  <si>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</si>
  <si>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</si>
  <si>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</si>
  <si>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</si>
  <si>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</si>
  <si>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</si>
  <si>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</si>
  <si>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</si>
  <si>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</si>
  <si>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</si>
  <si>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</si>
  <si>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</si>
  <si>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</si>
  <si>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</si>
  <si>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</si>
  <si>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</si>
  <si>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</si>
  <si>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</si>
  <si>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</si>
  <si>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</si>
  <si>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</si>
  <si>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</si>
  <si>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</si>
  <si>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</si>
  <si>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</si>
  <si>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</si>
  <si>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</si>
  <si>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</si>
  <si>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</si>
  <si>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</si>
  <si>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</si>
  <si>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</si>
  <si>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</si>
  <si>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</si>
  <si>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</si>
  <si>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</si>
  <si>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</si>
  <si>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</si>
  <si>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</si>
  <si>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</si>
  <si>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</si>
  <si>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</si>
  <si>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</si>
  <si>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</si>
  <si>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</si>
  <si>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</si>
  <si>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</si>
  <si>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</si>
  <si>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</si>
  <si>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</si>
  <si>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</si>
  <si>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</si>
  <si>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</si>
  <si>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</si>
  <si>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</si>
  <si>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</si>
  <si>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</si>
  <si>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</si>
  <si>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</si>
  <si>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</si>
  <si>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</si>
  <si>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</si>
  <si>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</si>
  <si>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</si>
  <si>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</si>
  <si>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</si>
  <si>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</si>
  <si>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</si>
  <si>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</si>
  <si>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</si>
  <si>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</si>
  <si>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</si>
  <si>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</si>
  <si>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</si>
  <si>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</si>
  <si>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</si>
  <si>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</si>
  <si>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</si>
  <si>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</si>
  <si>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</si>
  <si>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</si>
  <si>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</si>
  <si>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</si>
  <si>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</si>
  <si>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</si>
  <si>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</si>
  <si>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</si>
  <si>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</si>
  <si>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</si>
  <si>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</si>
  <si>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</si>
  <si>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</si>
  <si>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</si>
  <si>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</si>
  <si>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</si>
  <si>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</si>
  <si>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</si>
  <si>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</si>
  <si>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</si>
  <si>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</si>
  <si>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</si>
  <si>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</si>
  <si>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</si>
  <si>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</si>
  <si>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</si>
  <si>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</si>
  <si>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</si>
  <si>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</si>
  <si>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</si>
  <si>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</si>
  <si>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</si>
  <si>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</si>
  <si>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</si>
  <si>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</si>
  <si>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</si>
  <si>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</si>
  <si>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</si>
  <si>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</si>
  <si>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</si>
  <si>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</si>
  <si>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</si>
  <si>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</si>
  <si>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</si>
  <si>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</si>
  <si>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</si>
  <si>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</si>
  <si>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</si>
  <si>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</si>
  <si>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</si>
  <si>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</si>
  <si>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</si>
  <si>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</si>
  <si>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</si>
  <si>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</si>
  <si>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</si>
  <si>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</si>
  <si>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</si>
  <si>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</si>
  <si>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</si>
  <si>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</si>
  <si>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</si>
  <si>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</si>
  <si>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</si>
  <si>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</si>
  <si>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</si>
  <si>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</si>
  <si>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</si>
  <si>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</si>
  <si>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</si>
  <si>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</si>
  <si>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</si>
  <si>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</si>
  <si>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</si>
  <si>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</si>
  <si>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</si>
  <si>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</si>
  <si>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</si>
  <si>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</si>
  <si>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</si>
  <si>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</si>
  <si>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</si>
  <si>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</si>
  <si>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</si>
  <si>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</si>
  <si>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</si>
  <si>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</si>
  <si>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</si>
  <si>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</si>
  <si>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</si>
  <si>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</si>
  <si>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</si>
  <si>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</si>
  <si>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</si>
  <si>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</si>
  <si>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</si>
  <si>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</si>
  <si>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</si>
  <si>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</si>
  <si>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</si>
  <si>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</si>
  <si>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</si>
  <si>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</si>
  <si>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</si>
  <si>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</si>
  <si>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</si>
  <si>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</si>
  <si>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</si>
  <si>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</si>
  <si>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</si>
  <si>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</si>
  <si>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</si>
  <si>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</si>
  <si>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</si>
  <si>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</si>
  <si>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</si>
  <si>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</si>
  <si>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</si>
  <si>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</si>
  <si>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</si>
  <si>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</si>
  <si>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</si>
  <si>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</si>
  <si>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</si>
  <si>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</si>
  <si>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</si>
  <si>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</si>
  <si>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</si>
  <si>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</si>
  <si>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</si>
  <si>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</si>
  <si>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</si>
  <si>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</si>
  <si>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</si>
  <si>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</si>
  <si>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</si>
  <si>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</si>
  <si>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</si>
  <si>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</si>
  <si>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</si>
  <si>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</si>
  <si>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</si>
  <si>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</si>
  <si>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</si>
  <si>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</si>
  <si>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</si>
  <si>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</si>
  <si>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</si>
  <si>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</si>
  <si>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</si>
  <si>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</si>
  <si>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</si>
  <si>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</si>
  <si>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</si>
  <si>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</si>
  <si>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</si>
  <si>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</si>
  <si>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</si>
  <si>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</si>
  <si>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</si>
  <si>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</si>
  <si>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</si>
  <si>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</si>
  <si>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</si>
  <si>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</si>
  <si>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</si>
  <si>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</si>
  <si>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</si>
  <si>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</si>
  <si>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</si>
  <si>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</si>
  <si>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</si>
  <si>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</si>
  <si>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</si>
  <si>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</si>
  <si>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</si>
  <si>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</si>
  <si>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</si>
  <si>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</si>
  <si>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</si>
  <si>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</si>
  <si>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</si>
  <si>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</si>
  <si>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</si>
  <si>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</si>
  <si>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</si>
  <si>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</si>
  <si>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</si>
  <si>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</si>
  <si>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</si>
  <si>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</si>
  <si>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</si>
  <si>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</si>
  <si>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</si>
  <si>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</si>
  <si>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</si>
  <si>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</si>
  <si>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</si>
  <si>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</si>
  <si>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</si>
  <si>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</si>
  <si>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</si>
  <si>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</si>
  <si>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</si>
  <si>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</si>
  <si>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</si>
  <si>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</si>
  <si>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</si>
  <si>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</si>
  <si>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</si>
  <si>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</si>
  <si>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</si>
  <si>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</si>
  <si>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</si>
  <si>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</si>
  <si>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</si>
  <si>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</si>
  <si>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</si>
  <si>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</si>
  <si>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</si>
  <si>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</si>
  <si>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</si>
  <si>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</si>
  <si>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</si>
  <si>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</si>
  <si>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</si>
  <si>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</si>
  <si>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</si>
  <si>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</si>
  <si>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</si>
  <si>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</si>
  <si>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</si>
  <si>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</si>
  <si>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</si>
  <si>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</si>
  <si>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</si>
  <si>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</si>
  <si>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</si>
  <si>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</si>
  <si>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</si>
  <si>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</si>
  <si>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</si>
  <si>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</si>
  <si>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</si>
  <si>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</si>
  <si>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</si>
  <si>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</si>
  <si>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</si>
  <si>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</si>
  <si>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</si>
  <si>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</si>
  <si>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</si>
  <si>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</si>
  <si>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</si>
  <si>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</si>
  <si>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</si>
  <si>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</si>
  <si>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</si>
  <si>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</si>
  <si>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</si>
  <si>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</si>
  <si>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</si>
  <si>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</si>
  <si>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</si>
  <si>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</si>
  <si>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</si>
  <si>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</si>
  <si>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</si>
  <si>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</si>
  <si>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</si>
  <si>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</si>
  <si>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</si>
  <si>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</si>
  <si>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</si>
  <si>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</si>
  <si>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</si>
  <si>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</si>
  <si>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</si>
  <si>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</si>
  <si>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</si>
  <si>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</si>
  <si>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</si>
  <si>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</si>
  <si>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</si>
  <si>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</si>
  <si>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</si>
  <si>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</si>
  <si>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</si>
  <si>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</si>
  <si>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</si>
  <si>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</si>
  <si>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</si>
  <si>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</si>
  <si>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</si>
  <si>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</si>
  <si>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</si>
  <si>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</si>
  <si>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</si>
  <si>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</si>
  <si>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</si>
  <si>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</si>
  <si>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</si>
  <si>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</si>
  <si>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</si>
  <si>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</si>
  <si>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</si>
  <si>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</si>
  <si>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</si>
  <si>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</si>
  <si>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</si>
  <si>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</si>
  <si>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</si>
  <si>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</si>
  <si>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</si>
  <si>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</si>
  <si>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</si>
  <si>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</si>
  <si>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</si>
  <si>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</si>
  <si>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</si>
  <si>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</si>
  <si>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</si>
  <si>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</si>
  <si>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</si>
  <si>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</si>
  <si>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</si>
  <si>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</si>
  <si>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</si>
  <si>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</si>
  <si>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</si>
  <si>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</si>
  <si>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</si>
  <si>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</si>
  <si>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</si>
  <si>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</si>
  <si>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</si>
  <si>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</si>
  <si>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</si>
  <si>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</si>
  <si>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</si>
  <si>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</si>
  <si>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</si>
  <si>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</si>
  <si>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</si>
  <si>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</si>
  <si>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</si>
  <si>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</si>
  <si>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</si>
  <si>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</si>
  <si>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</si>
  <si>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</si>
  <si>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</si>
  <si>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</si>
  <si>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</si>
  <si>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</si>
  <si>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</si>
  <si>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</si>
  <si>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</si>
  <si>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</si>
  <si>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</si>
  <si>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</si>
  <si>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</si>
  <si>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</si>
  <si>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</si>
  <si>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</si>
  <si>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</si>
  <si>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</si>
  <si>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</si>
  <si>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</si>
  <si>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</si>
  <si>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</si>
  <si>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</si>
  <si>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</si>
  <si>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</si>
  <si>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</si>
  <si>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</si>
  <si>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</si>
  <si>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</si>
  <si>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</si>
  <si>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</si>
  <si>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</si>
  <si>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</si>
  <si>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</si>
  <si>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</si>
  <si>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</si>
  <si>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</si>
  <si>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</si>
  <si>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</si>
  <si>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</si>
  <si>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</si>
  <si>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</si>
  <si>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</si>
  <si>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</si>
  <si>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</si>
  <si>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</si>
  <si>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</si>
  <si>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</si>
  <si>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</si>
  <si>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</si>
  <si>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</si>
  <si>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</si>
  <si>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</si>
  <si>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</si>
  <si>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</si>
  <si>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</si>
  <si>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</si>
  <si>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</si>
  <si>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</si>
  <si>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</si>
  <si>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</si>
  <si>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</si>
  <si>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</si>
  <si>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</si>
  <si>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</si>
  <si>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</si>
  <si>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</si>
  <si>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</si>
  <si>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</si>
  <si>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</si>
  <si>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</si>
  <si>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</si>
  <si>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</si>
  <si>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</si>
  <si>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</si>
  <si>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</si>
  <si>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</si>
  <si>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</si>
  <si>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</si>
  <si>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</si>
  <si>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</si>
  <si>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</si>
  <si>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</si>
  <si>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</si>
  <si>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</si>
  <si>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</si>
  <si>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</si>
  <si>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</si>
  <si>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</si>
  <si>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</si>
  <si>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</si>
  <si>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</si>
  <si>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</si>
  <si>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</si>
  <si>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</si>
  <si>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</si>
  <si>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</si>
  <si>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</si>
  <si>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</si>
  <si>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</si>
  <si>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</si>
  <si>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</si>
  <si>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</si>
  <si>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</si>
  <si>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</si>
  <si>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</si>
  <si>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</si>
  <si>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</si>
  <si>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</si>
  <si>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</si>
  <si>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</si>
  <si>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</si>
  <si>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</si>
  <si>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</si>
  <si>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</si>
  <si>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</si>
  <si>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</si>
  <si>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</si>
  <si>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</si>
  <si>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</si>
  <si>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</si>
  <si>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</si>
  <si>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</si>
  <si>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</si>
  <si>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</si>
  <si>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</si>
  <si>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</si>
  <si>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</si>
  <si>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</si>
  <si>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</si>
  <si>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</si>
  <si>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</si>
  <si>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</si>
  <si>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</si>
  <si>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</si>
  <si>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</si>
  <si>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</si>
  <si>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</si>
  <si>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</si>
  <si>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</si>
  <si>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</si>
  <si>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</si>
  <si>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</si>
  <si>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</si>
  <si>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</si>
  <si>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</si>
  <si>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</si>
  <si>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</si>
  <si>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</si>
  <si>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</si>
  <si>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</si>
  <si>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</si>
  <si>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</si>
  <si>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</si>
  <si>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</si>
  <si>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</si>
  <si>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</si>
  <si>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</si>
  <si>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</si>
  <si>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</si>
  <si>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</si>
  <si>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</si>
  <si>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</si>
  <si>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</si>
  <si>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</si>
  <si>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</si>
  <si>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</si>
  <si>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</si>
  <si>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</si>
  <si>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</si>
  <si>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</si>
  <si>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</si>
  <si>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</si>
  <si>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</si>
  <si>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</si>
  <si>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</si>
  <si>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</si>
  <si>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</si>
  <si>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</si>
  <si>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</si>
  <si>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</si>
  <si>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</si>
  <si>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</si>
  <si>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</si>
  <si>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</si>
  <si>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</si>
  <si>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</si>
  <si>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</si>
  <si>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</si>
  <si>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</si>
  <si>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</si>
  <si>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</si>
  <si>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</si>
  <si>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</si>
  <si>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</si>
  <si>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</si>
  <si>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</si>
  <si>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</si>
  <si>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</si>
  <si>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</si>
  <si>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</si>
  <si>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</si>
  <si>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</si>
  <si>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</si>
  <si>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</si>
  <si>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</si>
  <si>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</si>
  <si>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</si>
  <si>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</si>
  <si>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</si>
  <si>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</si>
  <si>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</si>
  <si>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</si>
  <si>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</si>
  <si>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</si>
  <si>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</si>
  <si>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</si>
  <si>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</si>
  <si>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</si>
  <si>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</si>
  <si>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</si>
  <si>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</si>
  <si>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</si>
  <si>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</si>
  <si>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</si>
  <si>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</si>
  <si>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</si>
  <si>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</si>
  <si>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</si>
  <si>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</si>
  <si>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</si>
  <si>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</si>
  <si>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</si>
  <si>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</si>
  <si>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</si>
  <si>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</si>
  <si>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</si>
  <si>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</si>
  <si>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</si>
  <si>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</si>
  <si>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</si>
  <si>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</si>
  <si>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</si>
  <si>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</si>
  <si>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</si>
  <si>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</si>
  <si>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</si>
  <si>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</si>
  <si>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</si>
  <si>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</si>
  <si>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</si>
  <si>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</si>
  <si>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</si>
  <si>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</si>
  <si>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</si>
  <si>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</si>
  <si>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</si>
  <si>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</si>
  <si>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</si>
  <si>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</si>
  <si>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</si>
  <si>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</si>
  <si>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</si>
  <si>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</si>
  <si>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</si>
  <si>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</si>
  <si>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</si>
  <si>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</si>
  <si>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</si>
  <si>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</si>
  <si>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</si>
  <si>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</si>
  <si>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</si>
  <si>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</si>
  <si>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</si>
  <si>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</si>
  <si>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</si>
  <si>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</si>
  <si>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</si>
  <si>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</si>
  <si>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</si>
  <si>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</si>
  <si>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</si>
  <si>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</si>
  <si>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</si>
  <si>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</si>
  <si>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</si>
  <si>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</si>
  <si>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</si>
  <si>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</si>
  <si>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</si>
  <si>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</si>
  <si>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</si>
  <si>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</si>
  <si>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</si>
  <si>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</si>
  <si>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</si>
  <si>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</si>
  <si>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</si>
  <si>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</si>
  <si>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</si>
  <si>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</si>
  <si>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</si>
  <si>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</si>
  <si>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</si>
  <si>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</si>
  <si>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</si>
  <si>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</si>
  <si>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</si>
  <si>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</si>
  <si>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</si>
  <si>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</si>
  <si>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</si>
  <si>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</si>
  <si>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</si>
  <si>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</si>
  <si>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</si>
  <si>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</si>
  <si>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</si>
  <si>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</si>
  <si>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</si>
  <si>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</si>
  <si>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</si>
  <si>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</si>
  <si>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</si>
  <si>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</si>
  <si>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</si>
  <si>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</si>
  <si>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</si>
  <si>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</si>
  <si>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</si>
  <si>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</si>
  <si>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</si>
  <si>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</si>
  <si>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</si>
  <si>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</si>
  <si>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</si>
  <si>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</si>
  <si>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</si>
  <si>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</si>
  <si>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</si>
  <si>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</si>
  <si>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</si>
  <si>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</si>
  <si>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</si>
  <si>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</si>
  <si>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</si>
  <si>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</si>
  <si>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</si>
  <si>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</si>
  <si>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</si>
  <si>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</si>
  <si>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</si>
  <si>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</si>
  <si>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</si>
  <si>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</si>
  <si>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</si>
  <si>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</si>
  <si>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</si>
  <si>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</si>
  <si>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</si>
  <si>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</si>
  <si>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</si>
  <si>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</si>
  <si>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</si>
  <si>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</si>
  <si>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</si>
  <si>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</si>
  <si>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</si>
  <si>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</si>
  <si>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</si>
  <si>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</si>
  <si>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</si>
  <si>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</si>
  <si>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</si>
  <si>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</si>
  <si>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</si>
  <si>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</si>
  <si>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</si>
  <si>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</si>
  <si>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</si>
  <si>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</si>
  <si>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</si>
  <si>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</si>
  <si>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</si>
  <si>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</si>
  <si>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</si>
  <si>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</si>
  <si>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</si>
  <si>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</si>
  <si>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</si>
  <si>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</si>
  <si>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</si>
  <si>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</si>
  <si>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</si>
  <si>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</si>
  <si>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</si>
  <si>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</si>
  <si>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</si>
  <si>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</si>
  <si>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</si>
  <si>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</si>
  <si>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</si>
  <si>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</si>
  <si>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</si>
  <si>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</si>
  <si>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</si>
  <si>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</si>
  <si>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</si>
  <si>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</si>
  <si>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</si>
  <si>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</si>
  <si>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</si>
  <si>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</si>
  <si>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</si>
  <si>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</si>
  <si>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</si>
  <si>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</si>
  <si>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</si>
  <si>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</si>
  <si>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</si>
  <si>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</si>
  <si>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</si>
  <si>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</si>
  <si>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</si>
  <si>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</si>
  <si>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</si>
  <si>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</si>
  <si>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</si>
  <si>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</si>
  <si>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</si>
  <si>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</si>
  <si>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</si>
  <si>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</si>
  <si>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</si>
  <si>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</si>
  <si>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</si>
  <si>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</si>
  <si>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</si>
  <si>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</si>
  <si>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</si>
  <si>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</si>
  <si>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</si>
  <si>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</si>
  <si>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</si>
  <si>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</si>
  <si>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</si>
  <si>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</si>
  <si>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</si>
  <si>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</si>
  <si>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</si>
  <si>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</si>
  <si>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</si>
  <si>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</si>
  <si>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</si>
  <si>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</si>
  <si>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</si>
  <si>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</si>
  <si>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</si>
  <si>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</si>
  <si>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</si>
  <si>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</si>
  <si>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</si>
  <si>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</si>
  <si>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</si>
  <si>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</si>
  <si>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</si>
  <si>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</si>
  <si>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</si>
  <si>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</si>
  <si>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</si>
  <si>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</si>
  <si>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</si>
  <si>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</si>
  <si>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</si>
  <si>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</si>
  <si>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</si>
  <si>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</si>
  <si>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</si>
  <si>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</si>
  <si>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</si>
  <si>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</si>
  <si>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</si>
  <si>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</si>
  <si>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</si>
  <si>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</si>
  <si>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</si>
  <si>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</si>
  <si>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</si>
  <si>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</si>
  <si>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</si>
  <si>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</si>
  <si>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</si>
  <si>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</si>
  <si>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</si>
  <si>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</si>
  <si>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</si>
  <si>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</si>
  <si>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</si>
  <si>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</si>
  <si>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</si>
  <si>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</si>
  <si>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</si>
  <si>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</si>
  <si>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</si>
  <si>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</si>
  <si>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</si>
  <si>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</si>
  <si>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</si>
  <si>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</si>
  <si>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</si>
  <si>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</si>
  <si>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</si>
  <si>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</si>
  <si>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</si>
  <si>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</si>
  <si>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</si>
  <si>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</si>
  <si>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</si>
  <si>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</si>
  <si>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</si>
  <si>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</si>
  <si>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</si>
  <si>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</si>
  <si>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</si>
  <si>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</si>
  <si>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</si>
  <si>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</si>
  <si>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</si>
  <si>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</si>
  <si>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</si>
  <si>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</si>
  <si>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</si>
  <si>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</si>
  <si>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</si>
  <si>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</si>
  <si>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</si>
  <si>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</si>
  <si>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</si>
  <si>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</si>
  <si>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</si>
  <si>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</si>
  <si>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</si>
  <si>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</si>
  <si>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</si>
  <si>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</si>
  <si>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</si>
  <si>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</si>
  <si>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</si>
  <si>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</si>
  <si>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</si>
  <si>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</si>
  <si>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</si>
  <si>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</si>
  <si>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</si>
  <si>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</si>
  <si>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</si>
  <si>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</si>
  <si>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</si>
  <si>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</si>
  <si>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</si>
  <si>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</si>
  <si>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</si>
  <si>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</si>
  <si>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</si>
  <si>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</si>
  <si>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</si>
  <si>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</si>
  <si>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</si>
  <si>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</si>
  <si>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</si>
  <si>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</si>
  <si>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</si>
  <si>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</si>
  <si>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</si>
  <si>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</si>
  <si>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</si>
  <si>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</si>
  <si>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</si>
  <si>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</si>
  <si>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</si>
  <si>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</si>
  <si>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</si>
  <si>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</si>
  <si>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</si>
  <si>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</si>
  <si>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</si>
  <si>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</si>
  <si>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</si>
  <si>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</si>
  <si>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</si>
  <si>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</si>
  <si>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</si>
  <si>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</si>
  <si>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</si>
  <si>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</si>
  <si>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</si>
  <si>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</si>
  <si>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</si>
  <si>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</si>
  <si>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</si>
  <si>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</si>
  <si>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</si>
  <si>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</si>
  <si>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</si>
  <si>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</si>
  <si>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</si>
  <si>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</si>
  <si>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</si>
  <si>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</si>
  <si>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</si>
  <si>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</si>
  <si>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</si>
  <si>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</si>
  <si>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</si>
  <si>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</si>
  <si>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</si>
  <si>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</si>
  <si>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</si>
  <si>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</si>
  <si>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</si>
  <si>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</si>
  <si>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</si>
  <si>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</si>
  <si>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</si>
  <si>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</si>
  <si>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</si>
  <si>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</si>
  <si>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</si>
  <si>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</si>
  <si>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</si>
  <si>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</si>
  <si>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</si>
  <si>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</si>
  <si>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</si>
  <si>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</si>
  <si>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</si>
  <si>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</si>
  <si>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</si>
  <si>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</si>
  <si>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</si>
  <si>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</si>
  <si>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</si>
  <si>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</si>
  <si>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</si>
  <si>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</si>
  <si>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</si>
  <si>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</si>
  <si>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</si>
  <si>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</si>
  <si>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</si>
  <si>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</si>
  <si>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</si>
  <si>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</si>
  <si>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</si>
  <si>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</si>
  <si>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</si>
  <si>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</si>
  <si>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</si>
  <si>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</si>
  <si>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</si>
  <si>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</si>
  <si>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</si>
  <si>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</si>
  <si>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</si>
  <si>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</si>
  <si>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</si>
  <si>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</si>
  <si>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</si>
  <si>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</si>
  <si>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</si>
  <si>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</si>
  <si>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</si>
  <si>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</si>
  <si>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</si>
  <si>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</si>
  <si>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</si>
  <si>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</si>
  <si>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</si>
  <si>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</si>
  <si>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</si>
  <si>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</si>
  <si>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</si>
  <si>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</si>
  <si>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</si>
  <si>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</si>
  <si>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</si>
  <si>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</si>
  <si>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</si>
  <si>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</si>
  <si>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</si>
  <si>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</si>
  <si>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</si>
  <si>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</si>
  <si>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</si>
  <si>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</si>
  <si>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</si>
  <si>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</si>
  <si>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</si>
  <si>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</si>
  <si>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</si>
  <si>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</si>
  <si>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</si>
  <si>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</si>
  <si>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</si>
  <si>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</si>
  <si>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</si>
  <si>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</si>
  <si>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</si>
  <si>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</si>
  <si>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</si>
  <si>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</si>
  <si>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</si>
  <si>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</si>
  <si>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</si>
  <si>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</si>
  <si>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</si>
  <si>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</si>
  <si>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</si>
  <si>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</si>
  <si>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</si>
  <si>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</si>
  <si>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</si>
  <si>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</si>
  <si>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</si>
  <si>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</si>
  <si>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</si>
  <si>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</si>
  <si>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</si>
  <si>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</si>
  <si>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</si>
  <si>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</si>
  <si>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</si>
  <si>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</si>
  <si>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</si>
  <si>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</si>
  <si>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</si>
  <si>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</si>
  <si>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</si>
  <si>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</si>
  <si>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</si>
  <si>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</si>
  <si>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</si>
  <si>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</si>
  <si>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</si>
  <si>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</si>
  <si>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</si>
  <si>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</si>
  <si>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</si>
  <si>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</si>
  <si>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</si>
  <si>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</si>
  <si>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</si>
  <si>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</si>
  <si>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</si>
  <si>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</si>
  <si>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</si>
  <si>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</si>
  <si>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</si>
  <si>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</si>
  <si>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</si>
  <si>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</si>
  <si>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</si>
  <si>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</si>
  <si>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</si>
  <si>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</si>
  <si>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</si>
  <si>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</si>
  <si>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</si>
  <si>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</si>
  <si>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</si>
  <si>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</si>
  <si>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</si>
  <si>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</si>
  <si>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</si>
  <si>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</si>
  <si>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</si>
  <si>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</si>
  <si>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</si>
  <si>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</si>
  <si>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</si>
  <si>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</si>
  <si>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</si>
  <si>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</si>
  <si>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</si>
  <si>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</si>
  <si>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</si>
  <si>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</si>
  <si>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</si>
  <si>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</si>
  <si>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</si>
  <si>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</si>
  <si>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</si>
  <si>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</si>
  <si>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</si>
  <si>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</si>
  <si>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</si>
  <si>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</si>
  <si>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</si>
  <si>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</si>
  <si>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</si>
  <si>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</si>
  <si>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</si>
  <si>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</si>
  <si>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</si>
  <si>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</si>
  <si>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</si>
  <si>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</si>
  <si>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</si>
  <si>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</si>
  <si>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</si>
  <si>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</si>
  <si>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</si>
  <si>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</si>
  <si>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</si>
  <si>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</si>
  <si>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</si>
  <si>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</si>
  <si>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</si>
  <si>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</si>
  <si>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</si>
  <si>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</si>
  <si>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</si>
  <si>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</si>
  <si>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</si>
  <si>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</si>
  <si>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</si>
  <si>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</si>
  <si>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</si>
  <si>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</si>
  <si>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</si>
  <si>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</si>
  <si>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</si>
  <si>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</si>
  <si>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</si>
  <si>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</si>
  <si>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</si>
  <si>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</si>
  <si>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</si>
  <si>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</si>
  <si>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</si>
  <si>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</si>
  <si>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</si>
  <si>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</si>
  <si>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</si>
  <si>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</si>
  <si>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</si>
  <si>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</si>
  <si>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</si>
  <si>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</si>
  <si>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</si>
  <si>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</si>
  <si>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</si>
  <si>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</si>
  <si>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</si>
  <si>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</si>
  <si>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</si>
  <si>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</si>
  <si>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</si>
  <si>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</si>
  <si>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</si>
  <si>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</si>
  <si>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</si>
  <si>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</si>
  <si>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</si>
  <si>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</si>
  <si>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</si>
  <si>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</si>
  <si>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</si>
  <si>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</si>
  <si>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</si>
  <si>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</si>
  <si>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</si>
  <si>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</si>
  <si>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</si>
  <si>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</si>
  <si>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</si>
  <si>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</si>
  <si>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</si>
  <si>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</si>
  <si>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</si>
  <si>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</si>
  <si>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</si>
  <si>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</si>
  <si>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</si>
  <si>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</si>
  <si>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</si>
  <si>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</si>
  <si>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</si>
  <si>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</si>
  <si>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</si>
  <si>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</si>
  <si>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</si>
  <si>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</si>
  <si>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</si>
  <si>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</si>
  <si>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</si>
  <si>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</si>
  <si>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</si>
  <si>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</si>
  <si>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</si>
  <si>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</si>
  <si>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</si>
  <si>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</si>
  <si>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</si>
  <si>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</si>
  <si>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</si>
  <si>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</si>
  <si>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</si>
  <si>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</si>
  <si>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</si>
  <si>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</si>
  <si>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</si>
  <si>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</si>
  <si>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</si>
  <si>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</si>
  <si>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</si>
  <si>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</si>
  <si>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</si>
  <si>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</si>
  <si>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</si>
  <si>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</si>
  <si>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</si>
  <si>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</si>
  <si>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</si>
  <si>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</si>
  <si>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</si>
  <si>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</si>
  <si>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</si>
  <si>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</si>
  <si>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</si>
  <si>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</si>
  <si>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</si>
  <si>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</si>
  <si>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</si>
  <si>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</si>
  <si>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</si>
  <si>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</si>
  <si>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</si>
  <si>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</si>
  <si>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</si>
  <si>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</si>
  <si>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</si>
  <si>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</si>
  <si>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</si>
  <si>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</si>
  <si>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</si>
  <si>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</si>
  <si>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</si>
  <si>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</si>
  <si>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</si>
  <si>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</si>
  <si>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</si>
  <si>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</si>
  <si>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</si>
  <si>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</si>
  <si>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</si>
  <si>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</si>
  <si>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</si>
  <si>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</si>
  <si>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</si>
  <si>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</si>
  <si>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</si>
  <si>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</si>
  <si>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</si>
  <si>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</si>
  <si>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</si>
  <si>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</si>
  <si>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</si>
  <si>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</si>
  <si>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</si>
  <si>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</si>
  <si>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</si>
  <si>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</si>
  <si>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</si>
  <si>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</si>
  <si>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</si>
  <si>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</si>
  <si>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</si>
  <si>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</si>
  <si>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</si>
  <si>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</si>
  <si>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</si>
  <si>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</si>
  <si>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</si>
  <si>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</si>
  <si>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</si>
  <si>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</si>
  <si>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</si>
  <si>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</si>
  <si>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</si>
  <si>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</si>
  <si>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</si>
  <si>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</si>
  <si>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</si>
  <si>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</si>
  <si>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</si>
  <si>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</si>
  <si>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</si>
  <si>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</si>
  <si>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</si>
  <si>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</si>
  <si>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</si>
  <si>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</si>
  <si>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</si>
  <si>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</si>
  <si>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</si>
  <si>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</si>
  <si>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</si>
  <si>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</si>
  <si>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</si>
  <si>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</si>
  <si>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</si>
  <si>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</si>
  <si>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</si>
  <si>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</si>
  <si>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</si>
  <si>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</si>
  <si>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</si>
  <si>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</si>
  <si>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</si>
  <si>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</si>
  <si>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</si>
  <si>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</si>
  <si>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</si>
  <si>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</si>
  <si>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</si>
  <si>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</si>
  <si>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</si>
  <si>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</si>
  <si>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</si>
  <si>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</si>
  <si>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</si>
  <si>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</si>
  <si>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</si>
  <si>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</si>
  <si>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</si>
  <si>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</si>
  <si>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</si>
  <si>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</si>
  <si>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</si>
  <si>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</si>
  <si>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</si>
  <si>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</si>
  <si>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</si>
  <si>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</si>
  <si>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</si>
  <si>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</si>
  <si>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</si>
  <si>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</si>
  <si>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</si>
  <si>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</si>
  <si>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</si>
  <si>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</si>
  <si>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</si>
  <si>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</si>
  <si>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</si>
  <si>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</si>
  <si>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</si>
  <si>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</si>
  <si>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</si>
  <si>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</si>
  <si>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</si>
  <si>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</si>
  <si>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</si>
  <si>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</si>
  <si>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</si>
  <si>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</si>
  <si>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</si>
  <si>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</si>
  <si>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</si>
  <si>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</si>
  <si>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</si>
  <si>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</si>
  <si>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</si>
  <si>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</si>
  <si>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</si>
  <si>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</si>
  <si>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</si>
  <si>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</si>
  <si>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</si>
  <si>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</si>
  <si>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</si>
  <si>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</si>
  <si>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</si>
  <si>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</si>
  <si>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</si>
  <si>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</si>
  <si>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</si>
  <si>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</si>
  <si>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</si>
  <si>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</si>
  <si>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</si>
  <si>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</si>
  <si>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</si>
  <si>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</si>
  <si>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</si>
  <si>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</si>
  <si>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</si>
  <si>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</si>
  <si>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</si>
  <si>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</si>
  <si>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</si>
  <si>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</si>
  <si>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</si>
  <si>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</si>
  <si>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</si>
  <si>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</si>
  <si>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</si>
  <si>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</si>
  <si>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</si>
  <si>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</si>
  <si>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</si>
  <si>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</si>
  <si>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</si>
  <si>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</si>
  <si>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</si>
  <si>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</si>
  <si>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</si>
  <si>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</si>
  <si>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</si>
  <si>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</si>
  <si>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</si>
  <si>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</si>
  <si>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</si>
  <si>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</si>
  <si>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</si>
  <si>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</si>
  <si>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</si>
  <si>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</si>
  <si>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</si>
  <si>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</si>
  <si>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</si>
  <si>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</si>
  <si>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</si>
  <si>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</si>
  <si>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</si>
  <si>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</si>
  <si>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</si>
  <si>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</si>
  <si>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</si>
  <si>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</si>
  <si>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</si>
  <si>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</si>
  <si>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</si>
  <si>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</si>
  <si>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</si>
  <si>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</si>
  <si>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</si>
  <si>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</si>
  <si>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</si>
  <si>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</si>
  <si>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</si>
  <si>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</si>
  <si>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</si>
  <si>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</si>
  <si>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</si>
  <si>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</si>
  <si>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</si>
  <si>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</si>
  <si>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</si>
  <si>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</si>
  <si>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</si>
  <si>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</si>
  <si>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</si>
  <si>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</si>
  <si>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</si>
  <si>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</si>
  <si>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</si>
  <si>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</si>
  <si>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</si>
  <si>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</si>
  <si>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</si>
  <si>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</si>
  <si>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</si>
  <si>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</si>
  <si>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</si>
  <si>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</si>
  <si>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</si>
  <si>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</si>
  <si>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</si>
  <si>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</si>
  <si>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</si>
  <si>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</si>
  <si>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</si>
  <si>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</si>
  <si>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</si>
  <si>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</si>
  <si>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</si>
  <si>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</si>
  <si>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</si>
  <si>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</si>
  <si>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</si>
  <si>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</si>
  <si>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</si>
  <si>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</si>
  <si>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</si>
  <si>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</si>
  <si>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</si>
  <si>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</si>
  <si>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</si>
  <si>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</si>
  <si>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</si>
  <si>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</si>
  <si>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</si>
  <si>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</si>
  <si>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</si>
  <si>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</si>
  <si>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</si>
  <si>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</si>
  <si>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</si>
  <si>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</si>
  <si>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</si>
  <si>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</si>
  <si>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</si>
  <si>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</si>
  <si>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</si>
  <si>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</si>
  <si>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</si>
  <si>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</si>
  <si>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</si>
  <si>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</si>
  <si>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</si>
  <si>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</si>
  <si>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</si>
  <si>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</si>
  <si>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</si>
  <si>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</si>
  <si>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</si>
  <si>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</si>
  <si>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</si>
  <si>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</si>
  <si>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</si>
  <si>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</si>
  <si>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</si>
  <si>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</si>
  <si>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</si>
  <si>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</si>
  <si>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</si>
  <si>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</si>
  <si>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</si>
  <si>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</si>
  <si>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</si>
  <si>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</si>
  <si>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</si>
  <si>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</si>
  <si>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</si>
  <si>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</si>
  <si>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</si>
  <si>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</si>
  <si>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</si>
  <si>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</si>
  <si>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</si>
  <si>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</si>
  <si>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</si>
  <si>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</si>
  <si>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</si>
  <si>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</si>
  <si>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</si>
  <si>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</si>
  <si>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</si>
  <si>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</si>
  <si>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</si>
  <si>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</si>
  <si>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</si>
  <si>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</si>
  <si>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</si>
  <si>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</si>
  <si>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</si>
  <si>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</si>
  <si>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</si>
  <si>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</si>
  <si>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</si>
  <si>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</si>
  <si>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</si>
  <si>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</si>
  <si>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</si>
  <si>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</si>
  <si>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</si>
  <si>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</si>
  <si>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</si>
  <si>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</si>
  <si>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</si>
  <si>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</si>
  <si>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</si>
  <si>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</si>
  <si>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</si>
  <si>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</si>
  <si>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</si>
  <si>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</si>
  <si>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</si>
  <si>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</si>
  <si>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</si>
  <si>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</si>
  <si>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</si>
  <si>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</si>
  <si>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</si>
  <si>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</si>
  <si>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</si>
  <si>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</si>
  <si>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</si>
  <si>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</si>
  <si>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</si>
  <si>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</si>
  <si>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</si>
  <si>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</si>
  <si>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</si>
  <si>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</si>
  <si>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</si>
  <si>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</si>
  <si>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</si>
  <si>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</si>
  <si>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</si>
  <si>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</si>
  <si>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</si>
  <si>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</si>
  <si>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</si>
  <si>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</si>
  <si>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</si>
  <si>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</si>
  <si>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</si>
  <si>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</si>
  <si>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</si>
  <si>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</si>
  <si>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</si>
  <si>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</si>
  <si>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</si>
  <si>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</si>
  <si>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</si>
  <si>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</si>
  <si>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</si>
  <si>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</si>
  <si>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</si>
  <si>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</si>
  <si>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</si>
  <si>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</si>
  <si>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</si>
  <si>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</si>
  <si>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</si>
  <si>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</si>
  <si>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</si>
  <si>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</si>
  <si>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</si>
  <si>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</si>
  <si>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</si>
  <si>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</si>
  <si>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</si>
  <si>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</si>
  <si>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</si>
  <si>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</si>
  <si>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</si>
  <si>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</si>
  <si>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</si>
  <si>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</si>
  <si>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</si>
  <si>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</si>
  <si>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</si>
  <si>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</si>
  <si>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</si>
  <si>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</si>
  <si>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</si>
  <si>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</si>
  <si>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</si>
  <si>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</si>
  <si>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</si>
  <si>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</si>
  <si>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</si>
  <si>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</si>
  <si>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</si>
  <si>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</si>
  <si>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</si>
  <si>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</si>
  <si>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</si>
  <si>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</si>
  <si>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</si>
  <si>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</si>
  <si>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</si>
  <si>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</si>
  <si>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</si>
  <si>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</si>
  <si>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</si>
  <si>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</si>
  <si>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</si>
  <si>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</si>
  <si>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</si>
  <si>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</si>
  <si>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</si>
  <si>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</si>
  <si>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</si>
  <si>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</si>
  <si>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</si>
  <si>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</si>
  <si>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</si>
  <si>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</si>
  <si>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</si>
  <si>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</si>
  <si>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</si>
  <si>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</si>
  <si>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</si>
  <si>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</si>
  <si>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</si>
  <si>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</si>
  <si>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</si>
  <si>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</si>
  <si>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</si>
  <si>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</si>
  <si>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</si>
  <si>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</si>
  <si>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</si>
  <si>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</si>
  <si>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</si>
  <si>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</si>
  <si>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</si>
  <si>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</si>
  <si>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</si>
  <si>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</si>
  <si>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</si>
  <si>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</si>
  <si>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</si>
  <si>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</si>
  <si>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</si>
  <si>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</si>
  <si>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</si>
  <si>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</si>
  <si>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</si>
  <si>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</si>
  <si>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</si>
  <si>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</si>
  <si>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</si>
  <si>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</si>
  <si>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</si>
  <si>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</si>
  <si>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</si>
  <si>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</si>
  <si>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</si>
  <si>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</si>
  <si>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</si>
  <si>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</si>
  <si>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</si>
  <si>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</si>
  <si>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</si>
  <si>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</si>
  <si>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</si>
  <si>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</si>
  <si>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</si>
  <si>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</si>
  <si>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</si>
  <si>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</si>
  <si>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</si>
  <si>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</si>
  <si>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</si>
  <si>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</si>
  <si>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</si>
  <si>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</si>
  <si>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</si>
  <si>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</si>
  <si>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</si>
  <si>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</si>
  <si>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</si>
  <si>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</si>
  <si>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</si>
  <si>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</si>
  <si>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</si>
  <si>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</si>
  <si>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</si>
  <si>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</si>
  <si>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</si>
  <si>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</si>
  <si>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</si>
  <si>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</si>
  <si>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</si>
  <si>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</si>
  <si>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</si>
  <si>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</si>
  <si>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</si>
  <si>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</si>
  <si>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</si>
  <si>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</si>
  <si>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</si>
  <si>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</si>
  <si>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</si>
  <si>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</si>
  <si>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</si>
  <si>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</si>
  <si>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</si>
  <si>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</si>
  <si>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</si>
  <si>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</si>
  <si>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</si>
  <si>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</si>
  <si>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</si>
  <si>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</si>
  <si>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</si>
  <si>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</si>
  <si>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</si>
  <si>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</si>
  <si>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</si>
  <si>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</si>
  <si>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</si>
  <si>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</si>
  <si>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</si>
  <si>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</si>
  <si>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</si>
  <si>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</si>
  <si>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</si>
  <si>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</si>
  <si>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</si>
  <si>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</si>
  <si>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</si>
  <si>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</si>
  <si>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</si>
  <si>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</si>
  <si>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</si>
  <si>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</si>
  <si>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</si>
  <si>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</si>
  <si>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</si>
  <si>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</si>
  <si>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</si>
  <si>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</si>
  <si>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</si>
  <si>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</si>
  <si>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</si>
  <si>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</si>
  <si>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</si>
  <si>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</si>
  <si>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</si>
  <si>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</si>
  <si>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</si>
  <si>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</si>
  <si>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</si>
  <si>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</si>
  <si>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</si>
  <si>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</si>
  <si>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</si>
  <si>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</si>
  <si>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</si>
  <si>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</si>
  <si>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</si>
  <si>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</si>
  <si>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</si>
  <si>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</si>
  <si>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</si>
  <si>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</si>
  <si>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</si>
  <si>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</si>
  <si>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</si>
  <si>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</si>
  <si>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</si>
  <si>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</si>
  <si>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</si>
  <si>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</si>
  <si>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</si>
  <si>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</si>
  <si>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</si>
  <si>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</si>
  <si>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</si>
  <si>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</si>
  <si>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</si>
  <si>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</si>
  <si>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</si>
  <si>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</si>
  <si>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</si>
  <si>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</si>
  <si>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</si>
  <si>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</si>
  <si>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</si>
  <si>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</si>
  <si>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</si>
  <si>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</si>
  <si>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</si>
  <si>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</si>
  <si>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</si>
  <si>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</si>
  <si>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</si>
  <si>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</si>
  <si>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</si>
  <si>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</si>
  <si>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</si>
  <si>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</si>
  <si>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</si>
  <si>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</si>
  <si>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</si>
  <si>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</si>
  <si>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</si>
  <si>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</si>
  <si>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</si>
  <si>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</si>
  <si>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</si>
  <si>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</si>
  <si>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</si>
  <si>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</si>
  <si>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</si>
  <si>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</si>
  <si>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</si>
  <si>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</si>
  <si>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</si>
  <si>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</si>
  <si>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</si>
  <si>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</si>
  <si>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</si>
  <si>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</si>
  <si>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</si>
  <si>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</si>
  <si>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</si>
  <si>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</si>
  <si>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</si>
  <si>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</si>
  <si>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</si>
  <si>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</si>
  <si>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</si>
  <si>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</si>
  <si>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</si>
  <si>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</si>
  <si>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</si>
  <si>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</si>
  <si>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</si>
  <si>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</si>
  <si>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</si>
  <si>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</si>
  <si>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</si>
  <si>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</si>
  <si>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</si>
  <si>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</si>
  <si>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</si>
  <si>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</si>
  <si>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</si>
  <si>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</si>
  <si>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</si>
  <si>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</si>
  <si>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</si>
  <si>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</si>
  <si>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</si>
  <si>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</si>
  <si>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</si>
  <si>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</si>
  <si>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</si>
  <si>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</si>
  <si>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</si>
  <si>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</si>
  <si>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</si>
  <si>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</si>
  <si>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</si>
  <si>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</si>
  <si>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</si>
  <si>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</si>
  <si>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</si>
  <si>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</si>
  <si>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</si>
  <si>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</si>
  <si>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</si>
  <si>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</si>
  <si>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</si>
  <si>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</si>
  <si>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</si>
  <si>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</si>
  <si>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</si>
  <si>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</si>
  <si>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</si>
  <si>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</si>
  <si>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</si>
  <si>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</si>
  <si>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</si>
  <si>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</si>
  <si>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</si>
  <si>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</si>
  <si>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</si>
  <si>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</si>
  <si>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</si>
  <si>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</si>
  <si>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</si>
  <si>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</si>
  <si>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</si>
  <si>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</si>
  <si>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</si>
  <si>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</si>
  <si>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</si>
  <si>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</si>
  <si>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</si>
  <si>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</si>
  <si>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</si>
  <si>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</si>
  <si>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</si>
  <si>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</si>
  <si>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</si>
  <si>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</si>
  <si>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</si>
  <si>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</si>
  <si>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</si>
  <si>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</si>
  <si>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</si>
  <si>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</si>
  <si>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</si>
  <si>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</si>
  <si>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</si>
  <si>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</si>
  <si>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</si>
  <si>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</si>
  <si>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</si>
  <si>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</si>
  <si>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</si>
  <si>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</si>
  <si>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</si>
  <si>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</si>
  <si>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</si>
  <si>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</si>
  <si>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</si>
  <si>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</si>
  <si>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</si>
  <si>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</si>
  <si>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</si>
  <si>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</si>
  <si>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</si>
  <si>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</si>
  <si>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</si>
  <si>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</si>
  <si>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</si>
  <si>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</si>
  <si>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</si>
  <si>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</si>
  <si>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</si>
  <si>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</si>
  <si>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</si>
  <si>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</si>
  <si>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</si>
  <si>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</si>
  <si>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</si>
  <si>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</si>
  <si>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</si>
  <si>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</si>
  <si>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</si>
  <si>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</si>
  <si>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</si>
  <si>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</si>
  <si>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</si>
  <si>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</si>
  <si>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</si>
  <si>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</si>
  <si>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</si>
  <si>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</si>
  <si>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</si>
  <si>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</si>
  <si>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</si>
  <si>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</si>
  <si>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</si>
  <si>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</si>
  <si>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</si>
  <si>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</si>
  <si>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</si>
  <si>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</si>
  <si>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</si>
  <si>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</si>
  <si>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</si>
  <si>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</si>
  <si>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</si>
  <si>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</si>
  <si>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</si>
  <si>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</si>
  <si>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</si>
  <si>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</si>
  <si>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</si>
  <si>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</si>
  <si>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</si>
  <si>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</si>
  <si>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</si>
  <si>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</si>
  <si>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</si>
  <si>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</si>
  <si>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</si>
  <si>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</si>
  <si>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</si>
  <si>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</si>
  <si>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</si>
  <si>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</si>
  <si>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</si>
  <si>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</si>
  <si>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</si>
  <si>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</si>
  <si>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</si>
  <si>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</si>
  <si>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</si>
  <si>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</si>
  <si>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</si>
  <si>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</si>
  <si>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</si>
  <si>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</si>
  <si>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</si>
  <si>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</si>
  <si>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</si>
  <si>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</si>
  <si>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</si>
  <si>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</si>
  <si>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</si>
  <si>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</si>
  <si>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</si>
  <si>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</si>
  <si>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</si>
  <si>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</si>
  <si>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</si>
  <si>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</si>
  <si>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</si>
  <si>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</si>
  <si>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</si>
  <si>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</si>
  <si>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</si>
  <si>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</si>
  <si>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</si>
  <si>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</si>
  <si>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</si>
  <si>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</si>
  <si>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</si>
  <si>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</si>
  <si>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</si>
  <si>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</si>
  <si>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</si>
  <si>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</si>
  <si>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</si>
  <si>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</si>
  <si>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</si>
  <si>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</si>
  <si>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</si>
  <si>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</si>
  <si>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</si>
  <si>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</si>
  <si>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</si>
  <si>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</si>
  <si>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</si>
  <si>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</si>
  <si>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</si>
  <si>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</si>
  <si>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</si>
  <si>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</si>
  <si>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</si>
  <si>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</si>
  <si>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</si>
  <si>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</si>
  <si>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</si>
  <si>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</si>
  <si>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</si>
  <si>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</si>
  <si>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</si>
  <si>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</si>
  <si>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</si>
  <si>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</si>
  <si>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</si>
  <si>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</si>
  <si>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</si>
  <si>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</si>
  <si>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</si>
  <si>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</si>
  <si>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</si>
  <si>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</si>
  <si>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</si>
  <si>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</si>
  <si>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</si>
  <si>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</si>
  <si>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</si>
  <si>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</si>
  <si>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</si>
  <si>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</si>
  <si>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</si>
  <si>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</si>
  <si>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</si>
  <si>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</si>
  <si>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</si>
  <si>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</si>
  <si>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</si>
  <si>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</si>
  <si>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</si>
  <si>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</si>
  <si>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</si>
  <si>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</si>
  <si>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</si>
  <si>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</si>
  <si>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</si>
  <si>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</si>
  <si>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</si>
  <si>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</si>
  <si>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</si>
  <si>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</si>
  <si>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</si>
  <si>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</si>
  <si>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</si>
  <si>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</si>
  <si>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</si>
  <si>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</si>
  <si>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</si>
  <si>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</si>
  <si>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</si>
  <si>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</si>
  <si>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</si>
  <si>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</si>
  <si>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</si>
  <si>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</si>
  <si>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</si>
  <si>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</si>
  <si>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</si>
  <si>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</si>
  <si>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</si>
  <si>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</si>
  <si>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</si>
  <si>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</si>
  <si>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</si>
  <si>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</si>
  <si>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</si>
  <si>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</si>
  <si>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</si>
  <si>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</si>
  <si>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</si>
  <si>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</si>
  <si>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</si>
  <si>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</si>
  <si>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</si>
  <si>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</si>
  <si>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</si>
  <si>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</si>
  <si>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</si>
  <si>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</si>
  <si>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</si>
  <si>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</si>
  <si>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</si>
  <si>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</si>
  <si>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</si>
  <si>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</si>
  <si>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</si>
  <si>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</si>
  <si>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</si>
  <si>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</si>
  <si>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</si>
  <si>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</si>
  <si>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</si>
  <si>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</si>
  <si>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</si>
  <si>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</si>
  <si>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</si>
  <si>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</si>
  <si>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</si>
  <si>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</si>
  <si>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</si>
  <si>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</si>
  <si>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</si>
  <si>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</si>
  <si>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</si>
  <si>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</si>
  <si>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</si>
  <si>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</si>
  <si>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</si>
  <si>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</si>
  <si>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</si>
  <si>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</si>
  <si>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</si>
  <si>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</si>
  <si>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</si>
  <si>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</si>
  <si>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</si>
  <si>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</si>
  <si>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</si>
  <si>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</si>
  <si>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</si>
  <si>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</si>
  <si>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</si>
  <si>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</si>
  <si>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</si>
  <si>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</si>
  <si>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</si>
  <si>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</si>
  <si>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</si>
  <si>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</si>
  <si>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</si>
  <si>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</si>
  <si>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</si>
  <si>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</si>
  <si>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</si>
  <si>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</si>
  <si>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</si>
  <si>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</si>
  <si>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</si>
  <si>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</si>
  <si>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</si>
  <si>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</si>
  <si>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</si>
  <si>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</si>
  <si>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</si>
  <si>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</si>
  <si>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</si>
  <si>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</si>
  <si>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</si>
  <si>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</si>
  <si>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</si>
  <si>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</si>
  <si>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</si>
  <si>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</si>
  <si>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</si>
  <si>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</si>
  <si>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</si>
  <si>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</si>
  <si>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</si>
  <si>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</si>
  <si>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</si>
  <si>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</si>
  <si>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</si>
  <si>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</si>
  <si>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</si>
  <si>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</si>
  <si>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</si>
  <si>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</si>
  <si>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</si>
  <si>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</si>
  <si>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</si>
  <si>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</si>
  <si>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</si>
  <si>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</si>
  <si>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</si>
  <si>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</si>
  <si>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</si>
  <si>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</si>
  <si>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</si>
  <si>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</si>
  <si>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</si>
  <si>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</si>
  <si>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</si>
  <si>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</si>
  <si>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</si>
  <si>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</si>
  <si>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</si>
  <si>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</si>
  <si>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</si>
  <si>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</si>
  <si>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</si>
  <si>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</si>
  <si>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</si>
  <si>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</si>
  <si>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</si>
  <si>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</si>
  <si>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</si>
  <si>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</si>
  <si>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</si>
  <si>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</si>
  <si>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</si>
  <si>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</si>
  <si>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</si>
  <si>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</si>
  <si>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</si>
  <si>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</si>
  <si>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</si>
  <si>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</si>
  <si>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</si>
  <si>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</si>
  <si>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</si>
  <si>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</si>
  <si>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</si>
  <si>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</si>
  <si>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</si>
  <si>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</si>
  <si>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</si>
  <si>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</si>
  <si>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</si>
  <si>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</si>
  <si>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</si>
  <si>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</si>
  <si>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</si>
  <si>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</si>
  <si>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</si>
  <si>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</si>
  <si>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</si>
  <si>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</si>
  <si>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</si>
  <si>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</si>
  <si>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</si>
  <si>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</si>
  <si>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</si>
  <si>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</si>
  <si>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</si>
  <si>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</si>
  <si>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</si>
  <si>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</si>
  <si>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</si>
  <si>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</si>
  <si>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</si>
  <si>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</si>
  <si>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</si>
  <si>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</si>
  <si>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</si>
  <si>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</si>
  <si>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</si>
  <si>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</si>
  <si>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</si>
  <si>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</si>
  <si>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</si>
  <si>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</si>
  <si>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</si>
  <si>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</si>
  <si>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</si>
  <si>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</si>
  <si>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</si>
  <si>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</si>
  <si>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</si>
  <si>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</si>
  <si>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</si>
  <si>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</si>
  <si>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</si>
  <si>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</si>
  <si>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</si>
  <si>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</si>
  <si>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</si>
  <si>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</si>
  <si>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</si>
  <si>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</si>
  <si>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</si>
  <si>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</si>
  <si>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</si>
  <si>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</si>
  <si>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</si>
  <si>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</si>
  <si>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</si>
  <si>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</si>
  <si>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</si>
  <si>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</si>
  <si>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</si>
  <si>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</si>
  <si>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</si>
  <si>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</si>
  <si>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</si>
  <si>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</si>
  <si>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</si>
  <si>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</si>
  <si>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</si>
  <si>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</si>
  <si>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</si>
  <si>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</si>
  <si>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</si>
  <si>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</si>
  <si>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</si>
  <si>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</si>
  <si>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</si>
  <si>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</si>
  <si>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</si>
  <si>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</si>
  <si>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</si>
  <si>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</si>
  <si>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</si>
  <si>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</si>
  <si>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</si>
  <si>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</si>
  <si>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</si>
  <si>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</si>
  <si>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</si>
  <si>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</si>
  <si>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</si>
  <si>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</si>
  <si>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</si>
  <si>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</si>
  <si>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</si>
  <si>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</si>
  <si>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</si>
  <si>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</si>
  <si>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</si>
  <si>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</si>
  <si>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</si>
  <si>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</si>
  <si>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</si>
  <si>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</si>
  <si>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</si>
  <si>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</si>
  <si>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</si>
  <si>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</si>
  <si>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</si>
  <si>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</si>
  <si>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</si>
  <si>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</si>
  <si>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</si>
  <si>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</si>
  <si>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</si>
  <si>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</si>
  <si>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</si>
  <si>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</si>
  <si>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</si>
  <si>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</si>
  <si>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</si>
  <si>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</si>
  <si>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</si>
  <si>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</si>
  <si>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</si>
  <si>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</si>
  <si>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</si>
  <si>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</si>
  <si>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</si>
  <si>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</si>
  <si>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</si>
  <si>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</si>
  <si>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</si>
  <si>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</si>
  <si>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</si>
  <si>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</si>
  <si>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</si>
  <si>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</si>
  <si>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</si>
  <si>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</si>
  <si>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</si>
  <si>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</si>
  <si>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</si>
  <si>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</si>
  <si>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</si>
  <si>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</si>
  <si>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</si>
  <si>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</si>
  <si>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</si>
  <si>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</si>
  <si>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</si>
  <si>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</si>
  <si>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</si>
  <si>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</si>
  <si>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</si>
  <si>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</si>
  <si>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</si>
  <si>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</si>
  <si>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</si>
  <si>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</si>
  <si>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</si>
  <si>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</si>
  <si>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</si>
  <si>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</si>
  <si>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</si>
  <si>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</si>
  <si>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</si>
  <si>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</si>
  <si>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</si>
  <si>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</si>
  <si>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</si>
  <si>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</si>
  <si>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</si>
  <si>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</si>
  <si>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</si>
  <si>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</si>
  <si>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</si>
  <si>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</si>
  <si>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</si>
  <si>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</si>
  <si>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</si>
  <si>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</si>
  <si>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</si>
  <si>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</si>
  <si>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</si>
  <si>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</si>
  <si>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</si>
  <si>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</si>
  <si>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</si>
  <si>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</si>
  <si>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</si>
  <si>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</si>
  <si>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</si>
  <si>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</si>
  <si>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</si>
  <si>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</si>
  <si>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</si>
  <si>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</si>
  <si>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</si>
  <si>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</si>
  <si>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</si>
  <si>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</si>
  <si>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</si>
  <si>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</si>
  <si>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</si>
  <si>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</si>
  <si>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</si>
  <si>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</si>
  <si>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</si>
  <si>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</si>
  <si>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</si>
  <si>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</si>
  <si>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</si>
  <si>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</si>
  <si>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</si>
  <si>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</si>
  <si>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</si>
  <si>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</si>
  <si>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</si>
  <si>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</si>
  <si>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</si>
  <si>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</si>
  <si>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</si>
  <si>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</si>
  <si>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</si>
  <si>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</si>
  <si>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</si>
  <si>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</si>
  <si>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</si>
  <si>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</si>
  <si>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</si>
  <si>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</si>
  <si>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</si>
  <si>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</si>
  <si>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</si>
  <si>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</si>
  <si>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</si>
  <si>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</si>
  <si>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</si>
  <si>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</si>
  <si>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</si>
  <si>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</si>
  <si>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</si>
  <si>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</si>
  <si>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</si>
  <si>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</si>
  <si>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</si>
  <si>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</si>
  <si>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</si>
  <si>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</si>
  <si>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</si>
  <si>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</si>
  <si>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</si>
  <si>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</si>
  <si>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</si>
  <si>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</si>
  <si>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</si>
  <si>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</si>
  <si>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</si>
  <si>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</si>
  <si>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</si>
  <si>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</si>
  <si>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</si>
  <si>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</si>
  <si>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</si>
  <si>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</si>
  <si>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</si>
  <si>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</si>
  <si>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</si>
  <si>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</si>
  <si>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</si>
  <si>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</si>
  <si>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</si>
  <si>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</si>
  <si>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</si>
  <si>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</si>
  <si>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</si>
  <si>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</si>
  <si>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</si>
  <si>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</si>
  <si>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</si>
  <si>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</si>
  <si>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</si>
  <si>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</si>
  <si>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</si>
  <si>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</si>
  <si>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</si>
  <si>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</si>
  <si>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</si>
  <si>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</si>
  <si>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</si>
  <si>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</si>
  <si>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</si>
  <si>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</si>
  <si>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</si>
  <si>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</si>
  <si>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</si>
  <si>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</si>
  <si>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</si>
  <si>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</si>
  <si>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</si>
  <si>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</si>
  <si>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</si>
  <si>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</si>
  <si>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</si>
  <si>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</si>
  <si>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</si>
  <si>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</si>
  <si>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</si>
  <si>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</si>
  <si>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</si>
  <si>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</si>
  <si>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</si>
  <si>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</si>
  <si>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</si>
  <si>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</si>
  <si>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</si>
  <si>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</si>
  <si>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</si>
  <si>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</si>
  <si>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</si>
  <si>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</si>
  <si>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</si>
  <si>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</si>
  <si>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</si>
  <si>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</si>
  <si>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</si>
  <si>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</si>
  <si>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</si>
  <si>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</si>
  <si>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</si>
  <si>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</si>
  <si>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</si>
  <si>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</si>
  <si>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</si>
  <si>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</si>
  <si>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</si>
  <si>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</si>
  <si>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</si>
  <si>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</si>
  <si>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</si>
  <si>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</si>
  <si>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</si>
  <si>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</si>
  <si>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</si>
  <si>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</si>
  <si>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</si>
  <si>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</si>
  <si>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</si>
  <si>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</si>
  <si>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</si>
  <si>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</si>
  <si>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</si>
  <si>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</si>
  <si>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</si>
  <si>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</si>
  <si>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</si>
  <si>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</si>
  <si>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</si>
  <si>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</si>
  <si>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</si>
  <si>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</si>
  <si>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</si>
  <si>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</si>
  <si>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</si>
  <si>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</si>
  <si>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</si>
  <si>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</si>
  <si>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</si>
  <si>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</si>
  <si>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</si>
  <si>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</si>
  <si>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</si>
  <si>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</si>
  <si>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</si>
  <si>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</si>
  <si>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</si>
  <si>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</si>
  <si>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</si>
  <si>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</si>
  <si>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</si>
  <si>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</si>
  <si>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</si>
  <si>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</si>
  <si>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</si>
  <si>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</si>
  <si>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</si>
  <si>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</si>
  <si>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</si>
  <si>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</si>
  <si>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</si>
  <si>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</si>
  <si>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</si>
  <si>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</si>
  <si>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</si>
  <si>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</si>
  <si>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</si>
  <si>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</si>
  <si>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</si>
  <si>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</si>
  <si>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</si>
  <si>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</si>
  <si>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</si>
  <si>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</si>
  <si>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</si>
  <si>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</si>
  <si>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</si>
  <si>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</si>
  <si>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</si>
  <si>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</si>
  <si>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</si>
  <si>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</si>
  <si>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</si>
  <si>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</si>
  <si>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</si>
  <si>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</si>
  <si>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</si>
  <si>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</si>
  <si>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</si>
  <si>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</si>
  <si>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</si>
  <si>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</si>
  <si>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</si>
  <si>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</si>
  <si>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</si>
  <si>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</si>
  <si>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</si>
  <si>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</si>
  <si>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</si>
  <si>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</si>
  <si>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</si>
  <si>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</si>
  <si>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</si>
  <si>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</si>
  <si>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</si>
  <si>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</si>
  <si>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</si>
  <si>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</si>
  <si>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</si>
  <si>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</si>
  <si>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</si>
  <si>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</si>
  <si>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</si>
  <si>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</si>
  <si>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</si>
  <si>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</si>
  <si>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</si>
  <si>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</si>
  <si>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</si>
  <si>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</si>
  <si>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</si>
  <si>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</si>
  <si>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</si>
  <si>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</si>
  <si>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</si>
  <si>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</si>
  <si>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</si>
  <si>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</si>
  <si>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</si>
  <si>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</si>
  <si>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</si>
  <si>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</si>
  <si>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</si>
  <si>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</si>
  <si>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</si>
  <si>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</si>
  <si>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</si>
  <si>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</si>
  <si>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</si>
  <si>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</si>
  <si>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</si>
  <si>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</si>
  <si>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</si>
  <si>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</si>
  <si>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</si>
  <si>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</si>
  <si>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</si>
  <si>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</si>
  <si>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</si>
  <si>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</si>
  <si>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</si>
  <si>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</si>
  <si>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</si>
  <si>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</si>
  <si>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</si>
  <si>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</si>
  <si>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</si>
  <si>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</si>
  <si>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</si>
  <si>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</si>
  <si>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</si>
  <si>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</si>
  <si>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</si>
  <si>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</si>
  <si>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</si>
  <si>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</si>
  <si>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</si>
  <si>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</si>
  <si>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</si>
  <si>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</si>
  <si>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</si>
  <si>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</si>
  <si>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</si>
  <si>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</si>
  <si>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</si>
  <si>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</si>
  <si>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</si>
  <si>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</si>
  <si>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</si>
  <si>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</si>
  <si>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</si>
  <si>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</si>
  <si>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</si>
  <si>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</si>
  <si>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</si>
  <si>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</si>
  <si>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</si>
  <si>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</si>
  <si>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</si>
  <si>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</si>
  <si>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</si>
  <si>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</si>
  <si>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</si>
  <si>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</si>
  <si>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</si>
  <si>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</si>
  <si>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</si>
  <si>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</si>
  <si>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</si>
  <si>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</si>
  <si>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</si>
  <si>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</si>
  <si>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</si>
  <si>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</si>
  <si>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</si>
  <si>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</si>
  <si>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</si>
  <si>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</si>
  <si>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</si>
  <si>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</si>
  <si>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</si>
  <si>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</si>
  <si>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</si>
  <si>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</si>
  <si>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</si>
  <si>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</si>
  <si>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</si>
  <si>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</si>
  <si>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</si>
  <si>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</si>
  <si>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</si>
  <si>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</si>
  <si>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</si>
  <si>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</si>
  <si>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</si>
  <si>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</si>
  <si>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</si>
  <si>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</si>
  <si>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</si>
  <si>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</si>
  <si>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</si>
  <si>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</si>
  <si>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</si>
  <si>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</si>
  <si>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</si>
  <si>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</si>
  <si>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</si>
  <si>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</si>
  <si>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</si>
  <si>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</si>
  <si>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</si>
  <si>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</si>
  <si>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</si>
  <si>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</si>
  <si>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</si>
  <si>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</si>
  <si>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</si>
  <si>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</si>
  <si>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</si>
  <si>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</si>
  <si>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</si>
  <si>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</si>
  <si>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</si>
  <si>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</si>
  <si>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</si>
  <si>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</si>
  <si>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</si>
  <si>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</si>
  <si>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</si>
  <si>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</si>
  <si>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</si>
  <si>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</si>
  <si>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</si>
  <si>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</si>
  <si>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</si>
  <si>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</si>
  <si>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</si>
  <si>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</si>
  <si>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</si>
  <si>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</si>
  <si>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</si>
  <si>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</si>
  <si>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</si>
  <si>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</si>
  <si>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</si>
  <si>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</si>
  <si>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</si>
  <si>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</si>
  <si>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</si>
  <si>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</si>
  <si>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</si>
  <si>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</si>
  <si>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</si>
  <si>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</si>
  <si>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</si>
  <si>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</si>
  <si>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</si>
  <si>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</si>
  <si>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</si>
  <si>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</si>
  <si>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</si>
  <si>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</si>
  <si>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</si>
  <si>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</si>
  <si>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</si>
  <si>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</si>
  <si>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</si>
  <si>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</si>
  <si>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</si>
  <si>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</si>
  <si>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</si>
  <si>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</si>
  <si>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</si>
  <si>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</si>
  <si>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</si>
  <si>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</si>
  <si>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</si>
  <si>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</si>
  <si>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</si>
  <si>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</si>
  <si>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</si>
  <si>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</si>
  <si>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</si>
  <si>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</si>
  <si>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</si>
  <si>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</si>
  <si>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</si>
  <si>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</si>
  <si>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</si>
  <si>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</si>
  <si>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</si>
  <si>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</si>
  <si>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</si>
  <si>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</si>
  <si>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</si>
  <si>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</si>
  <si>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</si>
  <si>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</si>
  <si>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</si>
  <si>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</si>
  <si>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</si>
  <si>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</si>
  <si>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</si>
  <si>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</si>
  <si>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</si>
  <si>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</si>
  <si>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</si>
  <si>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</si>
  <si>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</si>
  <si>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</si>
  <si>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</si>
  <si>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</si>
  <si>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</si>
  <si>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</si>
  <si>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</si>
  <si>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</si>
  <si>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</si>
  <si>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</si>
  <si>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</si>
  <si>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</si>
  <si>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</si>
  <si>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</si>
  <si>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</si>
  <si>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</si>
  <si>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</si>
  <si>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</si>
  <si>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</si>
  <si>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</si>
  <si>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</si>
  <si>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</si>
  <si>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</si>
  <si>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</si>
  <si>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</si>
  <si>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</si>
  <si>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</si>
  <si>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</si>
  <si>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</si>
  <si>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</si>
  <si>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</si>
  <si>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</si>
  <si>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</si>
  <si>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</si>
  <si>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</si>
  <si>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</si>
  <si>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</si>
  <si>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</si>
  <si>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</si>
  <si>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</si>
  <si>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</si>
  <si>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</si>
  <si>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</si>
  <si>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</si>
  <si>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</si>
  <si>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</si>
  <si>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</si>
  <si>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</si>
  <si>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</si>
  <si>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</si>
  <si>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</si>
  <si>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</si>
  <si>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</si>
  <si>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</si>
  <si>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</si>
  <si>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</si>
  <si>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</si>
  <si>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</si>
  <si>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</si>
  <si>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</si>
  <si>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</si>
  <si>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</si>
  <si>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</si>
  <si>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</si>
  <si>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</si>
  <si>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</si>
  <si>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</si>
  <si>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</si>
  <si>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</si>
  <si>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</si>
  <si>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</si>
  <si>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</si>
  <si>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</si>
  <si>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</si>
  <si>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</si>
  <si>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</si>
  <si>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</si>
  <si>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</si>
  <si>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</si>
  <si>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</si>
  <si>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</si>
  <si>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</si>
  <si>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</si>
  <si>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</si>
  <si>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</si>
  <si>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</si>
  <si>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</si>
  <si>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</si>
  <si>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</si>
  <si>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</si>
  <si>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</si>
  <si>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</si>
  <si>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</si>
  <si>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</si>
  <si>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</si>
  <si>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</si>
  <si>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</si>
  <si>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</si>
  <si>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</si>
  <si>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</si>
  <si>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</si>
  <si>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</si>
  <si>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</si>
  <si>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</si>
  <si>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</si>
  <si>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</si>
  <si>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</si>
  <si>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</si>
  <si>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</si>
  <si>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</si>
  <si>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</si>
  <si>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</si>
  <si>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</si>
  <si>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</si>
  <si>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</si>
  <si>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</si>
  <si>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</si>
  <si>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</si>
  <si>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</si>
  <si>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</si>
  <si>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</si>
  <si>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</si>
  <si>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</si>
  <si>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</si>
  <si>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</si>
  <si>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</si>
  <si>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</si>
  <si>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</si>
  <si>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</si>
  <si>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</si>
  <si>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</si>
  <si>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</si>
  <si>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</si>
  <si>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</si>
  <si>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</si>
  <si>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</si>
  <si>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</si>
  <si>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</si>
  <si>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</si>
  <si>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</si>
  <si>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</si>
  <si>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</si>
  <si>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</si>
  <si>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</si>
  <si>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</si>
  <si>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</si>
  <si>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</si>
  <si>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</si>
  <si>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</si>
  <si>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</si>
  <si>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</si>
  <si>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</si>
  <si>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</si>
  <si>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</si>
  <si>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</si>
  <si>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</si>
  <si>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</si>
  <si>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</si>
  <si>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</si>
  <si>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</si>
  <si>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</si>
  <si>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</si>
  <si>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</si>
  <si>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</si>
  <si>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</si>
  <si>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</si>
  <si>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</si>
  <si>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</si>
  <si>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</si>
  <si>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</si>
  <si>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</si>
  <si>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</si>
  <si>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</si>
  <si>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</si>
  <si>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</si>
  <si>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</si>
  <si>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</si>
  <si>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</si>
  <si>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</si>
  <si>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</si>
  <si>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</si>
  <si>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</si>
  <si>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</si>
  <si>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</si>
  <si>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</si>
  <si>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</si>
  <si>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</si>
  <si>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</si>
  <si>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</si>
  <si>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</si>
  <si>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</si>
  <si>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</si>
  <si>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</si>
  <si>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</si>
  <si>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</si>
  <si>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</si>
  <si>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</si>
  <si>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</si>
  <si>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</si>
  <si>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</si>
  <si>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</si>
  <si>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</si>
  <si>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</si>
  <si>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</si>
  <si>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</si>
  <si>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</si>
  <si>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</si>
  <si>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</si>
  <si>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</si>
  <si>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</si>
  <si>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</si>
  <si>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</si>
  <si>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</si>
  <si>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</si>
  <si>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</si>
  <si>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</si>
  <si>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</si>
  <si>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</si>
  <si>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</si>
  <si>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</si>
  <si>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</si>
  <si>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</si>
  <si>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</si>
  <si>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</si>
  <si>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</si>
  <si>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</si>
  <si>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</si>
  <si>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</si>
  <si>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</si>
  <si>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</si>
  <si>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</si>
  <si>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</si>
  <si>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</si>
  <si>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</si>
  <si>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</si>
  <si>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</si>
  <si>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</si>
  <si>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</si>
  <si>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</si>
  <si>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</si>
  <si>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</si>
  <si>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</si>
  <si>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</si>
  <si>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</si>
  <si>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</si>
  <si>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</si>
  <si>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</si>
  <si>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</si>
  <si>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</si>
  <si>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</si>
  <si>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</si>
  <si>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</si>
  <si>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</si>
  <si>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</si>
  <si>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</si>
  <si>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</si>
  <si>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</si>
  <si>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</si>
  <si>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</si>
  <si>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</si>
  <si>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</si>
  <si>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</si>
  <si>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</si>
  <si>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</si>
  <si>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</si>
  <si>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</si>
  <si>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</si>
  <si>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</si>
  <si>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</si>
  <si>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</si>
  <si>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</si>
  <si>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</si>
  <si>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</si>
  <si>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</si>
  <si>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</si>
  <si>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</si>
  <si>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</si>
  <si>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</si>
  <si>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</si>
  <si>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</si>
  <si>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</si>
  <si>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</si>
  <si>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</si>
  <si>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</si>
  <si>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</si>
  <si>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</si>
  <si>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</si>
  <si>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</si>
  <si>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</si>
  <si>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</si>
  <si>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</si>
  <si>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</si>
  <si>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</si>
  <si>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</si>
  <si>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</si>
  <si>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</si>
  <si>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</si>
  <si>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</si>
  <si>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</si>
  <si>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</si>
  <si>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</si>
  <si>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</si>
  <si>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</si>
  <si>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</si>
  <si>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</si>
  <si>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</si>
  <si>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</si>
  <si>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</si>
  <si>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</si>
  <si>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</si>
  <si>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</si>
  <si>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</si>
  <si>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</si>
  <si>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</si>
  <si>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</si>
  <si>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</si>
  <si>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</si>
  <si>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</si>
  <si>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</si>
  <si>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</si>
  <si>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</si>
  <si>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</si>
  <si>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</si>
  <si>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</si>
  <si>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</si>
  <si>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</si>
  <si>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</si>
  <si>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</si>
  <si>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</si>
  <si>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</si>
  <si>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</si>
  <si>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</si>
  <si>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</si>
  <si>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</si>
  <si>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</si>
  <si>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</si>
  <si>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</si>
  <si>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</si>
  <si>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</si>
  <si>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</si>
  <si>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</si>
  <si>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</si>
  <si>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</si>
  <si>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</si>
  <si>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</si>
  <si>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</si>
  <si>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</si>
  <si>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</si>
  <si>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</si>
  <si>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</si>
  <si>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</si>
  <si>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</si>
  <si>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</si>
  <si>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</si>
  <si>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</si>
  <si>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</si>
  <si>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</si>
  <si>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</si>
  <si>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</si>
  <si>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</si>
  <si>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</si>
  <si>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</si>
  <si>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</si>
  <si>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</si>
  <si>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</si>
  <si>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</si>
  <si>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</si>
  <si>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</si>
  <si>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</si>
  <si>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</si>
  <si>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</si>
  <si>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</si>
  <si>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</si>
  <si>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</si>
  <si>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</si>
  <si>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</si>
  <si>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</si>
  <si>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</si>
  <si>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</si>
  <si>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</si>
  <si>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</si>
  <si>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</si>
  <si>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</si>
  <si>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</si>
  <si>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</si>
  <si>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</si>
  <si>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</si>
  <si>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</si>
  <si>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</si>
  <si>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</si>
  <si>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</si>
  <si>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</si>
  <si>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</si>
  <si>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</si>
  <si>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</si>
  <si>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</si>
  <si>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</si>
  <si>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</si>
  <si>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</si>
  <si>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</si>
  <si>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</si>
  <si>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</si>
  <si>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</si>
  <si>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</si>
  <si>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</si>
  <si>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</si>
  <si>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</si>
  <si>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</si>
  <si>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</si>
  <si>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</si>
  <si>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</si>
  <si>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</si>
  <si>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</si>
  <si>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</si>
  <si>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</si>
  <si>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</si>
  <si>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</si>
  <si>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</si>
  <si>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</si>
  <si>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</si>
  <si>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</si>
  <si>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</si>
  <si>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</si>
  <si>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</si>
  <si>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</si>
  <si>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</si>
  <si>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</si>
  <si>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</si>
  <si>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</si>
  <si>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</si>
  <si>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</si>
  <si>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</si>
  <si>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</si>
  <si>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</si>
  <si>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</si>
  <si>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</si>
  <si>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</si>
  <si>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</si>
  <si>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</si>
  <si>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</si>
  <si>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</si>
  <si>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</si>
  <si>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</si>
  <si>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</si>
  <si>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</si>
  <si>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</si>
  <si>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</si>
  <si>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</si>
  <si>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</si>
  <si>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</si>
  <si>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</si>
  <si>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</si>
  <si>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</si>
  <si>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</si>
  <si>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</si>
  <si>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</si>
  <si>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</si>
  <si>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</si>
  <si>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</si>
  <si>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</si>
  <si>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</si>
  <si>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</si>
  <si>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</si>
  <si>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</si>
  <si>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</si>
  <si>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</si>
  <si>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</si>
  <si>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</si>
  <si>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</si>
  <si>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</si>
  <si>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</si>
  <si>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</si>
  <si>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</si>
  <si>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</si>
  <si>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</si>
  <si>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</si>
  <si>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</si>
  <si>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</si>
  <si>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</si>
  <si>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</si>
  <si>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</si>
  <si>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</si>
  <si>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</si>
  <si>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</si>
  <si>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</si>
  <si>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</si>
  <si>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</si>
  <si>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</si>
  <si>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</si>
  <si>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</si>
  <si>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</si>
  <si>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</si>
  <si>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</si>
  <si>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</si>
  <si>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</si>
  <si>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</si>
  <si>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</si>
  <si>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</si>
  <si>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</si>
  <si>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</si>
  <si>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</si>
  <si>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</si>
  <si>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</si>
  <si>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</si>
  <si>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</si>
  <si>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</si>
  <si>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</si>
  <si>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</si>
  <si>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</si>
  <si>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</si>
  <si>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</si>
  <si>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</si>
  <si>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</si>
  <si>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</si>
  <si>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</si>
  <si>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</si>
  <si>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</si>
  <si>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</si>
  <si>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</si>
  <si>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</si>
  <si>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</si>
  <si>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</si>
  <si>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</si>
  <si>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</si>
  <si>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</si>
  <si>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</si>
  <si>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</si>
  <si>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</si>
  <si>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</si>
  <si>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</si>
  <si>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</si>
  <si>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</si>
  <si>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</si>
  <si>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</si>
  <si>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</si>
  <si>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</si>
  <si>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</si>
  <si>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</si>
  <si>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</si>
  <si>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</si>
  <si>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</si>
  <si>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</si>
  <si>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</si>
  <si>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</si>
  <si>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</si>
  <si>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</si>
  <si>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</si>
  <si>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</si>
  <si>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</si>
  <si>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</si>
  <si>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</si>
  <si>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</si>
  <si>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</si>
  <si>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</si>
  <si>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</si>
  <si>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</si>
  <si>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</si>
  <si>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</si>
  <si>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</si>
  <si>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</si>
  <si>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</si>
  <si>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</si>
  <si>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</si>
  <si>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</si>
  <si>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</si>
  <si>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</si>
  <si>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</si>
  <si>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</si>
  <si>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</si>
  <si>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</si>
  <si>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</si>
  <si>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</si>
  <si>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</si>
  <si>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</si>
  <si>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</si>
  <si>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</si>
  <si>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</si>
  <si>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</si>
  <si>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</si>
  <si>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</si>
  <si>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</si>
  <si>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</si>
  <si>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</si>
  <si>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</si>
  <si>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</si>
  <si>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</si>
  <si>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</si>
  <si>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</si>
  <si>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</si>
  <si>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</si>
  <si>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</si>
  <si>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</si>
  <si>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</si>
  <si>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</si>
  <si>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</si>
  <si>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</si>
  <si>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</si>
  <si>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</si>
  <si>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</si>
  <si>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</si>
  <si>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</si>
  <si>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</si>
  <si>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</si>
  <si>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</si>
  <si>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</si>
  <si>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</si>
  <si>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</si>
  <si>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</si>
  <si>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</si>
  <si>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</si>
  <si>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</si>
  <si>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</si>
  <si>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</si>
  <si>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</si>
  <si>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</si>
  <si>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</si>
  <si>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</si>
  <si>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</si>
  <si>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</si>
  <si>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</si>
  <si>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</si>
  <si>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</si>
  <si>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</si>
  <si>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</si>
  <si>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</si>
  <si>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</si>
  <si>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</si>
  <si>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</si>
  <si>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</si>
  <si>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</si>
  <si>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</si>
  <si>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</si>
  <si>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</si>
  <si>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</si>
  <si>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</si>
  <si>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</si>
  <si>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</si>
  <si>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</si>
  <si>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</si>
  <si>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</si>
  <si>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</si>
  <si>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</si>
  <si>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</si>
  <si>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</si>
  <si>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</si>
  <si>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</si>
  <si>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</si>
  <si>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</si>
  <si>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</si>
  <si>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</si>
  <si>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</si>
  <si>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</si>
  <si>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</si>
  <si>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</si>
  <si>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</si>
  <si>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</si>
  <si>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</si>
  <si>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</si>
  <si>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</si>
  <si>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</si>
  <si>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</si>
  <si>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</si>
  <si>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</si>
  <si>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</si>
  <si>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</si>
  <si>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</si>
  <si>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</si>
  <si>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</si>
  <si>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</si>
  <si>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</si>
  <si>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</si>
  <si>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</si>
  <si>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</si>
  <si>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</si>
  <si>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</si>
  <si>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</si>
  <si>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</si>
  <si>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</si>
  <si>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</si>
  <si>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</si>
  <si>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</si>
  <si>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</si>
  <si>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</si>
  <si>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</si>
  <si>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</si>
  <si>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</si>
  <si>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</si>
  <si>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</si>
  <si>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</si>
  <si>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</si>
  <si>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</si>
  <si>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</si>
  <si>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</si>
  <si>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</si>
  <si>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</si>
  <si>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</si>
  <si>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</si>
  <si>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</si>
  <si>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</si>
  <si>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</si>
  <si>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</si>
  <si>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</si>
  <si>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</si>
  <si>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</si>
  <si>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</si>
  <si>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</si>
  <si>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</si>
  <si>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</si>
  <si>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</si>
  <si>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</si>
  <si>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</si>
  <si>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</si>
  <si>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</si>
  <si>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</si>
  <si>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</si>
  <si>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</si>
  <si>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</si>
  <si>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</si>
  <si>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</si>
  <si>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</si>
  <si>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</si>
  <si>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</si>
  <si>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</si>
  <si>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</si>
  <si>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</si>
  <si>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</si>
  <si>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</si>
  <si>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</si>
  <si>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</si>
  <si>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</si>
  <si>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</si>
  <si>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</si>
  <si>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</si>
  <si>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</si>
  <si>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</si>
  <si>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</si>
  <si>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</si>
  <si>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</si>
  <si>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</si>
  <si>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</si>
  <si>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</si>
  <si>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</si>
  <si>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</si>
  <si>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</si>
  <si>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</si>
  <si>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</si>
  <si>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</si>
  <si>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</si>
  <si>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</si>
  <si>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</si>
  <si>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</si>
  <si>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</si>
  <si>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</si>
  <si>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</si>
  <si>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</si>
  <si>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</si>
  <si>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</si>
  <si>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</si>
  <si>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</si>
  <si>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</si>
  <si>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</si>
  <si>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</si>
  <si>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</si>
  <si>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</si>
  <si>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</si>
  <si>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</si>
  <si>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</si>
  <si>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</si>
  <si>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</si>
  <si>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</si>
  <si>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</si>
  <si>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</si>
  <si>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</si>
  <si>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</si>
  <si>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</si>
  <si>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</si>
  <si>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</si>
  <si>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</si>
  <si>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</si>
  <si>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</si>
  <si>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</si>
  <si>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</si>
  <si>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</si>
  <si>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</si>
  <si>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</si>
  <si>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</si>
  <si>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</si>
  <si>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</si>
  <si>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</si>
  <si>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</si>
  <si>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</si>
  <si>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</si>
  <si>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</si>
  <si>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</si>
  <si>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</si>
  <si>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</si>
  <si>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</si>
  <si>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</si>
  <si>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</si>
  <si>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</si>
  <si>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</si>
  <si>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</si>
  <si>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</si>
  <si>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</si>
  <si>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</si>
  <si>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</si>
  <si>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</si>
  <si>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</si>
  <si>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</si>
  <si>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</si>
  <si>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</si>
  <si>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</si>
  <si>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</si>
  <si>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</si>
  <si>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</si>
  <si>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</si>
  <si>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</si>
  <si>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</si>
  <si>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</si>
  <si>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</si>
  <si>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</si>
  <si>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</si>
  <si>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</si>
  <si>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</si>
  <si>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</si>
  <si>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</si>
  <si>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</si>
  <si>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</si>
  <si>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</si>
  <si>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</si>
  <si>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</si>
  <si>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</si>
  <si>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</si>
  <si>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</si>
  <si>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</si>
  <si>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</si>
  <si>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</si>
  <si>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</si>
  <si>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</si>
  <si>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</si>
  <si>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</si>
  <si>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</si>
  <si>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</si>
  <si>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</si>
  <si>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</si>
  <si>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</si>
  <si>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</si>
  <si>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</si>
  <si>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</si>
  <si>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</si>
  <si>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</si>
  <si>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</si>
  <si>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</si>
  <si>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</si>
  <si>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</si>
  <si>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</si>
  <si>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</si>
  <si>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</si>
  <si>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</si>
  <si>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</si>
  <si>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</si>
  <si>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</si>
  <si>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</si>
  <si>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</si>
  <si>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</si>
  <si>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</si>
  <si>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</si>
  <si>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</si>
  <si>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</si>
  <si>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</si>
  <si>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</si>
  <si>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</si>
  <si>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</si>
  <si>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</si>
  <si>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</si>
  <si>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</si>
  <si>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</si>
  <si>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</si>
  <si>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</si>
  <si>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</si>
  <si>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</si>
  <si>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</si>
  <si>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</si>
  <si>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</si>
  <si>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</si>
  <si>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</si>
  <si>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</si>
  <si>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</si>
  <si>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</si>
  <si>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</si>
  <si>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</si>
  <si>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</si>
  <si>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</si>
  <si>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</si>
  <si>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</si>
  <si>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</si>
  <si>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</si>
  <si>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</si>
  <si>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</si>
  <si>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</si>
  <si>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</si>
  <si>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</si>
  <si>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</si>
  <si>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</si>
  <si>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</si>
  <si>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</si>
  <si>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</si>
  <si>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</si>
  <si>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</si>
  <si>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</si>
  <si>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</si>
  <si>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</si>
  <si>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</si>
  <si>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</si>
  <si>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</si>
  <si>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</si>
  <si>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</si>
  <si>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</si>
  <si>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</si>
  <si>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</si>
  <si>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</si>
  <si>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</si>
  <si>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</si>
  <si>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</si>
  <si>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</si>
  <si>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</si>
  <si>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</si>
  <si>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</si>
  <si>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</si>
  <si>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</si>
  <si>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</si>
  <si>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</si>
  <si>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</si>
  <si>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</si>
  <si>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</si>
  <si>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</si>
  <si>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</si>
  <si>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</si>
  <si>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</si>
  <si>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</si>
  <si>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</si>
  <si>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</si>
  <si>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</si>
  <si>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</si>
  <si>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</si>
  <si>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</si>
  <si>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</si>
  <si>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</si>
  <si>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</si>
  <si>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</si>
  <si>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</si>
  <si>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</si>
  <si>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</si>
  <si>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</si>
  <si>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</si>
  <si>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</si>
  <si>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</si>
  <si>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</si>
  <si>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</si>
  <si>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</si>
  <si>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</si>
  <si>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</si>
  <si>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</si>
  <si>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</si>
  <si>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</si>
  <si>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</si>
  <si>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</si>
  <si>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</si>
  <si>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</si>
  <si>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</si>
  <si>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</si>
  <si>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</si>
  <si>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</si>
  <si>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</si>
  <si>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</si>
  <si>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</si>
  <si>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</si>
  <si>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</si>
  <si>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</si>
  <si>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</si>
  <si>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</si>
  <si>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</si>
  <si>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</si>
  <si>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</si>
  <si>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</si>
  <si>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</si>
  <si>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</si>
  <si>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</si>
  <si>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</si>
  <si>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</si>
  <si>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</si>
  <si>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</si>
  <si>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</si>
  <si>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</si>
  <si>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</si>
  <si>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</si>
  <si>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</si>
  <si>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</si>
  <si>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</si>
  <si>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</si>
  <si>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</si>
  <si>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</si>
  <si>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</si>
  <si>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</si>
  <si>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</si>
  <si>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</si>
  <si>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</si>
  <si>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</si>
  <si>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</si>
  <si>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</si>
  <si>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</si>
  <si>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</si>
  <si>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</si>
  <si>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</si>
  <si>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</si>
  <si>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</si>
  <si>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</si>
  <si>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</si>
  <si>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</si>
  <si>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</si>
  <si>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</si>
  <si>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</si>
  <si>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</si>
  <si>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</si>
  <si>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</si>
  <si>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</si>
  <si>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</si>
  <si>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</si>
  <si>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</si>
  <si>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</si>
  <si>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</si>
  <si>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</si>
  <si>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</si>
  <si>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</si>
  <si>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</si>
  <si>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</si>
  <si>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</si>
  <si>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</si>
  <si>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</si>
  <si>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</si>
  <si>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</si>
  <si>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</si>
  <si>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</si>
  <si>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</si>
  <si>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</si>
  <si>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</si>
  <si>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</si>
  <si>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</si>
  <si>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</si>
  <si>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</si>
  <si>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</si>
  <si>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</si>
  <si>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</si>
  <si>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</si>
  <si>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</si>
  <si>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</si>
  <si>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</si>
  <si>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</si>
  <si>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</si>
  <si>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</si>
  <si>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</si>
  <si>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</si>
  <si>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</si>
  <si>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</si>
  <si>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</si>
  <si>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</si>
  <si>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</si>
  <si>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</si>
  <si>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</si>
  <si>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</si>
  <si>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</si>
  <si>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</si>
  <si>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</si>
  <si>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</si>
  <si>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</si>
  <si>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</si>
  <si>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</si>
  <si>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</si>
  <si>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</si>
  <si>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</si>
  <si>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</si>
  <si>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</si>
  <si>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</si>
  <si>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</si>
  <si>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</si>
  <si>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</si>
  <si>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</si>
  <si>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</si>
  <si>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</si>
  <si>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</si>
  <si>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</si>
  <si>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</si>
  <si>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</si>
  <si>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</si>
  <si>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</si>
  <si>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</si>
  <si>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</si>
  <si>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</si>
  <si>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</si>
  <si>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</si>
  <si>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</si>
  <si>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</si>
  <si>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</si>
  <si>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</si>
  <si>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</si>
  <si>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</si>
  <si>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</si>
  <si>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</si>
  <si>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</si>
  <si>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</si>
  <si>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</si>
  <si>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</si>
  <si>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</si>
  <si>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</si>
  <si>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</si>
  <si>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</si>
  <si>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</si>
  <si>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</si>
  <si>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</si>
  <si>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</si>
  <si>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</si>
  <si>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</si>
  <si>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</si>
  <si>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</si>
  <si>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</si>
  <si>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</si>
  <si>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</si>
  <si>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</si>
  <si>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</si>
  <si>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</si>
  <si>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</si>
  <si>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</si>
  <si>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</si>
  <si>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</si>
  <si>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</si>
  <si>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</si>
  <si>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</si>
  <si>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</si>
  <si>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</si>
  <si>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</si>
  <si>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</si>
  <si>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</si>
  <si>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</si>
  <si>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</si>
  <si>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</si>
  <si>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</si>
  <si>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</si>
  <si>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</si>
  <si>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</si>
  <si>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</si>
  <si>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</si>
  <si>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</si>
  <si>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</si>
  <si>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</si>
  <si>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</si>
  <si>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</si>
  <si>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</si>
  <si>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</si>
  <si>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</si>
  <si>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</si>
  <si>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</si>
  <si>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</si>
  <si>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</si>
  <si>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</si>
  <si>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</si>
  <si>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</si>
  <si>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</si>
  <si>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</si>
  <si>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</si>
  <si>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</si>
  <si>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</si>
  <si>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</si>
  <si>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</si>
  <si>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</si>
  <si>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</si>
  <si>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</si>
  <si>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</si>
  <si>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</si>
  <si>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</si>
  <si>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</si>
  <si>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</si>
  <si>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</si>
  <si>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</si>
  <si>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</si>
  <si>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</si>
  <si>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</si>
  <si>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</si>
  <si>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</si>
  <si>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</si>
  <si>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</si>
  <si>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</si>
  <si>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</si>
  <si>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</si>
  <si>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</si>
  <si>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</si>
  <si>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</si>
  <si>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</si>
  <si>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</si>
  <si>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</si>
  <si>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</si>
  <si>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</si>
  <si>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</si>
  <si>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</si>
  <si>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</si>
  <si>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</si>
  <si>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</si>
  <si>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</si>
  <si>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</si>
  <si>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</si>
  <si>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</si>
  <si>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</si>
  <si>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</si>
  <si>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</si>
  <si>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</si>
  <si>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</si>
  <si>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</si>
  <si>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</si>
  <si>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</si>
  <si>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</si>
  <si>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</si>
  <si>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</si>
  <si>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</si>
  <si>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</si>
  <si>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</si>
  <si>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</si>
  <si>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</si>
  <si>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</si>
  <si>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</si>
  <si>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</si>
  <si>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</si>
  <si>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</si>
  <si>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</si>
  <si>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</si>
  <si>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</si>
  <si>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</si>
  <si>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</si>
  <si>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</si>
  <si>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</si>
  <si>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</si>
  <si>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</si>
  <si>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</si>
  <si>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</si>
  <si>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</si>
  <si>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</si>
  <si>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</si>
  <si>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</si>
  <si>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</si>
  <si>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</si>
  <si>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</si>
  <si>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</si>
  <si>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</si>
  <si>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</si>
  <si>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</si>
  <si>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</si>
  <si>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</si>
  <si>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</si>
  <si>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</si>
  <si>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</si>
  <si>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</si>
  <si>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</si>
  <si>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</si>
  <si>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</si>
  <si>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</si>
  <si>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</si>
  <si>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</si>
  <si>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</si>
  <si>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</si>
  <si>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</si>
  <si>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</si>
  <si>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</si>
  <si>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</si>
  <si>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</si>
  <si>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</si>
  <si>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</si>
  <si>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</si>
  <si>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</si>
  <si>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</si>
  <si>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</si>
  <si>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</si>
  <si>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</si>
  <si>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</si>
  <si>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</si>
  <si>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</si>
  <si>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</si>
  <si>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</si>
  <si>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</si>
  <si>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</si>
  <si>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</si>
  <si>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</si>
  <si>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</si>
  <si>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</si>
  <si>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</si>
  <si>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</si>
  <si>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</si>
  <si>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</si>
  <si>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</si>
  <si>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</si>
  <si>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</si>
  <si>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</si>
  <si>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</si>
  <si>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</si>
  <si>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</si>
  <si>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</si>
  <si>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</si>
  <si>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</si>
  <si>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</si>
  <si>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</si>
  <si>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</si>
  <si>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</si>
  <si>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</si>
  <si>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</si>
  <si>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</si>
  <si>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</si>
  <si>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</si>
  <si>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</si>
  <si>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</si>
  <si>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</si>
  <si>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</si>
  <si>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</si>
  <si>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</si>
  <si>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</si>
  <si>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</si>
  <si>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</si>
  <si>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</si>
  <si>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</si>
  <si>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</si>
  <si>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</si>
  <si>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</si>
  <si>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</si>
  <si>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</si>
  <si>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</si>
  <si>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</si>
  <si>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</si>
  <si>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</si>
  <si>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</si>
  <si>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</si>
  <si>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</si>
  <si>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</si>
  <si>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</si>
  <si>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</si>
  <si>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</si>
  <si>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</si>
  <si>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</si>
  <si>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</si>
  <si>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</si>
  <si>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</si>
  <si>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</si>
  <si>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</si>
  <si>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</si>
  <si>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</si>
  <si>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</si>
  <si>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</si>
  <si>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</si>
  <si>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</si>
  <si>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</si>
  <si>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</si>
  <si>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</si>
  <si>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</si>
  <si>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</si>
  <si>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</si>
  <si>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</si>
  <si>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</si>
  <si>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</si>
  <si>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</si>
  <si>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</si>
  <si>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</si>
  <si>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</si>
  <si>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</si>
  <si>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</si>
  <si>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</si>
  <si>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</si>
  <si>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</si>
  <si>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</si>
  <si>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</si>
  <si>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</si>
  <si>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</si>
  <si>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</si>
  <si>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</si>
  <si>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</si>
  <si>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</si>
  <si>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</si>
  <si>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</si>
  <si>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</si>
  <si>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</si>
  <si>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</si>
  <si>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</si>
  <si>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</si>
  <si>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</si>
  <si>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</si>
  <si>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</si>
  <si>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</si>
  <si>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</si>
  <si>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</si>
  <si>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</si>
  <si>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</si>
  <si>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</si>
  <si>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</si>
  <si>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</si>
  <si>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</si>
  <si>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</si>
  <si>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</si>
  <si>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</si>
  <si>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</si>
  <si>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</si>
  <si>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</si>
  <si>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</si>
  <si>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</si>
  <si>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</si>
  <si>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</si>
  <si>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</si>
  <si>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</si>
  <si>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</si>
  <si>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</si>
  <si>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</si>
  <si>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</si>
  <si>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</si>
  <si>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</si>
  <si>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</si>
  <si>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</si>
  <si>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</si>
  <si>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</si>
  <si>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</si>
  <si>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</si>
  <si>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</si>
  <si>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</si>
  <si>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</si>
  <si>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</si>
  <si>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</si>
  <si>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</si>
  <si>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</si>
  <si>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</si>
  <si>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</si>
  <si>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</si>
  <si>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</si>
  <si>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</si>
  <si>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</si>
  <si>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</si>
  <si>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</si>
  <si>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</si>
  <si>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</si>
  <si>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</si>
  <si>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</si>
  <si>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</si>
  <si>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</si>
  <si>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</si>
  <si>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</si>
  <si>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</si>
  <si>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</si>
  <si>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</si>
  <si>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</si>
  <si>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</si>
  <si>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</si>
  <si>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</si>
  <si>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</si>
  <si>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</si>
  <si>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</si>
  <si>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</si>
  <si>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</si>
  <si>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</si>
  <si>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</si>
  <si>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</si>
  <si>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</si>
  <si>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</si>
  <si>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</si>
  <si>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</si>
  <si>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</si>
  <si>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</si>
  <si>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</si>
  <si>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</si>
  <si>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</si>
  <si>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</si>
  <si>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</si>
  <si>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</si>
  <si>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</si>
  <si>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</si>
  <si>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</si>
  <si>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</si>
  <si>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</si>
  <si>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</si>
  <si>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</si>
  <si>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</si>
  <si>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</si>
  <si>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</si>
  <si>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</si>
  <si>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</si>
  <si>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</si>
  <si>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</si>
  <si>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</si>
  <si>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</si>
  <si>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</si>
  <si>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</si>
  <si>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</si>
  <si>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</si>
  <si>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</si>
  <si>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</si>
  <si>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</si>
  <si>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</si>
  <si>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</si>
  <si>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</si>
  <si>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</si>
  <si>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</si>
  <si>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</si>
  <si>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</si>
  <si>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</si>
  <si>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</si>
  <si>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</si>
  <si>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</si>
  <si>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</si>
  <si>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</si>
  <si>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</si>
  <si>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</si>
  <si>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</si>
  <si>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</si>
  <si>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</si>
  <si>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</si>
  <si>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</si>
  <si>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</si>
  <si>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</si>
  <si>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</si>
  <si>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</si>
  <si>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</si>
  <si>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</si>
  <si>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</si>
  <si>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</si>
  <si>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</si>
  <si>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</si>
  <si>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</si>
  <si>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</si>
  <si>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</si>
  <si>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</si>
  <si>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</si>
  <si>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</si>
  <si>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</si>
  <si>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</si>
  <si>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</si>
  <si>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</si>
  <si>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</si>
  <si>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</si>
  <si>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</si>
  <si>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</si>
  <si>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</si>
  <si>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</si>
  <si>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</si>
  <si>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</si>
  <si>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</si>
  <si>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</si>
  <si>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</si>
  <si>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</si>
  <si>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</si>
  <si>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</si>
  <si>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</si>
  <si>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</si>
  <si>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</si>
  <si>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</si>
  <si>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</si>
  <si>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</si>
  <si>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</si>
  <si>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</si>
  <si>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</si>
  <si>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</si>
  <si>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</si>
  <si>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</si>
  <si>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</si>
  <si>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</si>
  <si>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</si>
  <si>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</si>
  <si>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</si>
  <si>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</si>
  <si>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</si>
  <si>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</si>
  <si>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</si>
  <si>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</si>
  <si>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</si>
  <si>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</si>
  <si>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</si>
  <si>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</si>
  <si>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</si>
  <si>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</si>
  <si>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</si>
  <si>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</si>
  <si>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</si>
  <si>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</si>
  <si>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</si>
  <si>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</si>
  <si>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</si>
  <si>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</si>
  <si>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</si>
  <si>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</si>
  <si>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</si>
  <si>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</si>
  <si>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</si>
  <si>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</si>
  <si>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</si>
  <si>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</si>
  <si>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</si>
  <si>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</si>
  <si>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</si>
  <si>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</si>
  <si>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</si>
  <si>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</si>
  <si>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</si>
  <si>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</si>
  <si>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</si>
  <si>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</si>
  <si>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</si>
  <si>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</si>
  <si>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</si>
  <si>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</si>
  <si>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</si>
  <si>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</si>
  <si>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</si>
  <si>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</si>
  <si>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</si>
  <si>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</si>
  <si>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</si>
  <si>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</si>
  <si>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</si>
  <si>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</si>
  <si>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</si>
  <si>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</si>
  <si>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</si>
  <si>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</si>
  <si>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</si>
  <si>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</si>
  <si>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</si>
  <si>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</si>
  <si>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</si>
  <si>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</si>
  <si>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</si>
  <si>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</si>
  <si>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</si>
  <si>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</si>
  <si>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</si>
  <si>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</si>
  <si>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</si>
  <si>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</si>
  <si>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</si>
  <si>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</si>
  <si>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</si>
  <si>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</si>
  <si>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</si>
  <si>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</si>
  <si>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</si>
  <si>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</si>
  <si>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</si>
  <si>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</si>
  <si>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</si>
  <si>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</si>
  <si>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</si>
  <si>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</si>
  <si>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</si>
  <si>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</si>
  <si>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</si>
  <si>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</si>
  <si>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</si>
  <si>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</si>
  <si>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</si>
  <si>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</si>
  <si>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</si>
  <si>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</si>
  <si>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</si>
  <si>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</si>
  <si>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</si>
  <si>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</si>
  <si>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</si>
  <si>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</si>
  <si>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</si>
  <si>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</si>
  <si>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</si>
  <si>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</si>
  <si>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</si>
  <si>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</si>
  <si>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</si>
  <si>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</si>
  <si>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</si>
  <si>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</si>
  <si>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</si>
  <si>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</si>
  <si>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</si>
  <si>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</si>
  <si>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</si>
  <si>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</si>
  <si>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</si>
  <si>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</si>
  <si>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</si>
  <si>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</si>
  <si>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</si>
  <si>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</si>
  <si>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</si>
  <si>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</si>
  <si>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</si>
  <si>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</si>
  <si>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</si>
  <si>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</si>
  <si>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</si>
  <si>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</si>
  <si>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</si>
  <si>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</si>
  <si>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</si>
  <si>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</si>
  <si>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</si>
  <si>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</si>
  <si>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</si>
  <si>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</si>
  <si>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</si>
  <si>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</si>
  <si>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</si>
  <si>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</si>
  <si>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</si>
  <si>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</si>
  <si>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</si>
  <si>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</si>
  <si>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</si>
  <si>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</si>
  <si>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</si>
  <si>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</si>
  <si>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</si>
  <si>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</si>
  <si>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</si>
  <si>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</si>
  <si>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</si>
  <si>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</si>
  <si>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</si>
  <si>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</si>
  <si>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</si>
  <si>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</si>
  <si>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</si>
  <si>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</si>
  <si>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</si>
  <si>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</si>
  <si>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</si>
  <si>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</si>
  <si>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</si>
  <si>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</si>
  <si>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</si>
  <si>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</si>
  <si>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</si>
  <si>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</si>
  <si>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</si>
  <si>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</si>
  <si>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</si>
  <si>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</si>
  <si>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</si>
  <si>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</si>
  <si>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</si>
  <si>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</si>
  <si>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</si>
  <si>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</si>
  <si>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</si>
  <si>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</si>
  <si>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</si>
  <si>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</si>
  <si>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</si>
  <si>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</si>
  <si>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</si>
  <si>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</si>
  <si>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</si>
  <si>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</si>
  <si>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</si>
  <si>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</si>
  <si>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</si>
  <si>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</si>
  <si>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</si>
  <si>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</si>
  <si>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</si>
  <si>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</si>
  <si>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</si>
  <si>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</si>
  <si>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</si>
  <si>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</si>
  <si>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</si>
  <si>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</si>
  <si>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</si>
  <si>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</si>
  <si>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</si>
  <si>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</si>
  <si>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</si>
  <si>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</si>
  <si>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</si>
  <si>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</si>
  <si>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</si>
  <si>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</si>
  <si>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</si>
  <si>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</si>
  <si>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</si>
  <si>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</si>
  <si>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</si>
  <si>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</si>
  <si>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</si>
  <si>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</si>
  <si>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</si>
  <si>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</si>
  <si>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</si>
  <si>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</si>
  <si>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</si>
  <si>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</si>
  <si>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</si>
  <si>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</si>
  <si>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</si>
  <si>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</si>
  <si>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</si>
  <si>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</si>
  <si>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</si>
  <si>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</si>
  <si>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</si>
  <si>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</si>
  <si>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</si>
  <si>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</si>
  <si>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</si>
  <si>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</si>
  <si>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</si>
  <si>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</si>
  <si>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</si>
  <si>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</si>
  <si>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</si>
  <si>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</si>
  <si>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</si>
  <si>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</si>
  <si>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</si>
  <si>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</si>
  <si>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</si>
  <si>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</si>
  <si>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</si>
  <si>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</si>
  <si>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</si>
  <si>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</si>
  <si>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</si>
  <si>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</si>
  <si>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</si>
  <si>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</si>
  <si>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</si>
  <si>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</si>
  <si>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</si>
  <si>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</si>
  <si>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</si>
  <si>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</si>
  <si>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</si>
  <si>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</si>
  <si>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</si>
  <si>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</si>
  <si>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</si>
  <si>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</si>
  <si>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</si>
  <si>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</si>
  <si>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</si>
  <si>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</si>
  <si>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</si>
  <si>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</si>
  <si>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</si>
  <si>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</si>
  <si>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</si>
  <si>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</si>
  <si>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</si>
  <si>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</si>
  <si>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</si>
  <si>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</si>
  <si>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</si>
  <si>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</si>
  <si>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</si>
  <si>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</si>
  <si>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</si>
  <si>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</si>
  <si>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</si>
  <si>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</si>
  <si>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</si>
  <si>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</si>
  <si>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</si>
  <si>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</si>
  <si>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</si>
  <si>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</si>
  <si>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</si>
  <si>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</si>
  <si>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</si>
  <si>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</si>
  <si>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</si>
  <si>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</si>
  <si>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</si>
  <si>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</si>
  <si>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</si>
  <si>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</si>
  <si>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</si>
  <si>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</si>
  <si>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</si>
  <si>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</si>
  <si>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</si>
  <si>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</si>
  <si>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</si>
  <si>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</si>
  <si>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</si>
  <si>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</si>
  <si>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</si>
  <si>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</si>
  <si>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</si>
  <si>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</si>
  <si>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</si>
  <si>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</si>
  <si>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</si>
  <si>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</si>
  <si>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</si>
  <si>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</si>
  <si>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</si>
  <si>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</si>
  <si>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</si>
  <si>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</si>
  <si>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</si>
  <si>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</si>
  <si>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</si>
  <si>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</si>
  <si>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</si>
  <si>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</si>
  <si>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</si>
  <si>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</si>
  <si>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</si>
  <si>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</si>
  <si>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</si>
  <si>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</si>
  <si>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</si>
  <si>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</si>
  <si>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</si>
  <si>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</si>
  <si>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</si>
  <si>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</si>
  <si>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</si>
  <si>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</si>
  <si>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</si>
  <si>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</si>
  <si>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</si>
  <si>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</si>
  <si>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</si>
  <si>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</si>
  <si>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</si>
  <si>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</si>
  <si>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</si>
  <si>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</si>
  <si>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</si>
  <si>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</si>
  <si>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</si>
  <si>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</si>
  <si>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</si>
  <si>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</si>
  <si>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</si>
  <si>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</si>
  <si>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</si>
  <si>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</si>
  <si>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</si>
  <si>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</si>
  <si>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</si>
  <si>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</si>
  <si>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</si>
  <si>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</si>
  <si>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</si>
  <si>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</si>
  <si>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</si>
  <si>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</si>
  <si>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</si>
  <si>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</si>
  <si>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</si>
  <si>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</si>
  <si>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</si>
  <si>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</si>
  <si>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</si>
  <si>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</si>
  <si>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</si>
  <si>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</si>
  <si>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</si>
  <si>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</si>
  <si>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</si>
  <si>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</si>
  <si>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</si>
  <si>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</si>
  <si>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</si>
  <si>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</si>
  <si>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</si>
  <si>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</si>
  <si>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</si>
  <si>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</si>
  <si>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</si>
  <si>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</si>
  <si>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</si>
  <si>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</si>
  <si>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</si>
  <si>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</si>
  <si>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</si>
  <si>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</si>
  <si>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</si>
  <si>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</si>
  <si>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</si>
  <si>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</si>
  <si>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</si>
  <si>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</si>
  <si>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</si>
  <si>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</si>
  <si>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</si>
  <si>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</si>
  <si>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</si>
  <si>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</si>
  <si>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</si>
  <si>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</si>
  <si>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</si>
  <si>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</si>
  <si>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</si>
  <si>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</si>
  <si>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</si>
  <si>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</si>
  <si>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</si>
  <si>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</si>
  <si>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</si>
  <si>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</si>
  <si>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</si>
  <si>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</si>
  <si>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</si>
  <si>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</si>
  <si>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</si>
  <si>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</si>
  <si>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</si>
  <si>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</si>
  <si>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</si>
  <si>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</si>
  <si>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</si>
  <si>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</si>
  <si>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</si>
  <si>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</si>
  <si>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</si>
  <si>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</si>
  <si>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</si>
  <si>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</si>
  <si>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</si>
  <si>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</si>
  <si>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</si>
  <si>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</si>
  <si>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</si>
  <si>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</si>
  <si>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</si>
  <si>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</si>
  <si>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</si>
  <si>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</si>
  <si>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</si>
  <si>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</si>
  <si>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</si>
  <si>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</si>
  <si>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</si>
  <si>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</si>
  <si>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</si>
  <si>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</si>
  <si>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</si>
  <si>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</si>
  <si>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</si>
  <si>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</si>
  <si>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</si>
  <si>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</si>
  <si>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</si>
  <si>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</si>
  <si>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</si>
  <si>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</si>
  <si>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</si>
  <si>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</si>
  <si>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</si>
  <si>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</si>
  <si>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</si>
  <si>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</si>
  <si>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</si>
  <si>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</si>
  <si>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</si>
  <si>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</si>
  <si>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</si>
  <si>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</si>
  <si>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</si>
  <si>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</si>
  <si>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</si>
  <si>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</si>
  <si>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</si>
  <si>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</si>
  <si>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</si>
  <si>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</si>
  <si>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</si>
  <si>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</si>
  <si>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</si>
  <si>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</si>
  <si>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</si>
  <si>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</si>
  <si>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</si>
  <si>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</si>
  <si>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</si>
  <si>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</si>
  <si>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</si>
  <si>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</si>
  <si>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</si>
  <si>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</si>
  <si>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</si>
  <si>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</si>
  <si>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</si>
  <si>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</si>
  <si>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</si>
  <si>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</si>
  <si>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</si>
  <si>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</si>
  <si>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</si>
  <si>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</si>
  <si>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</si>
  <si>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</si>
  <si>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</si>
  <si>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</si>
  <si>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</si>
  <si>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</si>
  <si>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</si>
  <si>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</si>
  <si>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</si>
  <si>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</si>
  <si>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</si>
  <si>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</si>
  <si>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</si>
  <si>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</si>
  <si>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</si>
  <si>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</si>
  <si>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</si>
  <si>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</si>
  <si>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</si>
  <si>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</si>
  <si>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</si>
  <si>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</si>
  <si>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</si>
  <si>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</si>
  <si>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</si>
  <si>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</si>
  <si>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</si>
  <si>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</si>
  <si>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</si>
  <si>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</si>
  <si>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</si>
  <si>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</si>
  <si>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</si>
  <si>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</si>
  <si>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</si>
  <si>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</si>
  <si>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</si>
  <si>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</si>
  <si>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</si>
  <si>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</si>
  <si>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</si>
  <si>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</si>
  <si>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</si>
  <si>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</si>
  <si>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</si>
  <si>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</si>
  <si>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</si>
  <si>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</si>
  <si>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</si>
  <si>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</si>
  <si>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</si>
  <si>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</si>
  <si>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</si>
  <si>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</si>
  <si>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</si>
  <si>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</si>
  <si>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</si>
  <si>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</si>
  <si>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</si>
  <si>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</si>
  <si>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</si>
  <si>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</si>
  <si>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</si>
  <si>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</si>
  <si>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</si>
  <si>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</si>
  <si>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</si>
  <si>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</si>
  <si>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</si>
  <si>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</si>
  <si>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</si>
  <si>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</si>
  <si>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</si>
  <si>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</si>
  <si>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</si>
  <si>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</si>
  <si>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</si>
  <si>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</si>
  <si>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</si>
  <si>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</si>
  <si>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</si>
  <si>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</si>
  <si>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</si>
  <si>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</si>
  <si>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</si>
  <si>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</si>
  <si>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</si>
  <si>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</si>
  <si>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</si>
  <si>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</si>
  <si>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</si>
  <si>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</si>
  <si>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</si>
  <si>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</si>
  <si>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</si>
  <si>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</si>
  <si>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</si>
  <si>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</si>
  <si>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</si>
  <si>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</si>
  <si>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</si>
  <si>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</si>
  <si>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</si>
  <si>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</si>
  <si>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</si>
  <si>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</si>
  <si>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</si>
  <si>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</si>
  <si>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</si>
  <si>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</si>
  <si>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</si>
  <si>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</si>
  <si>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</si>
  <si>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</si>
  <si>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</si>
  <si>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</si>
  <si>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</si>
  <si>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</si>
  <si>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</si>
  <si>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</si>
  <si>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</si>
  <si>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</si>
  <si>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</si>
  <si>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</si>
  <si>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</si>
  <si>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</si>
  <si>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</si>
  <si>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</si>
  <si>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</si>
  <si>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</si>
  <si>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</si>
  <si>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</si>
  <si>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</si>
  <si>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</si>
  <si>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</si>
  <si>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</si>
  <si>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</si>
  <si>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</si>
  <si>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</si>
  <si>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</si>
  <si>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</si>
  <si>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</si>
  <si>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</si>
  <si>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</si>
  <si>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</si>
  <si>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</si>
  <si>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</si>
  <si>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</si>
  <si>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</si>
  <si>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</si>
  <si>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</si>
  <si>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</si>
  <si>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</si>
  <si>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</si>
  <si>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</si>
  <si>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</si>
  <si>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</si>
  <si>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</si>
  <si>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</si>
  <si>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</si>
  <si>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</si>
  <si>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</si>
  <si>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</si>
  <si>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</si>
  <si>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</si>
  <si>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</si>
  <si>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</si>
  <si>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</si>
  <si>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</si>
  <si>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</si>
  <si>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</si>
  <si>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</si>
  <si>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</si>
  <si>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</si>
  <si>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</si>
  <si>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</si>
  <si>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</si>
  <si>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</si>
  <si>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</si>
  <si>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</si>
  <si>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</si>
  <si>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</si>
  <si>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</si>
  <si>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</si>
  <si>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</si>
  <si>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</si>
  <si>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</si>
  <si>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</si>
  <si>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</si>
  <si>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</si>
  <si>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</si>
  <si>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</si>
  <si>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</si>
  <si>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</si>
  <si>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</si>
  <si>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</si>
  <si>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</si>
  <si>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</si>
  <si>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</si>
  <si>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</si>
  <si>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</si>
  <si>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</si>
  <si>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</si>
  <si>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</si>
  <si>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</si>
  <si>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</si>
  <si>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</si>
  <si>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</si>
  <si>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</si>
  <si>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</si>
  <si>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</si>
  <si>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</si>
  <si>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</si>
  <si>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</si>
  <si>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</si>
  <si>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</si>
  <si>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</si>
  <si>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</si>
  <si>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</si>
  <si>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</si>
  <si>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</si>
  <si>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</si>
  <si>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</si>
  <si>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</si>
  <si>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</si>
  <si>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</si>
  <si>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</si>
  <si>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</si>
  <si>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</si>
  <si>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</si>
  <si>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</si>
  <si>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</si>
  <si>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</si>
  <si>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</si>
  <si>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</si>
  <si>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</si>
  <si>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</si>
  <si>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</si>
  <si>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</si>
  <si>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</si>
  <si>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</si>
  <si>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</si>
  <si>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</si>
  <si>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</si>
  <si>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</si>
  <si>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</si>
  <si>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</si>
  <si>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</si>
  <si>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</si>
  <si>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</si>
  <si>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</si>
  <si>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</si>
  <si>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</si>
  <si>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</si>
  <si>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</si>
  <si>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</si>
  <si>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</si>
  <si>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</si>
  <si>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</si>
  <si>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</si>
  <si>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</si>
  <si>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</si>
  <si>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</si>
  <si>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</si>
  <si>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</si>
  <si>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</si>
  <si>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</si>
  <si>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</si>
  <si>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</si>
  <si>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</si>
  <si>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</si>
  <si>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</si>
  <si>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</si>
  <si>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</si>
  <si>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</si>
  <si>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</si>
  <si>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</si>
  <si>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</si>
  <si>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</si>
  <si>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</si>
  <si>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</si>
  <si>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</si>
  <si>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</si>
  <si>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</si>
  <si>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</si>
  <si>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</si>
  <si>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</si>
  <si>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</si>
  <si>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</si>
  <si>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</si>
  <si>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</si>
  <si>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</si>
  <si>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</si>
  <si>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</si>
  <si>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</si>
  <si>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</si>
  <si>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</si>
  <si>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</si>
  <si>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</si>
  <si>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</si>
  <si>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</si>
  <si>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</si>
  <si>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</si>
  <si>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</si>
  <si>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</si>
  <si>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</si>
  <si>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</si>
  <si>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</si>
  <si>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</si>
  <si>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</si>
  <si>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</si>
  <si>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</si>
  <si>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</si>
  <si>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</si>
  <si>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</si>
  <si>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</si>
  <si>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</si>
  <si>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</si>
  <si>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</si>
  <si>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</si>
  <si>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</si>
  <si>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</si>
  <si>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</si>
  <si>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</si>
  <si>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</si>
  <si>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</si>
  <si>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</si>
  <si>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</si>
  <si>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</si>
  <si>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</si>
  <si>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</si>
  <si>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</si>
  <si>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</si>
  <si>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</si>
  <si>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</si>
  <si>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</si>
  <si>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</si>
  <si>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</si>
  <si>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</si>
  <si>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</si>
  <si>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</si>
  <si>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</si>
  <si>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</si>
  <si>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</si>
  <si>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</si>
  <si>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</si>
  <si>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</si>
  <si>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</si>
  <si>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</si>
  <si>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</si>
  <si>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</si>
  <si>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</si>
  <si>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</si>
  <si>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</si>
  <si>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</si>
  <si>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</si>
  <si>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</si>
  <si>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</si>
  <si>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</si>
  <si>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</si>
  <si>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</si>
  <si>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</si>
  <si>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</si>
  <si>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</si>
  <si>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</si>
  <si>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</si>
  <si>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</si>
  <si>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</si>
  <si>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</si>
  <si>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</si>
  <si>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</si>
  <si>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</si>
  <si>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</si>
  <si>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</si>
  <si>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</si>
  <si>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</si>
  <si>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</si>
  <si>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</si>
  <si>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</si>
  <si>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</si>
  <si>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</si>
  <si>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</si>
  <si>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</si>
  <si>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</si>
  <si>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</si>
  <si>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</si>
  <si>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</si>
  <si>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</si>
  <si>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</si>
  <si>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</si>
  <si>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</si>
  <si>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</si>
  <si>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</si>
  <si>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</si>
  <si>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</si>
  <si>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</si>
  <si>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</si>
  <si>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</si>
  <si>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</si>
  <si>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</si>
  <si>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</si>
  <si>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</si>
  <si>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</si>
  <si>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</si>
  <si>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</si>
  <si>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</si>
  <si>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</si>
  <si>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</si>
  <si>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</si>
  <si>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</si>
  <si>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</si>
  <si>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</si>
  <si>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</si>
  <si>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</si>
  <si>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</si>
  <si>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</si>
  <si>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</si>
  <si>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</si>
  <si>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</si>
  <si>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</si>
  <si>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</si>
  <si>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</si>
  <si>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</si>
  <si>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</si>
  <si>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</si>
  <si>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</si>
  <si>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</si>
  <si>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</si>
  <si>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</si>
  <si>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</si>
  <si>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</si>
  <si>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</si>
  <si>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</si>
  <si>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</si>
  <si>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</si>
  <si>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</si>
  <si>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</si>
  <si>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</si>
  <si>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</si>
  <si>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</si>
  <si>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</si>
  <si>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</si>
  <si>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</si>
  <si>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</si>
  <si>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</si>
  <si>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</si>
  <si>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</si>
  <si>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</si>
  <si>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</si>
  <si>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</si>
  <si>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</si>
  <si>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</si>
  <si>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</si>
  <si>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</si>
  <si>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</si>
  <si>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</si>
  <si>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</si>
  <si>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</si>
  <si>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</si>
  <si>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</si>
  <si>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</si>
  <si>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</si>
  <si>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</si>
  <si>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</si>
  <si>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</si>
  <si>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</si>
  <si>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</si>
  <si>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</si>
  <si>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</si>
  <si>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</si>
  <si>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</si>
  <si>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</si>
  <si>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</si>
  <si>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</si>
  <si>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</si>
  <si>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</si>
  <si>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</si>
  <si>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</si>
  <si>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</si>
  <si>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</si>
  <si>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</si>
  <si>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</si>
  <si>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</si>
  <si>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</si>
  <si>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</si>
  <si>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</si>
  <si>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</si>
  <si>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</si>
  <si>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</si>
  <si>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</si>
  <si>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</si>
  <si>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</si>
  <si>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</si>
  <si>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</si>
  <si>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</si>
  <si>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</si>
  <si>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</si>
  <si>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</si>
  <si>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</si>
  <si>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</si>
  <si>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</si>
  <si>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</si>
  <si>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</si>
  <si>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</si>
  <si>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</si>
  <si>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</si>
  <si>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</si>
  <si>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</si>
  <si>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</si>
  <si>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</si>
  <si>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</si>
  <si>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</si>
  <si>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</si>
  <si>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</si>
  <si>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</si>
  <si>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</si>
  <si>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</si>
  <si>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</si>
  <si>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</si>
  <si>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</si>
  <si>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</si>
  <si>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</si>
  <si>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</si>
  <si>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</si>
  <si>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</si>
  <si>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</si>
  <si>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</si>
  <si>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</si>
  <si>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</si>
  <si>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</si>
  <si>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</si>
  <si>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</si>
  <si>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</si>
  <si>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</si>
  <si>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</si>
  <si>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</si>
  <si>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</si>
  <si>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</si>
  <si>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</si>
  <si>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</si>
  <si>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</si>
  <si>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</si>
  <si>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</si>
  <si>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</si>
  <si>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</si>
  <si>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</si>
  <si>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</si>
  <si>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</si>
  <si>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</si>
  <si>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</si>
  <si>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</si>
  <si>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</si>
  <si>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</si>
  <si>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</si>
  <si>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</si>
  <si>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</si>
  <si>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</si>
  <si>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</si>
  <si>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</si>
  <si>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</si>
  <si>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</si>
  <si>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</si>
  <si>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</si>
  <si>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</si>
  <si>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</si>
  <si>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</si>
  <si>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</si>
  <si>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</si>
  <si>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</si>
  <si>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</si>
  <si>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</si>
  <si>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</si>
  <si>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</si>
  <si>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</si>
  <si>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</si>
  <si>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</si>
  <si>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</si>
  <si>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</si>
  <si>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</si>
  <si>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</si>
  <si>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</si>
  <si>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</si>
  <si>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</si>
  <si>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</si>
  <si>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</si>
  <si>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</si>
  <si>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</si>
  <si>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</si>
  <si>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</si>
  <si>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</si>
  <si>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</si>
  <si>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</si>
  <si>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</si>
  <si>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</si>
  <si>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</si>
  <si>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</si>
  <si>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</si>
  <si>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</si>
  <si>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</si>
  <si>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</si>
  <si>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</si>
  <si>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</si>
  <si>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</si>
  <si>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</si>
  <si>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</si>
  <si>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</si>
  <si>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</si>
  <si>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</si>
  <si>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</si>
  <si>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</si>
  <si>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</si>
  <si>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</si>
  <si>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</si>
  <si>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</si>
  <si>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</si>
  <si>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</si>
  <si>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</si>
  <si>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</si>
  <si>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</si>
  <si>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</si>
  <si>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</si>
  <si>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</si>
  <si>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</si>
  <si>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</si>
  <si>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</si>
  <si>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</si>
  <si>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</si>
  <si>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</si>
  <si>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</si>
  <si>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</si>
  <si>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</si>
  <si>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</si>
  <si>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</si>
  <si>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</si>
  <si>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</si>
  <si>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</si>
  <si>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</si>
  <si>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</si>
  <si>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</si>
  <si>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</si>
  <si>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</si>
  <si>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</si>
  <si>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</si>
  <si>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</si>
  <si>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</si>
  <si>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</si>
  <si>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</si>
  <si>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</si>
  <si>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</si>
  <si>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</si>
  <si>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</si>
  <si>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</si>
  <si>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</si>
  <si>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</si>
  <si>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</si>
  <si>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</si>
  <si>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</si>
  <si>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</si>
  <si>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</si>
  <si>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</si>
  <si>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</si>
  <si>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</si>
  <si>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</si>
  <si>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</si>
  <si>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</si>
  <si>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</si>
  <si>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</si>
  <si>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</si>
  <si>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</si>
  <si>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</si>
  <si>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</si>
  <si>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</si>
  <si>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</si>
  <si>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</si>
  <si>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</si>
  <si>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</si>
  <si>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</si>
  <si>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</si>
  <si>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</si>
  <si>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</si>
  <si>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</si>
  <si>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</si>
  <si>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</si>
  <si>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</si>
  <si>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</si>
  <si>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</si>
  <si>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</si>
  <si>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</si>
  <si>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</si>
  <si>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</si>
  <si>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</si>
  <si>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</si>
  <si>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</si>
  <si>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</si>
  <si>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</si>
  <si>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</si>
  <si>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</si>
  <si>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</si>
  <si>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</si>
  <si>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</si>
  <si>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</si>
  <si>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</si>
  <si>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</si>
  <si>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</si>
  <si>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</si>
  <si>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</si>
  <si>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</si>
  <si>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</si>
  <si>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</si>
  <si>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</si>
  <si>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</si>
  <si>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</si>
  <si>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</si>
  <si>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</si>
  <si>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</si>
  <si>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</si>
  <si>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</si>
  <si>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</si>
  <si>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</si>
  <si>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</si>
  <si>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</si>
  <si>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</si>
  <si>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</si>
  <si>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</si>
  <si>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</si>
  <si>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</si>
  <si>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</si>
  <si>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</si>
  <si>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</si>
  <si>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</si>
  <si>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</si>
  <si>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</si>
  <si>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</si>
  <si>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</si>
  <si>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</si>
  <si>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</si>
  <si>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</si>
  <si>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</si>
  <si>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</si>
  <si>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</si>
  <si>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</si>
  <si>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</si>
  <si>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</si>
  <si>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</si>
  <si>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</si>
  <si>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</si>
  <si>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</si>
  <si>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</si>
  <si>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</si>
  <si>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</si>
  <si>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</si>
  <si>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</si>
  <si>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</si>
  <si>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</si>
  <si>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builti to mandi bahauddin</t>
  </si>
  <si>
    <t>Online transfer to Index</t>
  </si>
  <si>
    <t>purhcased upvc elbow</t>
  </si>
  <si>
    <t>sheharyar</t>
  </si>
  <si>
    <t>misc fittings</t>
  </si>
  <si>
    <t>rehana rehman</t>
  </si>
  <si>
    <t>deutsche</t>
  </si>
  <si>
    <t>verified bill copy</t>
  </si>
  <si>
    <t>umer for office use</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</si>
  <si>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</si>
  <si>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</si>
  <si>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</si>
  <si>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</si>
  <si>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</si>
  <si>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</si>
  <si>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</si>
  <si>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</si>
  <si>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</si>
  <si>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</si>
  <si>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</si>
  <si>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</si>
  <si>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</si>
  <si>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</si>
  <si>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</si>
  <si>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</si>
  <si>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</si>
  <si>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</si>
  <si>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</si>
  <si>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</si>
  <si>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</si>
  <si>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</si>
  <si>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</si>
  <si>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</si>
  <si>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</si>
  <si>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</si>
  <si>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</si>
  <si>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</si>
  <si>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</si>
  <si>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</si>
  <si>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</si>
  <si>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</si>
  <si>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</si>
  <si>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</si>
  <si>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</si>
  <si>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</si>
  <si>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</si>
  <si>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</si>
  <si>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</si>
  <si>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</si>
  <si>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</si>
  <si>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</si>
  <si>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</si>
  <si>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</si>
  <si>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</si>
  <si>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</si>
  <si>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</si>
  <si>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</si>
  <si>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</si>
  <si>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</si>
  <si>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</si>
  <si>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</si>
  <si>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</si>
  <si>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</si>
  <si>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</si>
  <si>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</si>
  <si>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</si>
  <si>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</si>
  <si>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</si>
  <si>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</si>
  <si>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</si>
  <si>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</si>
  <si>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</si>
  <si>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</si>
  <si>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</si>
  <si>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</si>
  <si>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</si>
  <si>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</si>
  <si>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</si>
  <si>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</si>
  <si>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</si>
  <si>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</si>
  <si>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</si>
  <si>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</si>
  <si>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</si>
  <si>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</si>
  <si>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</si>
  <si>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</si>
  <si>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</si>
  <si>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</si>
  <si>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</si>
  <si>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</si>
  <si>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</si>
  <si>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</si>
  <si>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</si>
  <si>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</si>
  <si>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</si>
  <si>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</si>
  <si>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</si>
  <si>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</si>
  <si>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</si>
  <si>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</si>
  <si>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</si>
  <si>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</si>
  <si>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</si>
  <si>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</si>
  <si>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</si>
  <si>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</si>
  <si>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</si>
  <si>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</si>
  <si>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</si>
  <si>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</si>
  <si>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</si>
  <si>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</si>
  <si>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</si>
  <si>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</si>
  <si>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</si>
  <si>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</si>
  <si>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</si>
  <si>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</si>
  <si>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</si>
  <si>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</si>
  <si>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</si>
  <si>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</si>
  <si>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</si>
  <si>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</si>
  <si>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</si>
  <si>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</si>
  <si>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</si>
  <si>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</si>
  <si>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</si>
  <si>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</si>
  <si>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</si>
  <si>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</si>
  <si>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</si>
  <si>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</si>
  <si>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</si>
  <si>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</si>
  <si>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</si>
  <si>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</si>
  <si>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</si>
  <si>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</si>
  <si>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</si>
  <si>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</si>
  <si>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</si>
  <si>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</si>
  <si>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</si>
  <si>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</si>
  <si>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</si>
  <si>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</si>
  <si>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</si>
  <si>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 xml:space="preserve">To Rehan for office use </t>
  </si>
  <si>
    <t>paid from office to north walk</t>
  </si>
  <si>
    <t>paid raheel salary</t>
  </si>
  <si>
    <t>purchased fittings from Guddu</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</si>
  <si>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</si>
  <si>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</si>
  <si>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</si>
  <si>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</si>
  <si>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</si>
  <si>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</si>
  <si>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</si>
  <si>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</si>
  <si>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</si>
  <si>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</si>
  <si>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</si>
  <si>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</si>
  <si>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</si>
  <si>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</si>
  <si>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</si>
  <si>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</si>
  <si>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</si>
  <si>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</si>
  <si>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</si>
  <si>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</si>
  <si>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</si>
  <si>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</si>
  <si>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</si>
  <si>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</si>
  <si>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</si>
  <si>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</si>
  <si>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</si>
  <si>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</si>
  <si>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</si>
  <si>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</si>
  <si>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</si>
  <si>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</si>
  <si>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</si>
  <si>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</si>
  <si>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</si>
  <si>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</si>
  <si>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</si>
  <si>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</si>
  <si>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</si>
  <si>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</si>
  <si>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</si>
  <si>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</si>
  <si>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</si>
  <si>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</si>
  <si>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</si>
  <si>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</si>
  <si>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</si>
  <si>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</si>
  <si>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</si>
  <si>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</si>
  <si>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</si>
  <si>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</si>
  <si>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</si>
  <si>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</si>
  <si>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</si>
  <si>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</si>
  <si>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</si>
  <si>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</si>
  <si>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</si>
  <si>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</si>
  <si>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</si>
  <si>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</si>
  <si>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</si>
  <si>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</si>
  <si>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</si>
  <si>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</si>
  <si>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</si>
  <si>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</si>
  <si>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</si>
  <si>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</si>
  <si>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</si>
  <si>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</si>
  <si>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</si>
  <si>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</si>
  <si>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</si>
  <si>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</si>
  <si>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</si>
  <si>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</si>
  <si>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</si>
  <si>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</si>
  <si>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</si>
  <si>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</si>
  <si>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</si>
  <si>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</si>
  <si>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</si>
  <si>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</si>
  <si>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</si>
  <si>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</si>
  <si>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</si>
  <si>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</si>
  <si>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</si>
  <si>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</si>
  <si>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</si>
  <si>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</si>
  <si>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</si>
  <si>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</si>
  <si>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</si>
  <si>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</si>
  <si>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</si>
  <si>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</si>
  <si>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</si>
  <si>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</si>
  <si>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</si>
  <si>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</si>
  <si>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</si>
  <si>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</si>
  <si>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</si>
  <si>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</si>
  <si>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</si>
  <si>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</si>
  <si>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</si>
  <si>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</si>
  <si>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</si>
  <si>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</si>
  <si>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</si>
  <si>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</si>
  <si>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</si>
  <si>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</si>
  <si>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</si>
  <si>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</si>
  <si>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</si>
  <si>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</si>
  <si>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</si>
  <si>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</si>
  <si>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</si>
  <si>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</si>
  <si>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</si>
  <si>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</si>
  <si>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</si>
  <si>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</si>
  <si>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</si>
  <si>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</si>
  <si>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</si>
  <si>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</si>
  <si>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</si>
  <si>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</si>
  <si>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</si>
  <si>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</si>
  <si>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</si>
  <si>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</si>
  <si>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</si>
  <si>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</si>
  <si>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</si>
  <si>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</si>
  <si>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</si>
  <si>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</si>
  <si>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</si>
  <si>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</si>
  <si>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</si>
  <si>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</si>
  <si>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</si>
  <si>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</si>
  <si>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</si>
  <si>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</si>
  <si>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</si>
  <si>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</si>
  <si>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</si>
  <si>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</si>
  <si>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</si>
  <si>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</si>
  <si>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</si>
  <si>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</si>
  <si>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</si>
  <si>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</si>
  <si>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</si>
  <si>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</si>
  <si>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</si>
  <si>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</si>
  <si>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</si>
  <si>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</si>
  <si>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</si>
  <si>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</si>
  <si>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</si>
  <si>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</si>
  <si>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</si>
  <si>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</si>
  <si>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</si>
  <si>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</si>
  <si>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</si>
  <si>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</si>
  <si>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</si>
  <si>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</si>
  <si>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</si>
  <si>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</si>
  <si>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</si>
  <si>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</si>
  <si>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</si>
  <si>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</si>
  <si>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</si>
  <si>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</si>
  <si>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</si>
  <si>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</si>
  <si>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</si>
  <si>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</si>
  <si>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</si>
  <si>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</si>
  <si>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</si>
  <si>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</si>
  <si>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</si>
  <si>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</si>
  <si>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</si>
  <si>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</si>
  <si>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</si>
  <si>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</si>
  <si>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</si>
  <si>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</si>
  <si>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</si>
  <si>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</si>
  <si>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</si>
  <si>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</si>
  <si>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</si>
  <si>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</si>
  <si>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</si>
  <si>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</si>
  <si>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</si>
  <si>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</si>
  <si>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</si>
  <si>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</si>
  <si>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</si>
  <si>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</si>
  <si>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</si>
  <si>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</si>
  <si>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</si>
  <si>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</si>
  <si>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</si>
  <si>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</si>
  <si>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</si>
  <si>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</si>
  <si>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</si>
  <si>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</si>
  <si>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</si>
  <si>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</si>
  <si>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</si>
  <si>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</si>
  <si>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</si>
  <si>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</si>
  <si>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</si>
  <si>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</si>
  <si>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</si>
  <si>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</si>
  <si>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</si>
  <si>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</si>
  <si>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</si>
  <si>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</si>
  <si>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</si>
  <si>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</si>
  <si>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</si>
  <si>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</si>
  <si>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</si>
  <si>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</si>
  <si>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</si>
  <si>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</si>
  <si>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</si>
  <si>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</si>
  <si>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</si>
  <si>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</si>
  <si>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</si>
  <si>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</si>
  <si>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</si>
  <si>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</si>
  <si>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</si>
  <si>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</si>
  <si>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</si>
  <si>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</si>
  <si>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</si>
  <si>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</si>
  <si>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</si>
  <si>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</si>
  <si>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</si>
  <si>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</si>
  <si>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</si>
  <si>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</si>
  <si>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</si>
  <si>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</si>
  <si>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</si>
  <si>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</si>
  <si>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</si>
  <si>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</si>
  <si>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</si>
  <si>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</si>
  <si>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</si>
  <si>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</si>
  <si>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</si>
  <si>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</si>
  <si>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</si>
  <si>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</si>
  <si>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</si>
  <si>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</si>
  <si>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</si>
  <si>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</si>
  <si>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</si>
  <si>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</si>
  <si>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</si>
  <si>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</si>
  <si>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</si>
  <si>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</si>
  <si>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</si>
  <si>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</si>
  <si>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</si>
  <si>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</si>
  <si>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</si>
  <si>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</si>
  <si>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</si>
  <si>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</si>
  <si>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</si>
  <si>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</si>
  <si>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</si>
  <si>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</si>
  <si>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</si>
  <si>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</si>
  <si>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</si>
  <si>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</si>
  <si>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</si>
  <si>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</si>
  <si>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</si>
  <si>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</si>
  <si>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</si>
  <si>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</si>
  <si>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</si>
  <si>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</si>
  <si>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</si>
  <si>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</si>
  <si>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</si>
  <si>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</si>
  <si>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</si>
  <si>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</si>
  <si>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</si>
  <si>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</si>
  <si>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</si>
  <si>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</si>
  <si>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</si>
  <si>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</si>
  <si>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</si>
  <si>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</si>
  <si>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</si>
  <si>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</si>
  <si>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</si>
  <si>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</si>
  <si>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</si>
  <si>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</si>
  <si>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</si>
  <si>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</si>
  <si>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</si>
  <si>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</si>
  <si>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</si>
  <si>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</si>
  <si>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</si>
  <si>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</si>
  <si>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</si>
  <si>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</si>
  <si>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</si>
  <si>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</si>
  <si>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</si>
  <si>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</si>
  <si>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</si>
  <si>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</si>
  <si>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</si>
  <si>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</si>
  <si>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</si>
  <si>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</si>
  <si>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</si>
  <si>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</si>
  <si>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</si>
  <si>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</si>
  <si>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</si>
  <si>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</si>
  <si>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</si>
  <si>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</si>
  <si>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</si>
  <si>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</si>
  <si>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</si>
  <si>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</si>
  <si>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</si>
  <si>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</si>
  <si>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</si>
  <si>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</si>
  <si>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</si>
  <si>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</si>
  <si>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</si>
  <si>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</si>
  <si>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</si>
  <si>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</si>
  <si>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</si>
  <si>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</si>
  <si>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</si>
  <si>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</si>
  <si>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</si>
  <si>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</si>
  <si>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</si>
  <si>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</si>
  <si>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</si>
  <si>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</si>
  <si>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</si>
  <si>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</si>
  <si>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</si>
  <si>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</si>
  <si>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</si>
  <si>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</si>
  <si>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</si>
  <si>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</si>
  <si>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</si>
  <si>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</si>
  <si>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</si>
  <si>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</si>
  <si>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</si>
  <si>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</si>
  <si>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</si>
  <si>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</si>
  <si>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</si>
  <si>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</si>
  <si>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</si>
  <si>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</si>
  <si>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</si>
  <si>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</si>
  <si>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</si>
  <si>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</si>
  <si>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</si>
  <si>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</si>
  <si>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</si>
  <si>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</si>
  <si>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</si>
  <si>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</si>
  <si>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</si>
  <si>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</si>
  <si>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</si>
  <si>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</si>
  <si>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</si>
  <si>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</si>
  <si>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</si>
  <si>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</si>
  <si>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</si>
  <si>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</si>
  <si>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</si>
  <si>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</si>
  <si>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</si>
  <si>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</si>
  <si>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</si>
  <si>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</si>
  <si>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</si>
  <si>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</si>
  <si>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</si>
  <si>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</si>
  <si>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</si>
  <si>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</si>
  <si>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</si>
  <si>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</si>
  <si>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</si>
  <si>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</si>
  <si>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</si>
  <si>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</si>
  <si>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</si>
  <si>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</si>
  <si>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</si>
  <si>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</si>
  <si>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</si>
  <si>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</si>
  <si>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</si>
  <si>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</si>
  <si>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</si>
  <si>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</si>
  <si>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</si>
  <si>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</si>
  <si>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</si>
  <si>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</si>
  <si>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</si>
  <si>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</si>
  <si>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</si>
  <si>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</si>
  <si>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</si>
  <si>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</si>
  <si>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</si>
  <si>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</si>
  <si>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</si>
  <si>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</si>
  <si>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</si>
  <si>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</si>
  <si>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</si>
  <si>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</si>
  <si>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</si>
  <si>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</si>
  <si>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</si>
  <si>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</si>
  <si>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</si>
  <si>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</si>
  <si>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</si>
  <si>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</si>
  <si>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</si>
  <si>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</si>
  <si>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</si>
  <si>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</si>
  <si>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</si>
  <si>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</si>
  <si>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</si>
  <si>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</si>
  <si>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</si>
  <si>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</si>
  <si>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</si>
  <si>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</si>
  <si>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</si>
  <si>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</si>
  <si>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</si>
  <si>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</si>
  <si>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</si>
  <si>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</si>
  <si>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</si>
  <si>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</si>
  <si>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</si>
  <si>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</si>
  <si>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</si>
  <si>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</si>
  <si>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</si>
  <si>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</si>
  <si>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</si>
  <si>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</si>
  <si>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</si>
  <si>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</si>
  <si>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</si>
  <si>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</si>
  <si>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</si>
  <si>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</si>
  <si>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CHARITY</t>
  </si>
  <si>
    <t>received Aug 2023 bill the place</t>
  </si>
  <si>
    <t>falcon staff salaries</t>
  </si>
  <si>
    <t>Kunna for cinema and office guest</t>
  </si>
  <si>
    <t>Zahid insulator</t>
  </si>
  <si>
    <t>Salman izhar salary</t>
  </si>
  <si>
    <t>Online transfer to Rizwan VRF in Tri fit</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</si>
  <si>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</si>
  <si>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</si>
  <si>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</si>
  <si>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</si>
  <si>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</si>
  <si>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</si>
  <si>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</si>
  <si>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</si>
  <si>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</si>
  <si>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</si>
  <si>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</si>
  <si>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</si>
  <si>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</si>
  <si>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</si>
  <si>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</si>
  <si>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</si>
  <si>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</si>
  <si>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</si>
  <si>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</si>
  <si>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</si>
  <si>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</si>
  <si>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</si>
  <si>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</si>
  <si>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</si>
  <si>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</si>
  <si>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</si>
  <si>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</si>
  <si>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</si>
  <si>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</si>
  <si>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</si>
  <si>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</si>
  <si>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</si>
  <si>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</si>
  <si>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</si>
  <si>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</si>
  <si>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</si>
  <si>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</si>
  <si>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</si>
  <si>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</si>
  <si>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</si>
  <si>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</si>
  <si>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</si>
  <si>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</si>
  <si>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</si>
  <si>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</si>
  <si>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</si>
  <si>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</si>
  <si>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</si>
  <si>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</si>
  <si>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</si>
  <si>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</si>
  <si>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</si>
  <si>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</si>
  <si>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</si>
  <si>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</si>
  <si>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</si>
  <si>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</si>
  <si>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</si>
  <si>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</si>
  <si>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</si>
  <si>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</si>
  <si>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</si>
  <si>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</si>
  <si>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</si>
  <si>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</si>
  <si>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</si>
  <si>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</si>
  <si>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</si>
  <si>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</si>
  <si>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</si>
  <si>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</si>
  <si>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</si>
  <si>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</si>
  <si>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</si>
  <si>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</si>
  <si>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</si>
  <si>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</si>
  <si>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</si>
  <si>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</si>
  <si>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</si>
  <si>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</si>
  <si>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</si>
  <si>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</si>
  <si>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</si>
  <si>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</si>
  <si>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</si>
  <si>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</si>
  <si>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</si>
  <si>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</si>
  <si>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</si>
  <si>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</si>
  <si>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</si>
  <si>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</si>
  <si>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</si>
  <si>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</si>
  <si>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</si>
  <si>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</si>
  <si>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</si>
  <si>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</si>
  <si>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</si>
  <si>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</si>
  <si>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</si>
  <si>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</si>
  <si>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</si>
  <si>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</si>
  <si>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</si>
  <si>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</si>
  <si>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</si>
  <si>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</si>
  <si>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</si>
  <si>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</si>
  <si>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</si>
  <si>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</si>
  <si>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</si>
  <si>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</si>
  <si>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</si>
  <si>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</si>
  <si>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</si>
  <si>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</si>
  <si>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</si>
  <si>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</si>
  <si>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</si>
  <si>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</si>
  <si>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</si>
  <si>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</si>
  <si>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</si>
  <si>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</si>
  <si>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</si>
  <si>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</si>
  <si>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</si>
  <si>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</si>
  <si>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</si>
  <si>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</si>
  <si>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</si>
  <si>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</si>
  <si>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</si>
  <si>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</si>
  <si>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</si>
  <si>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</si>
  <si>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</si>
  <si>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</si>
  <si>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</si>
  <si>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</si>
  <si>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</si>
  <si>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</si>
  <si>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</si>
  <si>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</si>
  <si>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</si>
  <si>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</si>
  <si>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</si>
  <si>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</si>
  <si>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</si>
  <si>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</si>
  <si>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</si>
  <si>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</si>
  <si>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</si>
  <si>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</si>
  <si>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</si>
  <si>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</si>
  <si>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</si>
  <si>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</si>
  <si>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</si>
  <si>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</si>
  <si>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</si>
  <si>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</si>
  <si>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</si>
  <si>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</si>
  <si>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</si>
  <si>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</si>
  <si>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</si>
  <si>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</si>
  <si>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</si>
  <si>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</si>
  <si>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</si>
  <si>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</si>
  <si>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</si>
  <si>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</si>
  <si>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</si>
  <si>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</si>
  <si>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</si>
  <si>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</si>
  <si>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</si>
  <si>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</si>
  <si>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</si>
  <si>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</si>
  <si>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</si>
  <si>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</si>
  <si>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</si>
  <si>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</si>
  <si>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</si>
  <si>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</si>
  <si>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</si>
  <si>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</si>
  <si>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</si>
  <si>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</si>
  <si>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</si>
  <si>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</si>
  <si>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</si>
  <si>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</si>
  <si>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</si>
  <si>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</si>
  <si>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</si>
  <si>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</si>
  <si>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</si>
  <si>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</si>
  <si>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</si>
  <si>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</si>
  <si>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</si>
  <si>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</si>
  <si>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</si>
  <si>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</si>
  <si>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</si>
  <si>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</si>
  <si>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</si>
  <si>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</si>
  <si>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</si>
  <si>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</si>
  <si>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</si>
  <si>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</si>
  <si>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</si>
  <si>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</si>
  <si>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</si>
  <si>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</si>
  <si>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</si>
  <si>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</si>
  <si>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</si>
  <si>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</si>
  <si>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</si>
  <si>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</si>
  <si>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</si>
  <si>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</si>
  <si>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</si>
  <si>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</si>
  <si>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</si>
  <si>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</si>
  <si>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</si>
  <si>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</si>
  <si>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</si>
  <si>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</si>
  <si>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</si>
  <si>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</si>
  <si>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</si>
  <si>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</si>
  <si>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</si>
  <si>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</si>
  <si>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</si>
  <si>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</si>
  <si>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</si>
  <si>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</si>
  <si>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</si>
  <si>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</si>
  <si>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</si>
  <si>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</si>
  <si>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</si>
  <si>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</si>
  <si>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</si>
  <si>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</si>
  <si>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</si>
  <si>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</si>
  <si>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</si>
  <si>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</si>
  <si>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</si>
  <si>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</si>
  <si>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</si>
  <si>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</si>
  <si>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</si>
  <si>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</si>
  <si>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</si>
  <si>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</si>
  <si>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</si>
  <si>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</si>
  <si>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</si>
  <si>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</si>
  <si>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</si>
  <si>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</si>
  <si>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</si>
  <si>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</si>
  <si>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</si>
  <si>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</si>
  <si>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</si>
  <si>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</si>
  <si>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</si>
  <si>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</si>
  <si>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</si>
  <si>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</si>
  <si>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</si>
  <si>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</si>
  <si>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</si>
  <si>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</si>
  <si>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</si>
  <si>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</si>
  <si>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</si>
  <si>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</si>
  <si>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</si>
  <si>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</si>
  <si>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</si>
  <si>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</si>
  <si>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</si>
  <si>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</si>
  <si>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</si>
  <si>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</si>
  <si>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</si>
  <si>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</si>
  <si>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</si>
  <si>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</si>
  <si>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</si>
  <si>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</si>
  <si>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</si>
  <si>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</si>
  <si>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</si>
  <si>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</si>
  <si>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</si>
  <si>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</si>
  <si>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</si>
  <si>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</si>
  <si>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</si>
  <si>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</si>
  <si>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</si>
  <si>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</si>
  <si>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</si>
  <si>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</si>
  <si>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</si>
  <si>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</si>
  <si>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</si>
  <si>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</si>
  <si>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</si>
  <si>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</si>
  <si>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</si>
  <si>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</si>
  <si>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</si>
  <si>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</si>
  <si>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</si>
  <si>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</si>
  <si>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</si>
  <si>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</si>
  <si>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</si>
  <si>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</si>
  <si>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</si>
  <si>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</si>
  <si>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</si>
  <si>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</si>
  <si>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</si>
  <si>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</si>
  <si>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</si>
  <si>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</si>
  <si>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</si>
  <si>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</si>
  <si>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</si>
  <si>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</si>
  <si>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</si>
  <si>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</si>
  <si>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</si>
  <si>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</si>
  <si>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</si>
  <si>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</si>
  <si>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</si>
  <si>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</si>
  <si>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</si>
  <si>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</si>
  <si>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</si>
  <si>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</si>
  <si>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</si>
  <si>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</si>
  <si>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</si>
  <si>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</si>
  <si>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</si>
  <si>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</si>
  <si>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</si>
  <si>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</si>
  <si>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</si>
  <si>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</si>
  <si>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</si>
  <si>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</si>
  <si>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</si>
  <si>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</si>
  <si>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</si>
  <si>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</si>
  <si>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</si>
  <si>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</si>
  <si>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</si>
  <si>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</si>
  <si>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</si>
  <si>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</si>
  <si>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</si>
  <si>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</si>
  <si>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</si>
  <si>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</si>
  <si>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</si>
  <si>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</si>
  <si>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</si>
  <si>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</si>
  <si>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</si>
  <si>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</si>
  <si>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</si>
  <si>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</si>
  <si>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</si>
  <si>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</si>
  <si>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</si>
  <si>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</si>
  <si>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</si>
  <si>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</si>
  <si>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</si>
  <si>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</si>
  <si>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</si>
  <si>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</si>
  <si>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</si>
  <si>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</si>
  <si>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</si>
  <si>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</si>
  <si>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</si>
  <si>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</si>
  <si>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</si>
  <si>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</si>
  <si>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</si>
  <si>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</si>
  <si>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</si>
  <si>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</si>
  <si>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</si>
  <si>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</si>
  <si>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</si>
  <si>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</si>
  <si>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</si>
  <si>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</si>
  <si>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</si>
  <si>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</si>
  <si>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</si>
  <si>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</si>
  <si>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</si>
  <si>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</si>
  <si>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</si>
  <si>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</si>
  <si>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</si>
  <si>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</si>
  <si>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</si>
  <si>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</si>
  <si>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</si>
  <si>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</si>
  <si>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</si>
  <si>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</si>
  <si>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</si>
  <si>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</si>
  <si>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</si>
  <si>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</si>
  <si>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</si>
  <si>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</si>
  <si>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</si>
  <si>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</si>
  <si>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</si>
  <si>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</si>
  <si>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</si>
  <si>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</si>
  <si>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</si>
  <si>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</si>
  <si>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</si>
  <si>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</si>
  <si>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</si>
  <si>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</si>
  <si>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</si>
  <si>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</si>
  <si>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</si>
  <si>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</si>
  <si>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</si>
  <si>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</si>
  <si>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</si>
  <si>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</si>
  <si>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</si>
  <si>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</si>
  <si>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</si>
  <si>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</si>
  <si>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</si>
  <si>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</si>
  <si>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</si>
  <si>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</si>
  <si>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</si>
  <si>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</si>
  <si>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</si>
  <si>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</si>
  <si>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</si>
  <si>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</si>
  <si>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</si>
  <si>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</si>
  <si>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</si>
  <si>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</si>
  <si>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</si>
  <si>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</si>
  <si>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</si>
  <si>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</si>
  <si>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</si>
  <si>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</si>
  <si>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</si>
  <si>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</si>
  <si>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</si>
  <si>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</si>
  <si>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</si>
  <si>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</si>
  <si>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</si>
  <si>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</si>
  <si>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</si>
  <si>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</si>
  <si>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</si>
  <si>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</si>
  <si>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</si>
  <si>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</si>
  <si>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</si>
  <si>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</si>
  <si>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</si>
  <si>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</si>
  <si>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</si>
  <si>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</si>
  <si>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</si>
  <si>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</si>
  <si>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</si>
  <si>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</si>
  <si>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</si>
  <si>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</si>
  <si>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</si>
  <si>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</si>
  <si>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</si>
  <si>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</si>
  <si>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</si>
  <si>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</si>
  <si>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</si>
  <si>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</si>
  <si>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</si>
  <si>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</si>
  <si>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</si>
  <si>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</si>
  <si>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</si>
  <si>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</si>
  <si>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</si>
  <si>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</si>
  <si>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</si>
  <si>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</si>
  <si>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</si>
  <si>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</si>
  <si>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</si>
  <si>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</si>
  <si>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</si>
  <si>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</si>
  <si>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</si>
  <si>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</si>
  <si>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</si>
  <si>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</si>
  <si>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</si>
  <si>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</si>
  <si>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</si>
  <si>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</si>
  <si>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</si>
  <si>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</si>
  <si>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</si>
  <si>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</si>
  <si>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</si>
  <si>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</si>
  <si>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</si>
  <si>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</si>
  <si>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</si>
  <si>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</si>
  <si>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</si>
  <si>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</si>
  <si>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</si>
  <si>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</si>
  <si>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</si>
  <si>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</si>
  <si>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</si>
  <si>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</si>
  <si>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</si>
  <si>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</si>
  <si>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</si>
  <si>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</si>
  <si>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</si>
  <si>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</si>
  <si>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</si>
  <si>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</si>
  <si>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</si>
  <si>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</si>
  <si>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</si>
  <si>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</si>
  <si>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</si>
  <si>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</si>
  <si>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</si>
  <si>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</si>
  <si>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</si>
  <si>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</si>
  <si>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</si>
  <si>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</si>
  <si>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</si>
  <si>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</si>
  <si>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</si>
  <si>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</si>
  <si>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</si>
  <si>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</si>
  <si>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</si>
  <si>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</si>
  <si>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</si>
  <si>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</si>
  <si>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</si>
  <si>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</si>
  <si>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</si>
  <si>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</si>
  <si>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</si>
  <si>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</si>
  <si>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</si>
  <si>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</si>
  <si>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</si>
  <si>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</si>
  <si>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</si>
  <si>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</si>
  <si>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</si>
  <si>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</si>
  <si>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</si>
  <si>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</si>
  <si>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</si>
  <si>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</si>
  <si>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</si>
  <si>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</si>
  <si>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</si>
  <si>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</si>
  <si>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</si>
  <si>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</si>
  <si>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</si>
  <si>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</si>
  <si>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</si>
  <si>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</si>
  <si>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</si>
  <si>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</si>
  <si>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</si>
  <si>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</si>
  <si>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</si>
  <si>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</si>
  <si>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</si>
  <si>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</si>
  <si>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</si>
  <si>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</si>
  <si>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</si>
  <si>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</si>
  <si>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</si>
  <si>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</si>
  <si>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</si>
  <si>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</si>
  <si>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</si>
  <si>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</si>
  <si>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</si>
  <si>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</si>
  <si>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</si>
  <si>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</si>
  <si>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</si>
  <si>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</si>
  <si>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</si>
  <si>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</si>
  <si>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</si>
  <si>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</si>
  <si>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</si>
  <si>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</si>
  <si>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</si>
  <si>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</si>
  <si>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</si>
  <si>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</si>
  <si>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</si>
  <si>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</si>
  <si>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</si>
  <si>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</si>
  <si>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</si>
  <si>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</si>
  <si>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</si>
  <si>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</si>
  <si>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</si>
  <si>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</si>
  <si>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</si>
  <si>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</si>
  <si>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</si>
  <si>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</si>
  <si>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</si>
  <si>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</si>
  <si>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</si>
  <si>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</si>
  <si>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</si>
  <si>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</si>
  <si>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</si>
  <si>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</si>
  <si>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</si>
  <si>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</si>
  <si>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</si>
  <si>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</si>
  <si>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</si>
  <si>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</si>
  <si>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</si>
  <si>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</si>
  <si>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</si>
  <si>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</si>
  <si>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</si>
  <si>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</si>
  <si>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</si>
  <si>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</si>
  <si>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</si>
  <si>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</si>
  <si>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</si>
  <si>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</si>
  <si>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</si>
  <si>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</si>
  <si>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</si>
  <si>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</si>
  <si>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</si>
  <si>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</si>
  <si>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</si>
  <si>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</si>
  <si>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</si>
  <si>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</si>
  <si>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</si>
  <si>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</si>
  <si>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</si>
  <si>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</si>
  <si>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</si>
  <si>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</si>
  <si>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</si>
  <si>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</si>
  <si>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</si>
  <si>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</si>
  <si>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</si>
  <si>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</si>
  <si>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</si>
  <si>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</si>
  <si>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</si>
  <si>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</si>
  <si>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</si>
  <si>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</si>
  <si>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</si>
  <si>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</si>
  <si>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</si>
  <si>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</si>
  <si>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</si>
  <si>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</si>
  <si>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</si>
  <si>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</si>
  <si>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</si>
  <si>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</si>
  <si>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</si>
  <si>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</si>
  <si>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</si>
  <si>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</si>
  <si>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</si>
  <si>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</si>
  <si>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</si>
  <si>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</si>
  <si>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</si>
  <si>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</si>
  <si>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</si>
  <si>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</si>
  <si>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</si>
  <si>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</si>
  <si>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</si>
  <si>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</si>
  <si>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</si>
  <si>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</si>
  <si>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</si>
  <si>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</si>
  <si>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</si>
  <si>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</si>
  <si>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</si>
  <si>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</si>
  <si>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</si>
  <si>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</si>
  <si>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</si>
  <si>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</si>
  <si>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</si>
  <si>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</si>
  <si>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</si>
  <si>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</si>
  <si>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</si>
  <si>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</si>
  <si>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</si>
  <si>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</si>
  <si>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</si>
  <si>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</si>
  <si>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</si>
  <si>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</si>
  <si>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</si>
  <si>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</si>
  <si>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</si>
  <si>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</si>
  <si>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</si>
  <si>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</si>
  <si>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</si>
  <si>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</si>
  <si>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</si>
  <si>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</si>
  <si>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</si>
  <si>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</si>
  <si>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</si>
  <si>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</si>
  <si>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</si>
  <si>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</si>
  <si>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</si>
  <si>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</si>
  <si>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</si>
  <si>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</si>
  <si>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</si>
  <si>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</si>
  <si>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</si>
  <si>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</si>
  <si>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</si>
  <si>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</si>
  <si>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</si>
  <si>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</si>
  <si>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</si>
  <si>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</si>
  <si>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</si>
  <si>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</si>
  <si>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</si>
  <si>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</si>
  <si>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</si>
  <si>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</si>
  <si>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</si>
  <si>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</si>
  <si>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</si>
  <si>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</si>
  <si>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</si>
  <si>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</si>
  <si>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</si>
  <si>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</si>
  <si>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</si>
  <si>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</si>
  <si>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</si>
  <si>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</si>
  <si>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</si>
  <si>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</si>
  <si>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</si>
  <si>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</si>
  <si>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</si>
  <si>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</si>
  <si>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</si>
  <si>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</si>
  <si>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</si>
  <si>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</si>
  <si>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</si>
  <si>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</si>
  <si>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</si>
  <si>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</si>
  <si>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</si>
  <si>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</si>
  <si>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</si>
  <si>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</si>
  <si>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</si>
  <si>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</si>
  <si>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</si>
  <si>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</si>
  <si>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</si>
  <si>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</si>
  <si>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</si>
  <si>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</si>
  <si>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</si>
  <si>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</si>
  <si>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</si>
  <si>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</si>
  <si>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</si>
  <si>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</si>
  <si>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</si>
  <si>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</si>
  <si>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</si>
  <si>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</si>
  <si>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</si>
  <si>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</si>
  <si>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</si>
  <si>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</si>
  <si>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</si>
  <si>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</si>
  <si>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</si>
  <si>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</si>
  <si>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</si>
  <si>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</si>
  <si>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</si>
  <si>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</si>
  <si>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</si>
  <si>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</si>
  <si>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</si>
  <si>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</si>
  <si>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</si>
  <si>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</si>
  <si>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</si>
  <si>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</si>
  <si>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</si>
  <si>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</si>
  <si>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</si>
  <si>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</si>
  <si>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</si>
  <si>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</si>
  <si>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</si>
  <si>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</si>
  <si>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</si>
  <si>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</si>
  <si>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</si>
  <si>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</si>
  <si>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</si>
  <si>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</si>
  <si>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</si>
  <si>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</si>
  <si>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</si>
  <si>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</si>
  <si>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</si>
  <si>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</si>
  <si>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</si>
  <si>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</si>
  <si>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</si>
  <si>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</si>
  <si>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</si>
  <si>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</si>
  <si>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</si>
  <si>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</si>
  <si>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</si>
  <si>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</si>
  <si>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</si>
  <si>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</si>
  <si>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</si>
  <si>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</si>
  <si>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</si>
  <si>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</si>
  <si>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</si>
  <si>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</si>
  <si>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</si>
  <si>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</si>
  <si>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</si>
  <si>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</si>
  <si>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</si>
  <si>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</si>
  <si>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</si>
  <si>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</si>
  <si>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</si>
  <si>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</si>
  <si>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</si>
  <si>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</si>
  <si>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</si>
  <si>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</si>
  <si>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</si>
  <si>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</si>
  <si>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</si>
  <si>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</si>
  <si>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</si>
  <si>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</si>
  <si>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</si>
  <si>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</si>
  <si>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</si>
  <si>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</si>
  <si>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</si>
  <si>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</si>
  <si>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</si>
  <si>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</si>
  <si>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</si>
  <si>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</si>
  <si>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</si>
  <si>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</si>
  <si>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</si>
  <si>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</si>
  <si>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</si>
  <si>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</si>
  <si>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</si>
  <si>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</si>
  <si>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</si>
  <si>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</si>
  <si>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</si>
  <si>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</si>
  <si>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</si>
  <si>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</si>
  <si>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</si>
  <si>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</si>
  <si>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</si>
  <si>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</si>
  <si>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</si>
  <si>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</si>
  <si>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</si>
  <si>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</si>
  <si>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</si>
  <si>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</si>
  <si>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</si>
  <si>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</si>
  <si>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</si>
  <si>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</si>
  <si>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</si>
  <si>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</si>
  <si>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</si>
  <si>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</si>
  <si>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</si>
  <si>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</si>
  <si>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</si>
  <si>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</si>
  <si>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</si>
  <si>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</si>
  <si>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</si>
  <si>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</si>
  <si>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</si>
  <si>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</si>
  <si>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</si>
  <si>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</si>
  <si>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</si>
  <si>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</si>
  <si>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</si>
  <si>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</si>
  <si>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</si>
  <si>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</si>
  <si>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</si>
  <si>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</si>
  <si>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</si>
  <si>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</si>
  <si>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</si>
  <si>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</si>
  <si>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</si>
  <si>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</si>
  <si>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</si>
  <si>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</si>
  <si>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</si>
  <si>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</si>
  <si>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</si>
  <si>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</si>
  <si>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</si>
  <si>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</si>
  <si>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</si>
  <si>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</si>
  <si>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</si>
  <si>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</si>
  <si>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</si>
  <si>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</si>
  <si>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</si>
  <si>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</si>
  <si>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</si>
  <si>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</si>
  <si>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</si>
  <si>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</si>
  <si>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</si>
  <si>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</si>
  <si>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</si>
  <si>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</si>
  <si>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</si>
  <si>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</si>
  <si>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</si>
  <si>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</si>
  <si>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</si>
  <si>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</si>
  <si>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</si>
  <si>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</si>
  <si>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</si>
  <si>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</si>
  <si>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</si>
  <si>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</si>
  <si>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</si>
  <si>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</si>
  <si>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</si>
  <si>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</si>
  <si>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</si>
  <si>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</si>
  <si>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</si>
  <si>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</si>
  <si>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</si>
  <si>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</si>
  <si>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</si>
  <si>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</si>
  <si>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</si>
  <si>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</si>
  <si>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</si>
  <si>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</si>
  <si>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</si>
  <si>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</si>
  <si>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</si>
  <si>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</si>
  <si>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</si>
  <si>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</si>
  <si>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</si>
  <si>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</si>
  <si>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</si>
  <si>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</si>
  <si>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</si>
  <si>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</si>
  <si>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</si>
  <si>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</si>
  <si>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</si>
  <si>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</si>
  <si>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</si>
  <si>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</si>
  <si>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</si>
  <si>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</si>
  <si>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</si>
  <si>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</si>
  <si>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</si>
  <si>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</si>
  <si>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</si>
  <si>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</si>
  <si>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</si>
  <si>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</si>
  <si>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</si>
  <si>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</si>
  <si>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</si>
  <si>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</si>
  <si>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</si>
  <si>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</si>
  <si>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</si>
  <si>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</si>
  <si>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</si>
  <si>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</si>
  <si>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</si>
  <si>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</si>
  <si>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</si>
  <si>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</si>
  <si>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</si>
  <si>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</si>
  <si>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</si>
  <si>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</si>
  <si>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</si>
  <si>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</si>
  <si>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</si>
  <si>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</si>
  <si>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</si>
  <si>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</si>
  <si>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</si>
  <si>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</si>
  <si>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</si>
  <si>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</si>
  <si>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</si>
  <si>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</si>
  <si>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</si>
  <si>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</si>
  <si>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</si>
  <si>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</si>
  <si>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</si>
  <si>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</si>
  <si>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</si>
  <si>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</si>
  <si>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</si>
  <si>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</si>
  <si>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</si>
  <si>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</si>
  <si>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</si>
  <si>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</si>
  <si>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</si>
  <si>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</si>
  <si>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</si>
  <si>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</si>
  <si>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</si>
  <si>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</si>
  <si>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</si>
  <si>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</si>
  <si>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</si>
  <si>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</si>
  <si>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</si>
  <si>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</si>
  <si>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</si>
  <si>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</si>
  <si>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</si>
  <si>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</si>
  <si>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</si>
  <si>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</si>
  <si>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</si>
  <si>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</si>
  <si>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</si>
  <si>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</si>
  <si>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</si>
  <si>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</si>
  <si>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</si>
  <si>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</si>
  <si>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</si>
  <si>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</si>
  <si>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</si>
  <si>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</si>
  <si>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</si>
  <si>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</si>
  <si>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</si>
  <si>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</si>
  <si>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</si>
  <si>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</si>
  <si>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</si>
  <si>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</si>
  <si>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</si>
  <si>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</si>
  <si>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</si>
  <si>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</si>
  <si>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</si>
  <si>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</si>
  <si>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</si>
  <si>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</si>
  <si>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</si>
  <si>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</si>
  <si>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</si>
  <si>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</si>
  <si>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</si>
  <si>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</si>
  <si>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</si>
  <si>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</si>
  <si>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</si>
  <si>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</si>
  <si>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</si>
  <si>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</si>
  <si>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</si>
  <si>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</si>
  <si>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</si>
  <si>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</si>
  <si>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</si>
  <si>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</si>
  <si>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</si>
  <si>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</si>
  <si>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</si>
  <si>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</si>
  <si>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</si>
  <si>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</si>
  <si>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</si>
  <si>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</si>
  <si>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</si>
  <si>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</si>
  <si>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</si>
  <si>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</si>
  <si>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</si>
  <si>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</si>
  <si>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</si>
  <si>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</si>
  <si>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</si>
  <si>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</si>
  <si>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</si>
  <si>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</si>
  <si>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</si>
  <si>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</si>
  <si>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</si>
  <si>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</si>
  <si>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</si>
  <si>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</si>
  <si>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</si>
  <si>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</si>
  <si>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</si>
  <si>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</si>
  <si>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</si>
  <si>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</si>
  <si>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</si>
  <si>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</si>
  <si>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</si>
  <si>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</si>
  <si>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</si>
  <si>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</si>
  <si>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</si>
  <si>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</si>
  <si>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</si>
  <si>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</si>
  <si>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</si>
  <si>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</si>
  <si>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</si>
  <si>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</si>
  <si>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</si>
  <si>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</si>
  <si>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</si>
  <si>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</si>
  <si>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</si>
  <si>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</si>
  <si>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</si>
  <si>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</si>
  <si>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</si>
  <si>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</si>
  <si>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</si>
  <si>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</si>
  <si>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</si>
  <si>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</si>
  <si>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</si>
  <si>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</si>
  <si>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</si>
  <si>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</si>
  <si>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</si>
  <si>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</si>
  <si>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</si>
  <si>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</si>
  <si>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</si>
  <si>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</si>
  <si>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</si>
  <si>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</si>
  <si>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</si>
  <si>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</si>
  <si>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</si>
  <si>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</si>
  <si>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</si>
  <si>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</si>
  <si>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</si>
  <si>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</si>
  <si>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</si>
  <si>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</si>
  <si>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</si>
  <si>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</si>
  <si>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</si>
  <si>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</si>
  <si>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</si>
  <si>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</si>
  <si>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</si>
  <si>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</si>
  <si>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</si>
  <si>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</si>
  <si>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</si>
  <si>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</si>
  <si>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</si>
  <si>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</si>
  <si>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</si>
  <si>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</si>
  <si>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</si>
  <si>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</si>
  <si>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</si>
  <si>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</si>
  <si>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</si>
  <si>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</si>
  <si>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</si>
  <si>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</si>
  <si>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</si>
  <si>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</si>
  <si>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</si>
  <si>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</si>
  <si>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</si>
  <si>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</si>
  <si>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</si>
  <si>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</si>
  <si>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</si>
  <si>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</si>
  <si>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</si>
  <si>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</si>
  <si>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</si>
  <si>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</si>
  <si>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</si>
  <si>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</si>
  <si>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</si>
  <si>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</si>
  <si>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</si>
  <si>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</si>
  <si>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</si>
  <si>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</si>
  <si>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</si>
  <si>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</si>
  <si>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</si>
  <si>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</si>
  <si>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</si>
  <si>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</si>
  <si>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</si>
  <si>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</si>
  <si>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</si>
  <si>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</si>
  <si>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</si>
  <si>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</si>
  <si>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</si>
  <si>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</si>
  <si>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</si>
  <si>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</si>
  <si>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</si>
  <si>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</si>
  <si>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</si>
  <si>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</si>
  <si>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</si>
  <si>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</si>
  <si>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</si>
  <si>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</si>
  <si>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</si>
  <si>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</si>
  <si>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</si>
  <si>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</si>
  <si>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</si>
  <si>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</si>
  <si>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</si>
  <si>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</si>
  <si>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</si>
  <si>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</si>
  <si>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</si>
  <si>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</si>
  <si>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</si>
  <si>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</si>
  <si>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</si>
  <si>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</si>
  <si>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</si>
  <si>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</si>
  <si>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</si>
  <si>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</si>
  <si>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</si>
  <si>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</si>
  <si>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</si>
  <si>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</si>
  <si>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</si>
  <si>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</si>
  <si>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</si>
  <si>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</si>
  <si>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</si>
  <si>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</si>
  <si>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</si>
  <si>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</si>
  <si>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</si>
  <si>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</si>
  <si>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</si>
  <si>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</si>
  <si>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</si>
  <si>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</si>
  <si>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</si>
  <si>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</si>
  <si>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</si>
  <si>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</si>
  <si>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</si>
  <si>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</si>
  <si>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</si>
  <si>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</si>
  <si>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</si>
  <si>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</si>
  <si>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</si>
  <si>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</si>
  <si>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</si>
  <si>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</si>
  <si>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</si>
  <si>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</si>
  <si>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</si>
  <si>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</si>
  <si>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</si>
  <si>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</si>
  <si>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</si>
  <si>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</si>
  <si>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</si>
  <si>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</si>
  <si>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</si>
  <si>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</si>
  <si>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</si>
  <si>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</si>
  <si>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</si>
  <si>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</si>
  <si>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</si>
  <si>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</si>
  <si>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</si>
  <si>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</si>
  <si>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</si>
  <si>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</si>
  <si>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</si>
  <si>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</si>
  <si>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</si>
  <si>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</si>
  <si>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</si>
  <si>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</si>
  <si>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</si>
  <si>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</si>
  <si>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</si>
  <si>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</si>
  <si>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</si>
  <si>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</si>
  <si>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</si>
  <si>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</si>
  <si>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</si>
  <si>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</si>
  <si>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</si>
  <si>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</si>
  <si>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</si>
  <si>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</si>
  <si>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</si>
  <si>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</si>
  <si>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</si>
  <si>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</si>
  <si>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</si>
  <si>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</si>
  <si>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</si>
  <si>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</si>
  <si>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</si>
  <si>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</si>
  <si>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</si>
  <si>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</si>
  <si>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</si>
  <si>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</si>
  <si>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</si>
  <si>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</si>
  <si>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</si>
  <si>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</si>
  <si>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</si>
  <si>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</si>
  <si>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</si>
  <si>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</si>
  <si>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</si>
  <si>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</si>
  <si>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</si>
  <si>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</si>
  <si>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</si>
  <si>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</si>
  <si>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</si>
  <si>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</si>
  <si>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</si>
  <si>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</si>
  <si>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</si>
  <si>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</si>
  <si>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</si>
  <si>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</si>
  <si>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</si>
  <si>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</si>
  <si>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</si>
  <si>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</si>
  <si>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</si>
  <si>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</si>
  <si>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</si>
  <si>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</si>
  <si>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</si>
  <si>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</si>
  <si>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</si>
  <si>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</si>
  <si>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</si>
  <si>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</si>
  <si>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</si>
  <si>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</si>
  <si>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</si>
  <si>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</si>
  <si>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</si>
  <si>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</si>
  <si>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</si>
  <si>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</si>
  <si>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</si>
  <si>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</si>
  <si>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</si>
  <si>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</si>
  <si>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</si>
  <si>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</si>
  <si>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</si>
  <si>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</si>
  <si>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</si>
  <si>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</si>
  <si>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</si>
  <si>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</si>
  <si>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</si>
  <si>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</si>
  <si>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</si>
  <si>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</si>
  <si>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</si>
  <si>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</si>
  <si>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</si>
  <si>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</si>
  <si>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</si>
  <si>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</si>
  <si>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</si>
  <si>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</si>
  <si>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</si>
  <si>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</si>
  <si>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</si>
  <si>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</si>
  <si>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</si>
  <si>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</si>
  <si>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</si>
  <si>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</si>
  <si>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</si>
  <si>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</si>
  <si>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</si>
  <si>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</si>
  <si>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</si>
  <si>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</si>
  <si>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</si>
  <si>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</si>
  <si>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</si>
  <si>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</si>
  <si>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</si>
  <si>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</si>
  <si>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</si>
  <si>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</si>
  <si>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</si>
  <si>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</si>
  <si>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</si>
  <si>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</si>
  <si>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</si>
  <si>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</si>
  <si>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</si>
  <si>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</si>
  <si>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</si>
  <si>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</si>
  <si>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</si>
  <si>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</si>
  <si>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</si>
  <si>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</si>
  <si>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</si>
  <si>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</si>
  <si>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</si>
  <si>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</si>
  <si>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</si>
  <si>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</si>
  <si>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</si>
  <si>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</si>
  <si>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</si>
  <si>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</si>
  <si>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</si>
  <si>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</si>
  <si>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</si>
  <si>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</si>
  <si>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</si>
  <si>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</si>
  <si>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</si>
  <si>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</si>
  <si>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</si>
  <si>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</si>
  <si>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</si>
  <si>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</si>
  <si>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</si>
  <si>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</si>
  <si>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</si>
  <si>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</si>
  <si>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</si>
  <si>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</si>
  <si>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</si>
  <si>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</si>
  <si>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</si>
  <si>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</si>
  <si>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</si>
  <si>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</si>
  <si>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</si>
  <si>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</si>
  <si>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</si>
  <si>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</si>
  <si>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</si>
  <si>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</si>
  <si>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</si>
  <si>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</si>
  <si>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</si>
  <si>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</si>
  <si>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</si>
  <si>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</si>
  <si>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</si>
  <si>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</si>
  <si>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</si>
  <si>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</si>
  <si>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</si>
  <si>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</si>
  <si>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</si>
  <si>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</si>
  <si>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</si>
  <si>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</si>
  <si>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</si>
  <si>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</si>
  <si>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</si>
  <si>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</si>
  <si>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</si>
  <si>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</si>
  <si>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</si>
  <si>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</si>
  <si>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</si>
  <si>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</si>
  <si>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</si>
  <si>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</si>
  <si>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</si>
  <si>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</si>
  <si>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</si>
  <si>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</si>
  <si>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</si>
  <si>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</si>
  <si>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</si>
  <si>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</si>
  <si>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</si>
  <si>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</si>
  <si>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</si>
  <si>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</si>
  <si>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</si>
  <si>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</si>
  <si>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</si>
  <si>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</si>
  <si>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</si>
  <si>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</si>
  <si>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</si>
  <si>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</si>
  <si>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</si>
  <si>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</si>
  <si>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</si>
  <si>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</si>
  <si>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</si>
  <si>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</si>
  <si>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</si>
  <si>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</si>
  <si>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</si>
  <si>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</si>
  <si>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</si>
  <si>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</si>
  <si>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</si>
  <si>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</si>
  <si>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</si>
  <si>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</si>
  <si>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</si>
  <si>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</si>
  <si>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</si>
  <si>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</si>
  <si>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</si>
  <si>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</si>
  <si>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</si>
  <si>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</si>
  <si>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</si>
  <si>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</si>
  <si>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</si>
  <si>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</si>
  <si>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</si>
  <si>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</si>
  <si>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</si>
  <si>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</si>
  <si>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</si>
  <si>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</si>
  <si>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</si>
  <si>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</si>
  <si>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</si>
  <si>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</si>
  <si>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</si>
  <si>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</si>
  <si>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</si>
  <si>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</si>
  <si>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</si>
  <si>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</si>
  <si>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</si>
  <si>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</si>
  <si>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</si>
  <si>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</si>
  <si>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</si>
  <si>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</si>
  <si>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</si>
  <si>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</si>
  <si>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</si>
  <si>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</si>
  <si>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</si>
  <si>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</si>
  <si>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</si>
  <si>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</si>
  <si>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</si>
  <si>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</si>
  <si>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</si>
  <si>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</si>
  <si>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</si>
  <si>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</si>
  <si>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</si>
  <si>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</si>
  <si>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</si>
  <si>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</si>
  <si>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</si>
  <si>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</si>
  <si>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</si>
  <si>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</si>
  <si>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</si>
  <si>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</si>
  <si>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</si>
  <si>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</si>
  <si>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</si>
  <si>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</si>
  <si>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</si>
  <si>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</si>
  <si>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</si>
  <si>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</si>
  <si>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</si>
  <si>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</si>
  <si>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</si>
  <si>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</si>
  <si>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</si>
  <si>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</si>
  <si>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</si>
  <si>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</si>
  <si>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</si>
  <si>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</si>
  <si>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</si>
  <si>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</si>
  <si>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</si>
  <si>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</si>
  <si>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</si>
  <si>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</si>
  <si>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</si>
  <si>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</si>
  <si>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</si>
  <si>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</si>
  <si>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</si>
  <si>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</si>
  <si>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</si>
  <si>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</si>
  <si>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</si>
  <si>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</si>
  <si>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</si>
  <si>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</si>
  <si>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</si>
  <si>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</si>
  <si>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</si>
  <si>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</si>
  <si>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</si>
  <si>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</si>
  <si>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</si>
  <si>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</si>
  <si>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</si>
  <si>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</si>
  <si>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</si>
  <si>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</si>
  <si>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</si>
  <si>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</si>
  <si>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</si>
  <si>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</si>
  <si>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</si>
  <si>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</si>
  <si>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</si>
  <si>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</si>
  <si>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</si>
  <si>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</si>
  <si>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</si>
  <si>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</si>
  <si>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</si>
  <si>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</si>
  <si>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</si>
  <si>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</si>
  <si>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</si>
  <si>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</si>
  <si>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</si>
  <si>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</si>
  <si>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</si>
  <si>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</si>
  <si>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</si>
  <si>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</si>
  <si>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</si>
  <si>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</si>
  <si>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</si>
  <si>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</si>
  <si>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</si>
  <si>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</si>
  <si>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</si>
  <si>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</si>
  <si>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</si>
  <si>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</si>
  <si>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</si>
  <si>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</si>
  <si>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</si>
  <si>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</si>
  <si>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</si>
  <si>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</si>
  <si>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</si>
  <si>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</si>
  <si>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</si>
  <si>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</si>
  <si>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</si>
  <si>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</si>
  <si>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</si>
  <si>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</si>
  <si>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</si>
  <si>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</si>
  <si>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</si>
  <si>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</si>
  <si>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</si>
  <si>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</si>
  <si>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</si>
  <si>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</si>
  <si>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</si>
  <si>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</si>
  <si>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</si>
  <si>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</si>
  <si>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</si>
  <si>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</si>
  <si>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</si>
  <si>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</si>
  <si>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</si>
  <si>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</si>
  <si>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</si>
  <si>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</si>
  <si>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</si>
  <si>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</si>
  <si>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</si>
  <si>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</si>
  <si>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</si>
  <si>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</si>
  <si>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</si>
  <si>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</si>
  <si>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</si>
  <si>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</si>
  <si>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</si>
  <si>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</si>
  <si>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</si>
  <si>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</si>
  <si>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</si>
  <si>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</si>
  <si>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</si>
  <si>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</si>
  <si>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</si>
  <si>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</si>
  <si>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</si>
  <si>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</si>
  <si>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</si>
  <si>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</si>
  <si>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</si>
  <si>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</si>
  <si>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</si>
  <si>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</si>
  <si>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</si>
  <si>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</si>
  <si>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</si>
  <si>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</si>
  <si>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</si>
  <si>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</si>
  <si>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</si>
  <si>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</si>
  <si>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</si>
  <si>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</si>
  <si>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</si>
  <si>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</si>
  <si>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</si>
  <si>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</si>
  <si>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</si>
  <si>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</si>
  <si>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</si>
  <si>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</si>
  <si>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</si>
  <si>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</si>
  <si>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</si>
  <si>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</si>
  <si>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</si>
  <si>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</si>
  <si>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</si>
  <si>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</si>
  <si>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</si>
  <si>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</si>
  <si>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</si>
  <si>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</si>
  <si>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</si>
  <si>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</si>
  <si>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</si>
  <si>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</si>
  <si>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</si>
  <si>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</si>
  <si>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</si>
  <si>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</si>
  <si>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</si>
  <si>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</si>
  <si>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</si>
  <si>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</si>
  <si>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</si>
  <si>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</si>
  <si>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</si>
  <si>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</si>
  <si>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</si>
  <si>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</si>
  <si>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</si>
  <si>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</si>
  <si>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</si>
  <si>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</si>
  <si>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</si>
  <si>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</si>
  <si>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</si>
  <si>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</si>
  <si>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</si>
  <si>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</si>
  <si>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</si>
  <si>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</si>
  <si>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</si>
  <si>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</si>
  <si>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</si>
  <si>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</si>
  <si>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</si>
  <si>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</si>
  <si>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</si>
  <si>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</si>
  <si>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</si>
  <si>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</si>
  <si>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</si>
  <si>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</si>
  <si>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</si>
  <si>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</si>
  <si>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</si>
  <si>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</si>
  <si>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</si>
  <si>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</si>
  <si>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</si>
  <si>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</si>
  <si>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</si>
  <si>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</si>
  <si>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</si>
  <si>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</si>
  <si>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</si>
  <si>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</si>
  <si>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</si>
  <si>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</si>
  <si>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</si>
  <si>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</si>
  <si>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</si>
  <si>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</si>
  <si>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</si>
  <si>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</si>
  <si>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</si>
  <si>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</si>
  <si>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</si>
  <si>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</si>
  <si>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</si>
  <si>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</si>
  <si>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</si>
  <si>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</si>
  <si>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</si>
  <si>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</si>
  <si>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</si>
  <si>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</si>
  <si>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</si>
  <si>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</si>
  <si>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</si>
  <si>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</si>
  <si>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</si>
  <si>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</si>
  <si>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</si>
  <si>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</si>
  <si>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</si>
  <si>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</si>
  <si>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</si>
  <si>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</si>
  <si>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</si>
  <si>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</si>
  <si>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</si>
  <si>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</si>
  <si>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</si>
  <si>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</si>
  <si>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</si>
  <si>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</si>
  <si>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</si>
  <si>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</si>
  <si>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</si>
  <si>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</si>
  <si>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</si>
  <si>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</si>
  <si>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</si>
  <si>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</si>
  <si>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</si>
  <si>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</si>
  <si>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</si>
  <si>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</si>
  <si>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</si>
  <si>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</si>
  <si>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</si>
  <si>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</si>
  <si>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</si>
  <si>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</si>
  <si>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</si>
  <si>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</si>
  <si>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</si>
  <si>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</si>
  <si>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</si>
  <si>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</si>
  <si>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</si>
  <si>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</si>
  <si>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</si>
  <si>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</si>
  <si>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</si>
  <si>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</si>
  <si>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</si>
  <si>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</si>
  <si>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</si>
  <si>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</si>
  <si>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</si>
  <si>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</si>
  <si>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</si>
  <si>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</si>
  <si>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</si>
  <si>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</si>
  <si>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</si>
  <si>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</si>
  <si>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</si>
  <si>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</si>
  <si>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</si>
  <si>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</si>
  <si>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</si>
  <si>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</si>
  <si>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</si>
  <si>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</si>
  <si>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</si>
  <si>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</si>
  <si>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</si>
  <si>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</si>
  <si>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</si>
  <si>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</si>
  <si>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</si>
  <si>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</si>
  <si>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</si>
  <si>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</si>
  <si>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</si>
  <si>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</si>
  <si>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</si>
  <si>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</si>
  <si>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</si>
  <si>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</si>
  <si>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</si>
  <si>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</si>
  <si>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</si>
  <si>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</si>
  <si>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</si>
  <si>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</si>
  <si>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</si>
  <si>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</si>
  <si>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</si>
  <si>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</si>
  <si>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</si>
  <si>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</si>
  <si>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</si>
  <si>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</si>
  <si>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</si>
  <si>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</si>
  <si>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</si>
  <si>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</si>
  <si>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</si>
  <si>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</si>
  <si>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</si>
  <si>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</si>
  <si>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</si>
  <si>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</si>
  <si>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</si>
  <si>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</si>
  <si>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</si>
  <si>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</si>
  <si>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</si>
  <si>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</si>
  <si>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</si>
  <si>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</si>
  <si>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</si>
  <si>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</si>
  <si>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</si>
  <si>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</si>
  <si>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</si>
  <si>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</si>
  <si>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</si>
  <si>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</si>
  <si>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</si>
  <si>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</si>
  <si>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</si>
  <si>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</si>
  <si>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</si>
  <si>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</si>
  <si>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</si>
  <si>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</si>
  <si>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</si>
  <si>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</si>
  <si>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</si>
  <si>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</si>
  <si>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</si>
  <si>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</si>
  <si>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</si>
  <si>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</si>
  <si>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</si>
  <si>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</si>
  <si>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</si>
  <si>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</si>
  <si>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</si>
  <si>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</si>
  <si>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</si>
  <si>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</si>
  <si>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</si>
  <si>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</si>
  <si>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</si>
  <si>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</si>
  <si>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</si>
  <si>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</si>
  <si>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</si>
  <si>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</si>
  <si>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</si>
  <si>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</si>
  <si>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</si>
  <si>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</si>
  <si>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</si>
  <si>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</si>
  <si>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</si>
  <si>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</si>
  <si>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</si>
  <si>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</si>
  <si>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</si>
  <si>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</si>
  <si>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</si>
  <si>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</si>
  <si>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</si>
  <si>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</si>
  <si>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</si>
  <si>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</si>
  <si>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</si>
  <si>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</si>
  <si>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</si>
  <si>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</si>
  <si>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</si>
  <si>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</si>
  <si>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</si>
  <si>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</si>
  <si>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</si>
  <si>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</si>
  <si>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</si>
  <si>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</si>
  <si>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</si>
  <si>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</si>
  <si>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</si>
  <si>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</si>
  <si>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</si>
  <si>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</si>
  <si>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</si>
  <si>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</si>
  <si>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</si>
  <si>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</si>
  <si>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</si>
  <si>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</si>
  <si>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</si>
  <si>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</si>
  <si>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</si>
  <si>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</si>
  <si>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</si>
  <si>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</si>
  <si>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</si>
  <si>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</si>
  <si>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</si>
  <si>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</si>
  <si>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</si>
  <si>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</si>
  <si>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</si>
  <si>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</si>
  <si>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</si>
  <si>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</si>
  <si>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</si>
  <si>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</si>
  <si>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</si>
  <si>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</si>
  <si>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</si>
  <si>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</si>
  <si>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</si>
  <si>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</si>
  <si>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</si>
  <si>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</si>
  <si>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</si>
  <si>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</si>
  <si>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</si>
  <si>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</si>
  <si>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</si>
  <si>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</si>
  <si>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</si>
  <si>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</si>
  <si>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</si>
  <si>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</si>
  <si>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</si>
  <si>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</si>
  <si>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</si>
  <si>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</si>
  <si>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</si>
  <si>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</si>
  <si>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</si>
  <si>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</si>
  <si>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</si>
  <si>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</si>
  <si>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</si>
  <si>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</si>
  <si>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</si>
  <si>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</si>
  <si>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</si>
  <si>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</si>
  <si>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</si>
  <si>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</si>
  <si>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</si>
  <si>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</si>
  <si>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</si>
  <si>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</si>
  <si>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</si>
  <si>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</si>
  <si>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</si>
  <si>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</si>
  <si>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</si>
  <si>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</si>
  <si>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</si>
  <si>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</si>
  <si>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</si>
  <si>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</si>
  <si>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</si>
  <si>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</si>
  <si>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</si>
  <si>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</si>
  <si>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</si>
  <si>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</si>
  <si>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</si>
  <si>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</si>
  <si>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</si>
  <si>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</si>
  <si>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</si>
  <si>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</si>
  <si>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</si>
  <si>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</si>
  <si>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</si>
  <si>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</si>
  <si>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</si>
  <si>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</si>
  <si>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</si>
  <si>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</si>
  <si>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</si>
  <si>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</si>
  <si>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</si>
  <si>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</si>
  <si>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</si>
  <si>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</si>
  <si>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</si>
  <si>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</si>
  <si>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</si>
  <si>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</si>
  <si>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</si>
  <si>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</si>
  <si>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</si>
  <si>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</si>
  <si>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</si>
  <si>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</si>
  <si>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</si>
  <si>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</si>
  <si>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</si>
  <si>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</si>
  <si>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</si>
  <si>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</si>
  <si>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</si>
  <si>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</si>
  <si>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</si>
  <si>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</si>
  <si>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</si>
  <si>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</si>
  <si>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</si>
  <si>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</si>
  <si>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</si>
  <si>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</si>
  <si>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</si>
  <si>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</si>
  <si>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</si>
  <si>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</si>
  <si>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</si>
  <si>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</si>
  <si>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</si>
  <si>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</si>
  <si>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</si>
  <si>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</si>
  <si>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</si>
  <si>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</si>
  <si>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</si>
  <si>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</si>
  <si>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</si>
  <si>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</si>
  <si>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</si>
  <si>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</si>
  <si>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</si>
  <si>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</si>
  <si>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</si>
  <si>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</si>
  <si>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</si>
  <si>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</si>
  <si>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</si>
  <si>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</si>
  <si>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</si>
  <si>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</si>
  <si>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</si>
  <si>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</si>
  <si>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</si>
  <si>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</si>
  <si>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</si>
  <si>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</si>
  <si>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</si>
  <si>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</si>
  <si>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</si>
  <si>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</si>
  <si>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</si>
  <si>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</si>
  <si>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</si>
  <si>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</si>
  <si>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</si>
  <si>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</si>
  <si>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</si>
  <si>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</si>
  <si>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</si>
  <si>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</si>
  <si>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</si>
  <si>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</si>
  <si>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</si>
  <si>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</si>
  <si>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</si>
  <si>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</si>
  <si>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</si>
  <si>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</si>
  <si>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</si>
  <si>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</si>
  <si>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</si>
  <si>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</si>
  <si>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</si>
  <si>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</si>
  <si>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</si>
  <si>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</si>
  <si>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</si>
  <si>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</si>
  <si>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</si>
  <si>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</si>
  <si>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</si>
  <si>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</si>
  <si>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</si>
  <si>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</si>
  <si>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</si>
  <si>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</si>
  <si>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</si>
  <si>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</si>
  <si>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</si>
  <si>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</si>
  <si>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</si>
  <si>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</si>
  <si>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</si>
  <si>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</si>
  <si>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</si>
  <si>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</si>
  <si>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</si>
  <si>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</si>
  <si>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</si>
  <si>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</si>
  <si>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</si>
  <si>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</si>
  <si>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</si>
  <si>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</si>
  <si>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</si>
  <si>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</si>
  <si>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</si>
  <si>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</si>
  <si>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</si>
  <si>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</si>
  <si>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</si>
  <si>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</si>
  <si>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</si>
  <si>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</si>
  <si>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</si>
  <si>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</si>
  <si>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</si>
  <si>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</si>
  <si>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</si>
  <si>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</si>
  <si>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</si>
  <si>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</si>
  <si>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</si>
  <si>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</si>
  <si>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</si>
  <si>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</si>
  <si>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</si>
  <si>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</si>
  <si>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</si>
  <si>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</si>
  <si>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</si>
  <si>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</si>
  <si>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</si>
  <si>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</si>
  <si>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</si>
  <si>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</si>
  <si>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</si>
  <si>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</si>
  <si>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</si>
  <si>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</si>
  <si>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</si>
  <si>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</si>
  <si>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</si>
  <si>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</si>
  <si>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</si>
  <si>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</si>
  <si>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</si>
  <si>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</si>
  <si>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</si>
  <si>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</si>
  <si>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</si>
  <si>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</si>
  <si>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</si>
  <si>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</si>
  <si>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</si>
  <si>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</si>
  <si>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</si>
  <si>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</si>
  <si>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</si>
  <si>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</si>
  <si>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</si>
  <si>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</si>
  <si>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</si>
  <si>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</si>
  <si>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</si>
  <si>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</si>
  <si>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</si>
  <si>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</si>
  <si>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</si>
  <si>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</si>
  <si>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</si>
  <si>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</si>
  <si>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</si>
  <si>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</si>
  <si>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</si>
  <si>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</si>
  <si>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</si>
  <si>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</si>
  <si>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</si>
  <si>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</si>
  <si>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</si>
  <si>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</si>
  <si>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</si>
  <si>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</si>
  <si>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</si>
  <si>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</si>
  <si>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</si>
  <si>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</si>
  <si>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</si>
  <si>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</si>
  <si>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</si>
  <si>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</si>
  <si>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</si>
  <si>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</si>
  <si>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</si>
  <si>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</si>
  <si>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</si>
  <si>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</si>
  <si>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</si>
  <si>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</si>
  <si>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</si>
  <si>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</si>
  <si>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</si>
  <si>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</si>
  <si>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</si>
  <si>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</si>
  <si>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</si>
  <si>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</si>
  <si>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</si>
  <si>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</si>
  <si>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</si>
  <si>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</si>
  <si>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</si>
  <si>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</si>
  <si>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</si>
  <si>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</si>
  <si>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</si>
  <si>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</si>
  <si>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</si>
  <si>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</si>
  <si>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</si>
  <si>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</si>
  <si>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</si>
  <si>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</si>
  <si>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</si>
  <si>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</si>
  <si>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</si>
  <si>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</si>
  <si>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</si>
  <si>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</si>
  <si>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</si>
  <si>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</si>
  <si>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</si>
  <si>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</si>
  <si>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</si>
  <si>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</si>
  <si>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</si>
  <si>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</si>
  <si>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</si>
  <si>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</si>
  <si>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</si>
  <si>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</si>
  <si>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</si>
  <si>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</si>
  <si>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</si>
  <si>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</si>
  <si>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</si>
  <si>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</si>
  <si>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</si>
  <si>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</si>
  <si>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</si>
  <si>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</si>
  <si>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</si>
  <si>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</si>
  <si>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</si>
  <si>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</si>
  <si>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</si>
  <si>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</si>
  <si>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</si>
  <si>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</si>
  <si>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</si>
  <si>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</si>
  <si>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</si>
  <si>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</si>
  <si>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</si>
  <si>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</si>
  <si>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</si>
  <si>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</si>
  <si>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</si>
  <si>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</si>
  <si>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</si>
  <si>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</si>
  <si>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</si>
  <si>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</si>
  <si>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</si>
  <si>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</si>
  <si>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</si>
  <si>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</si>
  <si>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</si>
  <si>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</si>
  <si>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</si>
  <si>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</si>
  <si>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</si>
  <si>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</si>
  <si>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</si>
  <si>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</si>
  <si>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</si>
  <si>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</si>
  <si>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</si>
  <si>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</si>
  <si>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</si>
  <si>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</si>
  <si>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</si>
  <si>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</si>
  <si>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</si>
  <si>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</si>
  <si>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</si>
  <si>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</si>
  <si>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</si>
  <si>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</si>
  <si>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</si>
  <si>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</si>
  <si>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</si>
  <si>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</si>
  <si>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</si>
  <si>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</si>
  <si>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</si>
  <si>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</si>
  <si>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</si>
  <si>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</si>
  <si>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</si>
  <si>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</si>
  <si>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</si>
  <si>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</si>
  <si>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</si>
  <si>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</si>
  <si>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</si>
  <si>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</si>
  <si>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</si>
  <si>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</si>
  <si>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</si>
  <si>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</si>
  <si>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</si>
  <si>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</si>
  <si>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</si>
  <si>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</si>
  <si>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</si>
  <si>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</si>
  <si>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</si>
  <si>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</si>
  <si>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</si>
  <si>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</si>
  <si>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</si>
  <si>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</si>
  <si>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</si>
  <si>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</si>
  <si>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</si>
  <si>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</si>
  <si>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</si>
  <si>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</si>
  <si>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</si>
  <si>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</si>
  <si>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</si>
  <si>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</si>
  <si>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</si>
  <si>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</si>
  <si>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</si>
  <si>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</si>
  <si>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</si>
  <si>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</si>
  <si>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</si>
  <si>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</si>
  <si>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</si>
  <si>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</si>
  <si>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</si>
  <si>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</si>
  <si>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</si>
  <si>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</si>
  <si>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</si>
  <si>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</si>
  <si>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</si>
  <si>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</si>
  <si>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</si>
  <si>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</si>
  <si>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</si>
  <si>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</si>
  <si>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</si>
  <si>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</si>
  <si>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</si>
  <si>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</si>
  <si>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</si>
  <si>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</si>
  <si>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</si>
  <si>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</si>
  <si>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</si>
  <si>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</si>
  <si>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</si>
  <si>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</si>
  <si>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</si>
  <si>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</si>
  <si>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</si>
  <si>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</si>
  <si>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</si>
  <si>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</si>
  <si>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</si>
  <si>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</si>
  <si>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</si>
  <si>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</si>
  <si>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</si>
  <si>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</si>
  <si>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</si>
  <si>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</si>
  <si>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</si>
  <si>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</si>
  <si>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</si>
  <si>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</si>
  <si>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</si>
  <si>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</si>
  <si>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</si>
  <si>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</si>
  <si>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</si>
  <si>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</si>
  <si>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</si>
  <si>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</si>
  <si>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</si>
  <si>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</si>
  <si>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</si>
  <si>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</si>
  <si>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</si>
  <si>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</si>
  <si>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</si>
  <si>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</si>
  <si>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</si>
  <si>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</si>
  <si>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</si>
  <si>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</si>
  <si>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</si>
  <si>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</si>
  <si>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</si>
  <si>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</si>
  <si>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</si>
  <si>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</si>
  <si>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</si>
  <si>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</si>
  <si>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</si>
  <si>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</si>
  <si>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</si>
  <si>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</si>
  <si>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</si>
  <si>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</si>
  <si>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</si>
  <si>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</si>
  <si>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</si>
  <si>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</si>
  <si>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</si>
  <si>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</si>
  <si>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</si>
  <si>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</si>
  <si>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</si>
  <si>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</si>
  <si>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</si>
  <si>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</si>
  <si>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</si>
  <si>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</si>
  <si>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</si>
  <si>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</si>
  <si>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</si>
  <si>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</si>
  <si>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</si>
  <si>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</si>
  <si>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</si>
  <si>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</si>
  <si>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</si>
  <si>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</si>
  <si>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</si>
  <si>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</si>
  <si>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</si>
  <si>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</si>
  <si>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</si>
  <si>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</si>
  <si>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</si>
  <si>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</si>
  <si>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</si>
  <si>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</si>
  <si>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</si>
  <si>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</si>
  <si>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</si>
  <si>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</si>
  <si>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</si>
  <si>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</si>
  <si>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</si>
  <si>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</si>
  <si>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</si>
  <si>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</si>
  <si>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</si>
  <si>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</si>
  <si>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</si>
  <si>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</si>
  <si>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</si>
  <si>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</si>
  <si>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</si>
  <si>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</si>
  <si>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</si>
  <si>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</si>
  <si>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</si>
  <si>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</si>
  <si>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</si>
  <si>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</si>
  <si>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</si>
  <si>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</si>
  <si>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</si>
  <si>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</si>
  <si>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</si>
  <si>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</si>
  <si>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</si>
  <si>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</si>
  <si>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</si>
  <si>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</si>
  <si>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</si>
  <si>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</si>
  <si>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</si>
  <si>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</si>
  <si>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</si>
  <si>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</si>
  <si>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</si>
  <si>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</si>
  <si>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</si>
  <si>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</si>
  <si>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</si>
  <si>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</si>
  <si>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</si>
  <si>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</si>
  <si>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</si>
  <si>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</si>
  <si>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</si>
  <si>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</si>
  <si>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</si>
  <si>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</si>
  <si>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</si>
  <si>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</si>
  <si>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</si>
  <si>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</si>
  <si>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</si>
  <si>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</si>
  <si>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</si>
  <si>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</si>
  <si>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</si>
  <si>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</si>
  <si>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</si>
  <si>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</si>
  <si>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</si>
  <si>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</si>
  <si>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</si>
  <si>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</si>
  <si>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</si>
  <si>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</si>
  <si>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</si>
  <si>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</si>
  <si>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</si>
  <si>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</si>
  <si>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</si>
  <si>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</si>
  <si>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</si>
  <si>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</si>
  <si>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</si>
  <si>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</si>
  <si>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</si>
  <si>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</si>
  <si>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</si>
  <si>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</si>
  <si>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</si>
  <si>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</si>
  <si>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</si>
  <si>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</si>
  <si>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</si>
  <si>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</si>
  <si>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</si>
  <si>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</si>
  <si>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</si>
  <si>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</si>
  <si>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</si>
  <si>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</si>
  <si>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</si>
  <si>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</si>
  <si>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</si>
  <si>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</si>
  <si>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</si>
  <si>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</si>
  <si>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</si>
  <si>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</si>
  <si>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</si>
  <si>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</si>
  <si>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</si>
  <si>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</si>
  <si>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</si>
  <si>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</si>
  <si>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</si>
  <si>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</si>
  <si>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</si>
  <si>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</si>
  <si>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</si>
  <si>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</si>
  <si>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</si>
  <si>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</si>
  <si>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</si>
  <si>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</si>
  <si>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</si>
  <si>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</si>
  <si>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</si>
  <si>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</si>
  <si>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</si>
  <si>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</si>
  <si>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</si>
  <si>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</si>
  <si>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</si>
  <si>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</si>
  <si>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</si>
  <si>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</si>
  <si>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</si>
  <si>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</si>
  <si>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</si>
  <si>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</si>
  <si>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</si>
  <si>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</si>
  <si>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</si>
  <si>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</si>
  <si>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</si>
  <si>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</si>
  <si>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</si>
  <si>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</si>
  <si>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</si>
  <si>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</si>
  <si>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</si>
  <si>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</si>
  <si>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</si>
  <si>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</si>
  <si>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</si>
  <si>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</si>
  <si>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</si>
  <si>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</si>
  <si>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</si>
  <si>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</si>
  <si>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</si>
  <si>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</si>
  <si>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</si>
  <si>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</si>
  <si>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</si>
  <si>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</si>
  <si>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</si>
  <si>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</si>
  <si>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</si>
  <si>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</si>
  <si>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</si>
  <si>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</si>
  <si>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</si>
  <si>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</si>
  <si>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</si>
  <si>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</si>
  <si>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</si>
  <si>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</si>
  <si>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</si>
  <si>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</si>
  <si>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</si>
  <si>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</si>
  <si>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</si>
  <si>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</si>
  <si>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</si>
  <si>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</si>
  <si>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</si>
  <si>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</si>
  <si>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</si>
  <si>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</si>
  <si>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</si>
  <si>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</si>
  <si>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</si>
  <si>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</si>
  <si>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</si>
  <si>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</si>
  <si>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</si>
  <si>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</si>
  <si>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</si>
  <si>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</si>
  <si>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</si>
  <si>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</si>
  <si>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</si>
  <si>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</si>
  <si>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</si>
  <si>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</si>
  <si>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</si>
  <si>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</si>
  <si>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</si>
  <si>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</si>
  <si>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</si>
  <si>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</si>
  <si>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</si>
  <si>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</si>
  <si>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</si>
  <si>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</si>
  <si>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</si>
  <si>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</si>
  <si>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</si>
  <si>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</si>
  <si>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</si>
  <si>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</si>
  <si>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</si>
  <si>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</si>
  <si>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</si>
  <si>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</si>
  <si>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</si>
  <si>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</si>
  <si>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</si>
  <si>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</si>
  <si>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</si>
  <si>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</si>
  <si>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</si>
  <si>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</si>
  <si>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</si>
  <si>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</si>
  <si>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</si>
  <si>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</si>
  <si>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</si>
  <si>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</si>
  <si>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</si>
  <si>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</si>
  <si>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</si>
  <si>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</si>
  <si>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</si>
  <si>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</si>
  <si>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</si>
  <si>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</si>
  <si>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</si>
  <si>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</si>
  <si>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</si>
  <si>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</si>
  <si>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</si>
  <si>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</si>
  <si>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</si>
  <si>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</si>
  <si>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</si>
  <si>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</si>
  <si>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</si>
  <si>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</si>
  <si>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</si>
  <si>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</si>
  <si>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</si>
  <si>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</si>
  <si>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</si>
  <si>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</si>
  <si>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</si>
  <si>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</si>
  <si>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</si>
  <si>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</si>
  <si>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</si>
  <si>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</si>
  <si>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</si>
  <si>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</si>
  <si>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</si>
  <si>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</si>
  <si>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</si>
  <si>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</si>
  <si>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</si>
  <si>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</si>
  <si>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</si>
  <si>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</si>
  <si>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</si>
  <si>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</si>
  <si>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</si>
  <si>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</si>
  <si>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</si>
  <si>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</si>
  <si>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</si>
  <si>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</si>
  <si>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</si>
  <si>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</si>
  <si>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</si>
  <si>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</si>
  <si>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</si>
  <si>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</si>
  <si>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</si>
  <si>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</si>
  <si>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</si>
  <si>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</si>
  <si>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</si>
  <si>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</si>
  <si>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</si>
  <si>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</si>
  <si>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</si>
  <si>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</si>
  <si>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</si>
  <si>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</si>
  <si>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</si>
  <si>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</si>
  <si>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</si>
  <si>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</si>
  <si>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</si>
  <si>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</si>
  <si>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</si>
  <si>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</si>
  <si>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</si>
  <si>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</si>
  <si>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</si>
  <si>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</si>
  <si>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</si>
  <si>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</si>
  <si>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</si>
  <si>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</si>
  <si>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</si>
  <si>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</si>
  <si>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</si>
  <si>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</si>
  <si>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</si>
  <si>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</si>
  <si>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</si>
  <si>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</si>
  <si>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</si>
  <si>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</si>
  <si>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</si>
  <si>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</si>
  <si>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</si>
  <si>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</si>
  <si>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</si>
  <si>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</si>
  <si>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</si>
  <si>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</si>
  <si>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</si>
  <si>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</si>
  <si>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</si>
  <si>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</si>
  <si>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</si>
  <si>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</si>
  <si>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</si>
  <si>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</si>
  <si>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</si>
  <si>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</si>
  <si>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</si>
  <si>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</si>
  <si>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</si>
  <si>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</si>
  <si>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</si>
  <si>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</si>
  <si>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</si>
  <si>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</si>
  <si>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</si>
  <si>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</si>
  <si>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</si>
  <si>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</si>
  <si>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</si>
  <si>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</si>
  <si>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</si>
  <si>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</si>
  <si>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</si>
  <si>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</si>
  <si>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</si>
  <si>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</si>
  <si>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</si>
  <si>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</si>
  <si>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</si>
  <si>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</si>
  <si>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</si>
  <si>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</si>
  <si>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</si>
  <si>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</si>
  <si>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</si>
  <si>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</si>
  <si>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</si>
  <si>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</si>
  <si>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</si>
  <si>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</si>
  <si>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</si>
  <si>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</si>
  <si>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</si>
  <si>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</si>
  <si>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</si>
  <si>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</si>
  <si>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</si>
  <si>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</si>
  <si>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</si>
  <si>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</si>
  <si>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</si>
  <si>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</si>
  <si>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</si>
  <si>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</si>
  <si>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</si>
  <si>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</si>
  <si>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</si>
  <si>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</si>
  <si>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</si>
  <si>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</si>
  <si>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</si>
  <si>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</si>
  <si>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</si>
  <si>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</si>
  <si>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</si>
  <si>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</si>
  <si>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</si>
  <si>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</si>
  <si>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</si>
  <si>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</si>
  <si>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</si>
  <si>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</si>
  <si>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</si>
  <si>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</si>
  <si>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</si>
  <si>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</si>
  <si>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</si>
  <si>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</si>
  <si>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</si>
  <si>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</si>
  <si>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</si>
  <si>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</si>
  <si>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</si>
  <si>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</si>
  <si>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</si>
  <si>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</si>
  <si>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</si>
  <si>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</si>
  <si>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</si>
  <si>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</si>
  <si>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</si>
  <si>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</si>
  <si>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</si>
  <si>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</si>
  <si>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</si>
  <si>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</si>
  <si>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</si>
  <si>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</si>
  <si>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</si>
  <si>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</si>
  <si>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</si>
  <si>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</si>
  <si>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</si>
  <si>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</si>
  <si>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</si>
  <si>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</si>
  <si>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</si>
  <si>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</si>
  <si>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</si>
  <si>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</si>
  <si>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</si>
  <si>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</si>
  <si>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</si>
  <si>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</si>
  <si>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</si>
  <si>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</si>
  <si>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</si>
  <si>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</si>
  <si>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</si>
  <si>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</si>
  <si>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</si>
  <si>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</si>
  <si>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</si>
  <si>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</si>
  <si>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</si>
  <si>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</si>
  <si>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</si>
  <si>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</si>
  <si>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</si>
  <si>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</si>
  <si>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</si>
  <si>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</si>
  <si>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</si>
  <si>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</si>
  <si>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</si>
  <si>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</si>
  <si>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</si>
  <si>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</si>
  <si>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</si>
  <si>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</si>
  <si>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</si>
  <si>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</si>
  <si>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</si>
  <si>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</si>
  <si>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</si>
  <si>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</si>
  <si>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</si>
  <si>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</si>
  <si>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</si>
  <si>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</si>
  <si>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</si>
  <si>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</si>
  <si>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</si>
  <si>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</si>
  <si>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</si>
  <si>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</si>
  <si>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</si>
  <si>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</si>
  <si>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</si>
  <si>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</si>
  <si>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</si>
  <si>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</si>
  <si>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</si>
  <si>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</si>
  <si>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</si>
  <si>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</si>
  <si>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</si>
  <si>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</si>
  <si>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</si>
  <si>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</si>
  <si>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</si>
  <si>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</si>
  <si>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</si>
  <si>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</si>
  <si>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</si>
  <si>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</si>
  <si>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</si>
  <si>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</si>
  <si>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</si>
  <si>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</si>
  <si>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</si>
  <si>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</si>
  <si>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</si>
  <si>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</si>
  <si>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</si>
  <si>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</si>
  <si>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</si>
  <si>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</si>
  <si>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</si>
  <si>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</si>
  <si>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</si>
  <si>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</si>
  <si>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</si>
  <si>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</si>
  <si>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</si>
  <si>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</si>
  <si>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</si>
  <si>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</si>
  <si>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</si>
  <si>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</si>
  <si>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</si>
  <si>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</si>
  <si>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</si>
  <si>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</si>
  <si>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</si>
  <si>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</si>
  <si>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</si>
  <si>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</si>
  <si>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</si>
  <si>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</si>
  <si>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</si>
  <si>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</si>
  <si>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</si>
  <si>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</si>
  <si>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</si>
  <si>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</si>
  <si>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</si>
  <si>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</si>
  <si>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</si>
  <si>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</si>
  <si>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</si>
  <si>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</si>
  <si>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</si>
  <si>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</si>
  <si>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</si>
  <si>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</si>
  <si>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</si>
  <si>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</si>
  <si>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</si>
  <si>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</si>
  <si>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</si>
  <si>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</si>
  <si>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</si>
  <si>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</si>
  <si>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</si>
  <si>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</si>
  <si>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</si>
  <si>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</si>
  <si>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</si>
  <si>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</si>
  <si>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</si>
  <si>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</si>
  <si>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</si>
  <si>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</si>
  <si>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</si>
  <si>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</si>
  <si>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</si>
  <si>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</si>
  <si>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</si>
  <si>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</si>
  <si>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</si>
  <si>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</si>
  <si>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</si>
  <si>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</si>
  <si>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</si>
  <si>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</si>
  <si>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</si>
  <si>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</si>
  <si>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</si>
  <si>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</si>
  <si>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</si>
  <si>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</si>
  <si>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</si>
  <si>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</si>
  <si>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</si>
  <si>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</si>
  <si>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</si>
  <si>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</si>
  <si>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</si>
  <si>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</si>
  <si>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</si>
  <si>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</si>
  <si>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</si>
  <si>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</si>
  <si>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</si>
  <si>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</si>
  <si>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</si>
  <si>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</si>
  <si>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</si>
  <si>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</si>
  <si>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</si>
  <si>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</si>
  <si>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</si>
  <si>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</si>
  <si>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</si>
  <si>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</si>
  <si>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</si>
  <si>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</si>
  <si>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</si>
  <si>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</si>
  <si>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</si>
  <si>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</si>
  <si>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</si>
  <si>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</si>
  <si>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</si>
  <si>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</si>
  <si>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</si>
  <si>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</si>
  <si>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</si>
  <si>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</si>
  <si>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</si>
  <si>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</si>
  <si>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</si>
  <si>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</si>
  <si>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</si>
  <si>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</si>
  <si>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</si>
  <si>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</si>
  <si>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</si>
  <si>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</si>
  <si>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</si>
  <si>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</si>
  <si>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</si>
  <si>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</si>
  <si>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</si>
  <si>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</si>
  <si>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</si>
  <si>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</si>
  <si>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</si>
  <si>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</si>
  <si>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</si>
  <si>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</si>
  <si>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</si>
  <si>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</si>
  <si>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</si>
  <si>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</si>
  <si>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</si>
  <si>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</si>
  <si>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</si>
  <si>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</si>
  <si>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</si>
  <si>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</si>
  <si>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</si>
  <si>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</si>
  <si>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</si>
  <si>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</si>
  <si>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</si>
  <si>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</si>
  <si>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</si>
  <si>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</si>
  <si>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</si>
  <si>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</si>
  <si>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</si>
  <si>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</si>
  <si>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</si>
  <si>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</si>
  <si>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</si>
  <si>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</si>
  <si>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</si>
  <si>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</si>
  <si>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</si>
  <si>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</si>
  <si>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</si>
  <si>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</si>
  <si>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</si>
  <si>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</si>
  <si>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</si>
  <si>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</si>
  <si>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</si>
  <si>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</si>
  <si>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</si>
  <si>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</si>
  <si>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</si>
  <si>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</si>
  <si>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</si>
  <si>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</si>
  <si>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</si>
  <si>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</si>
  <si>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</si>
  <si>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</si>
  <si>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</si>
  <si>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</si>
  <si>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</si>
  <si>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</si>
  <si>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</si>
  <si>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</si>
  <si>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</si>
  <si>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</si>
  <si>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</si>
  <si>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</si>
  <si>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</si>
  <si>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</si>
  <si>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</si>
  <si>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</si>
  <si>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</si>
  <si>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</si>
  <si>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</si>
  <si>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</si>
  <si>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</si>
  <si>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</si>
  <si>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</si>
  <si>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</si>
  <si>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</si>
  <si>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</si>
  <si>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</si>
  <si>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</si>
  <si>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</si>
  <si>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</si>
  <si>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</si>
  <si>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</si>
  <si>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</si>
  <si>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</si>
  <si>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</si>
  <si>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</si>
  <si>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Less discount 10%</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</si>
  <si>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</si>
  <si>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</si>
  <si>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</si>
  <si>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</si>
  <si>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</si>
  <si>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</si>
  <si>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</si>
  <si>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</si>
  <si>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</si>
  <si>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</si>
  <si>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</si>
  <si>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</si>
  <si>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</si>
  <si>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</si>
  <si>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</si>
  <si>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</si>
  <si>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</si>
  <si>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</si>
  <si>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</si>
  <si>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</si>
  <si>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</si>
  <si>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</si>
  <si>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</si>
  <si>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</si>
  <si>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</si>
  <si>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</si>
  <si>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</si>
  <si>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</si>
  <si>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</si>
  <si>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</si>
  <si>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</si>
  <si>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</si>
  <si>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</si>
  <si>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</si>
  <si>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</si>
  <si>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</si>
  <si>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</si>
  <si>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</si>
  <si>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</si>
  <si>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</si>
  <si>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</si>
  <si>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</si>
  <si>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</si>
  <si>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</si>
  <si>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</si>
  <si>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</si>
  <si>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</si>
  <si>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</si>
  <si>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</si>
  <si>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</si>
  <si>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</si>
  <si>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</si>
  <si>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</si>
  <si>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</si>
  <si>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</si>
  <si>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</si>
  <si>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</si>
  <si>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</si>
  <si>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</si>
  <si>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</si>
  <si>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</si>
  <si>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</si>
  <si>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</si>
  <si>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</si>
  <si>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</si>
  <si>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</si>
  <si>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</si>
  <si>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</si>
  <si>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</si>
  <si>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</si>
  <si>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</si>
  <si>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</si>
  <si>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</si>
  <si>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</si>
  <si>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</si>
  <si>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</si>
  <si>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</si>
  <si>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</si>
  <si>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</si>
  <si>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</si>
  <si>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</si>
  <si>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</si>
  <si>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</si>
  <si>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</si>
  <si>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</si>
  <si>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</si>
  <si>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</si>
  <si>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</si>
  <si>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</si>
  <si>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</si>
  <si>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</si>
  <si>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</si>
  <si>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</si>
  <si>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</si>
  <si>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</si>
  <si>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</si>
  <si>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To Jahangeer for zakat rashan to needy families</t>
  </si>
  <si>
    <t>Online by BH to Afsar hussain in Bilal masjid acc</t>
  </si>
  <si>
    <t>Online by BH to Air guide company</t>
  </si>
  <si>
    <t>Online by BH to partners acc care of Habib insulation</t>
  </si>
  <si>
    <t>Online by BH to Payment for 02 Nos Cylinder R422 for Bilal masjid Donation</t>
  </si>
  <si>
    <t>Online by BH to fatemi traders</t>
  </si>
  <si>
    <t>To umer for office fridge repaired</t>
  </si>
  <si>
    <t>sst Feb 25</t>
  </si>
  <si>
    <t>Indus zakat</t>
  </si>
  <si>
    <t>SIUT Zakat</t>
  </si>
  <si>
    <t>Battusalam zakat</t>
  </si>
  <si>
    <t xml:space="preserve">GSK </t>
  </si>
  <si>
    <t>VISA</t>
  </si>
  <si>
    <t>SANA</t>
  </si>
  <si>
    <t>LAMA</t>
  </si>
  <si>
    <t>DARAZ</t>
  </si>
  <si>
    <t>Tax 4.5%</t>
  </si>
  <si>
    <t>Online by BH to Zubair Mehboob</t>
  </si>
  <si>
    <t>purchased shazaib computer board</t>
  </si>
  <si>
    <t>purchased wire mesh by mukhtar</t>
  </si>
  <si>
    <t>to mukhtar from 1 march to 10 march</t>
  </si>
  <si>
    <t>purchased computer mouse</t>
  </si>
  <si>
    <t>To adnan for fan motor</t>
  </si>
  <si>
    <t>Online by BH to kamran cladding in Imtiaz</t>
  </si>
  <si>
    <t>TO amir for super card (March 25)</t>
  </si>
  <si>
    <t>Online by BH to M. Arsalan for Cable Tray Kantin</t>
  </si>
  <si>
    <t xml:space="preserve">FTC Monthly Feb 25 </t>
  </si>
  <si>
    <t>purchased fittings + taflon tapes</t>
  </si>
  <si>
    <t>Online by BH to Ali raza care of touqeer air balancing in various projects</t>
  </si>
  <si>
    <t>misc by waqas</t>
  </si>
  <si>
    <t>CHQ received from Al madina steel steel</t>
  </si>
  <si>
    <t>Online by BH to Imran Rasheed for Labour charges AC Instaltion f6 khaadi canteen</t>
  </si>
  <si>
    <t>Online by BH to Ahsan for khaadi canteen expenses</t>
  </si>
  <si>
    <t>Rohni 03 days salary (easy paisa)</t>
  </si>
  <si>
    <t>To zubair for Zubair for folding</t>
  </si>
  <si>
    <t>To staff aftari for Site</t>
  </si>
  <si>
    <t>o/m visa office</t>
  </si>
  <si>
    <t>TO israr bhai for visa site</t>
  </si>
  <si>
    <t>TO shahbaz for Mar 25</t>
  </si>
  <si>
    <t>Scrap from site to office</t>
  </si>
  <si>
    <t>remaining cash to mumtaz Chiller PLC</t>
  </si>
  <si>
    <t>The place Feb 25</t>
  </si>
  <si>
    <t>TO abbas for mar 25</t>
  </si>
  <si>
    <t>To waqas to Mar 25</t>
  </si>
  <si>
    <t>purchased 3 thans cloth</t>
  </si>
  <si>
    <t>To Israr bhai for fuel expenses</t>
  </si>
  <si>
    <t>To naeem (recommend by nadeem bhai)</t>
  </si>
  <si>
    <t>from al madina</t>
  </si>
  <si>
    <t>Cash paid to Muzammil in NASTP</t>
  </si>
  <si>
    <t>Cash paid to Muzammil in J outlet</t>
  </si>
  <si>
    <t>Deduct from Nadeem bhai share (purhcased YARIS car from sher khan by BH)</t>
  </si>
  <si>
    <t>Ruturn Tickets for Engr Noman from Karachi to Lahore</t>
  </si>
  <si>
    <t>to amjad for misc invoices</t>
  </si>
  <si>
    <t>Rec cash chq from NASTP BAHL chq # 10055414</t>
  </si>
  <si>
    <t>Rehana aunty ufone and mobile balance</t>
  </si>
  <si>
    <t>To saeed sons in various projects</t>
  </si>
  <si>
    <t>cash received from GG</t>
  </si>
  <si>
    <t>Cash Paid</t>
  </si>
  <si>
    <t>To shaaf</t>
  </si>
  <si>
    <t>To Umer for solar</t>
  </si>
  <si>
    <t>TO Bilal bhai</t>
  </si>
  <si>
    <t>Zakat to Indus</t>
  </si>
  <si>
    <t>ZAKAT to LRBT</t>
  </si>
  <si>
    <t>To khan brothers for Gul ahmed valves</t>
  </si>
  <si>
    <t>to irfan AC</t>
  </si>
  <si>
    <t>TO chacha lateef for Mar 25</t>
  </si>
  <si>
    <t>abdullah enterprises in meezan</t>
  </si>
  <si>
    <t>Hassan AC in spar</t>
  </si>
  <si>
    <t>Online by BH to Touqeer for Gujranwala expenses</t>
  </si>
  <si>
    <t>TO moiz for misc expenses at site</t>
  </si>
  <si>
    <t>To imran ali for zakat rashan 30 Nos @ 6500</t>
  </si>
  <si>
    <t>Sadiq pipe</t>
  </si>
  <si>
    <t>Ameen Contractor</t>
  </si>
  <si>
    <t>10pearl NASTP</t>
  </si>
  <si>
    <t>purchased brass rod, weight machine and other items</t>
  </si>
  <si>
    <t>To ISRAR bhai for compressor repairing.</t>
  </si>
  <si>
    <t xml:space="preserve">Received </t>
  </si>
  <si>
    <t>To imran chorri wala (recommend by nadeem bhai)</t>
  </si>
  <si>
    <t>Nawaz.    =20,000</t>
  </si>
  <si>
    <t>Naveed.   =20,000</t>
  </si>
  <si>
    <t>Raheel.    =20,000</t>
  </si>
  <si>
    <t>Uzair        =10,000</t>
  </si>
  <si>
    <t>Shabaz.   =12000</t>
  </si>
  <si>
    <t>Saqib       =20,000 (saqib insulation)</t>
  </si>
  <si>
    <t>TO asif hussain for mar 25</t>
  </si>
  <si>
    <t>02 nos computer ram purchased 4 gb</t>
  </si>
  <si>
    <t>paid for photocopies for 01 months</t>
  </si>
  <si>
    <t>TO ahsan for mar 25</t>
  </si>
  <si>
    <t>To Touqeer Account Misttakenly (Rehan Aslam)</t>
  </si>
  <si>
    <t>Rehan Aslam</t>
  </si>
  <si>
    <t>To Imran Feroz (Transfer by Rehan)</t>
  </si>
  <si>
    <t>To Tasleen in FTC washroom works  (Transfer by Rehan)</t>
  </si>
  <si>
    <t>Purchased Compressor for CITI Bank</t>
  </si>
  <si>
    <t>Mazda transportaion for BAF valves</t>
  </si>
  <si>
    <t>TO moiz for flare nuts</t>
  </si>
  <si>
    <t>TO moiz for gas bykia rent</t>
  </si>
  <si>
    <t>paid transporation for Fans for khurshid fans</t>
  </si>
  <si>
    <t>To aneeq in Engro 7th Floor</t>
  </si>
  <si>
    <t>aneeq</t>
  </si>
  <si>
    <t>To amir contractor in Rehmat shipping</t>
  </si>
  <si>
    <t>To farhan for Mar 25</t>
  </si>
  <si>
    <t>TO ashraf for mar 25</t>
  </si>
  <si>
    <t>TO amir engr for mar 25</t>
  </si>
  <si>
    <t>TO Engr Noman</t>
  </si>
  <si>
    <t>To umer + Mossi</t>
  </si>
  <si>
    <t>To a needy person (by nadeem bhai)</t>
  </si>
  <si>
    <t>Israr bhai salary</t>
  </si>
  <si>
    <t>Adnan bhai salary</t>
  </si>
  <si>
    <t>Rohail bhai salary</t>
  </si>
  <si>
    <t>Transfer to Faisal Qazi for VISA</t>
  </si>
  <si>
    <t>PES remaining</t>
  </si>
  <si>
    <t>IK margin 6%</t>
  </si>
  <si>
    <t>Kitchen hood vo aproved</t>
  </si>
  <si>
    <t>Less hood quotation + GST</t>
  </si>
  <si>
    <t>ahsan computer mouse purchased</t>
  </si>
  <si>
    <t>Fortress Mall</t>
  </si>
  <si>
    <t>Waqas salary</t>
  </si>
  <si>
    <t>Mateen + Kamran salary</t>
  </si>
  <si>
    <t>Saqib + Naveed salary</t>
  </si>
  <si>
    <t>Transfer RMR staff salaries</t>
  </si>
  <si>
    <t>Received from EFSE against VISA</t>
  </si>
  <si>
    <t>Online by BH to Sajid for piping payment for Engro 7th floor</t>
  </si>
  <si>
    <t>Online by BH to tech vision for Piping labour j dot Lahore dolman</t>
  </si>
  <si>
    <t>Irfan + Fahad farid salary</t>
  </si>
  <si>
    <t>asif hussain + Umair + Saad salary</t>
  </si>
  <si>
    <t>Ustad qayyum, Shahbaz &amp; Abbas, nawaz, raheel, saqib, haris, rafay, chacha lateef, farhan, uzair</t>
  </si>
  <si>
    <t>To jahangeer for mar 25</t>
  </si>
  <si>
    <t>Shahid, abid + Asif salary</t>
  </si>
  <si>
    <t>Online by BH to Ali raza for air balancing</t>
  </si>
  <si>
    <t>Online by BH to Lala zaman bank al habib piping labour</t>
  </si>
  <si>
    <t>purchased halsah and hilti connector by Laraib</t>
  </si>
  <si>
    <t>To amir in spar</t>
  </si>
  <si>
    <t>to wazir in imitaz</t>
  </si>
  <si>
    <t>purchased floor drain and end cap</t>
  </si>
  <si>
    <t>Laraib + Jawed salary</t>
  </si>
  <si>
    <t>To Nadeem bhai (new NOTES)</t>
  </si>
  <si>
    <t>purchased silicon and hanging clip, nut bolt</t>
  </si>
  <si>
    <t>Mukhtar</t>
  </si>
  <si>
    <t>Attendance Sheet for April 25</t>
  </si>
  <si>
    <t>purchased pipe and fittings</t>
  </si>
  <si>
    <t>Online by BH to Mirza subhan baig care of Muzzamil In 10 pearls</t>
  </si>
  <si>
    <t>To kamran for fuel</t>
  </si>
  <si>
    <t>Irfan salary</t>
  </si>
  <si>
    <t>BAFL VFD payment</t>
  </si>
  <si>
    <t>misc invoices for MHR home and Sir Rehman</t>
  </si>
  <si>
    <t>mossi home salaries with diver salary (Mar 25)</t>
  </si>
  <si>
    <t>Groceries (Mar 25)</t>
  </si>
  <si>
    <t>Fuel at site (Mar 25)</t>
  </si>
  <si>
    <t>Nadeem bhai Mar 25 salary</t>
  </si>
  <si>
    <t>Waris Mar 25 salary</t>
  </si>
  <si>
    <t>To israr bhai for fuel for staff</t>
  </si>
  <si>
    <t>repaired drill machine</t>
  </si>
  <si>
    <t>paid to azam corporation for drawings prints</t>
  </si>
  <si>
    <t>The place Mar 25</t>
  </si>
  <si>
    <t>NICVD payment</t>
  </si>
  <si>
    <t>Super card to amir engr (april 25)</t>
  </si>
  <si>
    <t>Moon steel fabrication</t>
  </si>
  <si>
    <t>to amjad for misc material</t>
  </si>
  <si>
    <t>TO Engr Noman for site expenses</t>
  </si>
  <si>
    <t>purchased kamran computer and 2 rams</t>
  </si>
  <si>
    <t>To asif hussain for April 25</t>
  </si>
  <si>
    <t>To nadeem bhai purchased office printer + old printer repaired</t>
  </si>
  <si>
    <t>JPMc invoice by nadeem bhai</t>
  </si>
  <si>
    <t>FTC invoice by nadeem bhai</t>
  </si>
  <si>
    <t>Honey moon invoice by nadeem bhai</t>
  </si>
  <si>
    <t>Office invoice by nadeem bhai</t>
  </si>
  <si>
    <t>Meezan bank invoice by nadeem bhai</t>
  </si>
  <si>
    <t>Imtiaz invoice by nadeem bhai</t>
  </si>
  <si>
    <t>adnan shamsi</t>
  </si>
  <si>
    <t>BAFL invoice for BAFL</t>
  </si>
  <si>
    <t>purchased jubliee clamp, disc and nut bolts</t>
  </si>
  <si>
    <t>purchased rubber gutkay</t>
  </si>
  <si>
    <t>To israr bhai</t>
  </si>
  <si>
    <t>To khushnood</t>
  </si>
  <si>
    <t>Khushnood + nadeem painter remaining salary</t>
  </si>
  <si>
    <t>K ELEC bills + SSGC paid</t>
  </si>
  <si>
    <t>Rec 30% advance from 10 pearl</t>
  </si>
  <si>
    <t>thumb international</t>
  </si>
  <si>
    <t>To Easy paisa to imran khan for accomodation</t>
  </si>
  <si>
    <t>Rec from aisha Interior in acc of BAH 12th Floor</t>
  </si>
  <si>
    <t xml:space="preserve">sasa </t>
  </si>
  <si>
    <t>cash paid purchased puchased of fan</t>
  </si>
  <si>
    <t>Remaining salary of IRFAN AC + Fahad farid</t>
  </si>
  <si>
    <t>TO nawaz for april 25</t>
  </si>
  <si>
    <t>To Qayyum ustad for April 25</t>
  </si>
  <si>
    <t>Imtiaz saddar</t>
  </si>
  <si>
    <t>To jahangeer for mobile balance</t>
  </si>
  <si>
    <t>To Bilal bhai for BAHL personal acc creation</t>
  </si>
  <si>
    <t>cash transfer by almadina to Shehroz account</t>
  </si>
  <si>
    <t>Welding plant repaired</t>
  </si>
  <si>
    <t>purchased plastic</t>
  </si>
  <si>
    <t>To Shahbaz for April 25</t>
  </si>
  <si>
    <t>purchased stickers from pakistan chowk by mukhtar</t>
  </si>
  <si>
    <t>To Waqas for April 25</t>
  </si>
  <si>
    <t>cash paid for misc purchased invoices</t>
  </si>
  <si>
    <t>paid for citi bank stitckers</t>
  </si>
  <si>
    <t>cash paid (rec by kamran at site)</t>
  </si>
  <si>
    <t>grinder and hilti repaired</t>
  </si>
  <si>
    <t>purchased 2 gas cylinder R 134A + Fuel</t>
  </si>
  <si>
    <t>paid for copper pipe builty</t>
  </si>
  <si>
    <t>paid for 5mm glass mirror for PAF zahid sahab home</t>
  </si>
  <si>
    <t>To ZAG insulation (aisha interior chq)</t>
  </si>
  <si>
    <t>To global technologies (aisha interior chq)</t>
  </si>
  <si>
    <t>To Powermech care of habib insulation</t>
  </si>
  <si>
    <t xml:space="preserve">To Al madina steel </t>
  </si>
  <si>
    <t>To khan brothers for engro 7th floor</t>
  </si>
  <si>
    <t>Israr bhai laptop trobleshoot and repaired</t>
  </si>
  <si>
    <t>to abbas for fuel</t>
  </si>
  <si>
    <t>to faheem MCB chq</t>
  </si>
  <si>
    <t>invoices DP world</t>
  </si>
  <si>
    <t>invoices Imtiaz saddar</t>
  </si>
  <si>
    <t>faseeh ur Rehman</t>
  </si>
  <si>
    <t>cash paid to faseeh for fees (for Mar 25 + April 25)</t>
  </si>
  <si>
    <t>To Engr usman ghani for april 25</t>
  </si>
  <si>
    <t>TO zohaib ahmed khan for cold stogare work + small chiller (rec by Amir)</t>
  </si>
  <si>
    <t>purchased marker + inchi tape</t>
  </si>
  <si>
    <t>IIL pipe for j outlet fortress mall</t>
  </si>
  <si>
    <t>To AS raders for Ms Pipe purchased</t>
  </si>
  <si>
    <t>TO Gul sher for april 25</t>
  </si>
  <si>
    <t>purchased ms fittings and bit</t>
  </si>
  <si>
    <t>To irfan AC for last month lunch and fuel (recommend by nadeem bhai)</t>
  </si>
  <si>
    <t>purchased clothes 10 thans from Irfan brothers</t>
  </si>
  <si>
    <t>TO Khushnood for April 25</t>
  </si>
  <si>
    <t>purchased flare nuts &amp; copper pipe</t>
  </si>
  <si>
    <t>TO Abid April 25</t>
  </si>
  <si>
    <t>TO Ahsan Razzak for April 25</t>
  </si>
  <si>
    <t>Builty from Karachi to Lahore</t>
  </si>
  <si>
    <t>paid to waqas for fridge compressor</t>
  </si>
  <si>
    <t>paid for folding shifting</t>
  </si>
  <si>
    <t>paid to muzamml for fan fare</t>
  </si>
  <si>
    <t>jazz cash to driver for IIL pipe shifting at site</t>
  </si>
  <si>
    <t>Tools purchased by mukhtar</t>
  </si>
  <si>
    <t>To mukhtar for hammer + level rope</t>
  </si>
  <si>
    <t>To Kamran office for April 25</t>
  </si>
  <si>
    <t>DP World</t>
  </si>
  <si>
    <t>J outlet Quetta</t>
  </si>
  <si>
    <t>Imtiaz Saddar</t>
  </si>
  <si>
    <t>misc material and fare + transport &amp; fuel (cash online in MCB acc by mukhtar)</t>
  </si>
  <si>
    <t>purchased UPVC pipe and fittings from steelex  (cash online in MCB acc by mukhtar)</t>
  </si>
  <si>
    <t>TO usman ghani for april 25</t>
  </si>
  <si>
    <t>cash paid for plumbing works</t>
  </si>
  <si>
    <t>To Asif Fiber for April 25 (via shahid hand)</t>
  </si>
  <si>
    <t>purchased pop revit</t>
  </si>
  <si>
    <t>Advance to Nadeem by shahid</t>
  </si>
  <si>
    <t>Advance to Asif by shahid</t>
  </si>
  <si>
    <t>Advance to Abbas by shahid</t>
  </si>
  <si>
    <t>Advance to Saqib by shahid</t>
  </si>
  <si>
    <t>Shahid salary advance</t>
  </si>
  <si>
    <t>To Noman in BAFL</t>
  </si>
  <si>
    <t>Misc invoices by shahid for BAF</t>
  </si>
  <si>
    <t>Misc invoices by shahid for Saifee</t>
  </si>
  <si>
    <t>To israr bhai for staff refreshment</t>
  </si>
  <si>
    <t>To Waqas for fuel for VISA Site</t>
  </si>
  <si>
    <t>To Noman for Misc invoices and transportation (easy paisa to Noman Account)</t>
  </si>
  <si>
    <t>for cable tray sample</t>
  </si>
  <si>
    <t>Purchased Z type belt for WCPU 03 nos + 3 pin relay with base</t>
  </si>
  <si>
    <t>To mukhtar for fuel</t>
  </si>
  <si>
    <t>Steelex</t>
  </si>
  <si>
    <t>Online by BH to Noman Arshad for Cladding and insulation payment for Kanteen f6 Islambad</t>
  </si>
  <si>
    <t xml:space="preserve">To Amjad ustad for April 25 </t>
  </si>
  <si>
    <t>purchased choona for marking</t>
  </si>
  <si>
    <t>purchased cutting disc, holdtite weldings rods, dhaga</t>
  </si>
  <si>
    <t>Online by BH to Ali Raza Balacing for Imtiaz korangi balancing</t>
  </si>
  <si>
    <t>To Adeel for April 25 (via nadeem bhai hand)</t>
  </si>
  <si>
    <t>To Umair for April 25</t>
  </si>
  <si>
    <t>Rikshaw fare for rods shifting</t>
  </si>
  <si>
    <t>Online to Noman for fortress expenses</t>
  </si>
  <si>
    <t>Cash paid for Kamran electrician (recommend by nadeem)</t>
  </si>
  <si>
    <t>Wrapping rolls and carton tapes</t>
  </si>
  <si>
    <t>Online by BH to M. Ihsan For Quetta malll labour tickets</t>
  </si>
  <si>
    <t>Almira Luckyone</t>
  </si>
  <si>
    <t>Online by BH to Shehroz Hassan for Machine purchased for Lahore fortes mall</t>
  </si>
  <si>
    <t>To umair for wrinch pana + Fuel</t>
  </si>
  <si>
    <t>To Engr Amir for April 25</t>
  </si>
  <si>
    <t>purchased cementex, brush, upvc fitings</t>
  </si>
  <si>
    <t>Amir</t>
  </si>
  <si>
    <t>Laraib</t>
  </si>
  <si>
    <t>Online by BH to M. Ahsan for dinner, break fast expense Quetta</t>
  </si>
  <si>
    <t>Fatemi enterprises</t>
  </si>
  <si>
    <t>To faheem for meezan bank 10mm 3 core wire</t>
  </si>
  <si>
    <t>to wazeer duct</t>
  </si>
  <si>
    <t>To faheem in spar + 10 pearl</t>
  </si>
  <si>
    <t>TO A &amp; B enterprises for 03 Nos air curtains</t>
  </si>
  <si>
    <t>To adnan for state life expenses</t>
  </si>
  <si>
    <t>To Gul sher for April 25</t>
  </si>
  <si>
    <t>Purchased lock shield valve (rec by areeb)</t>
  </si>
  <si>
    <t>Online by BH to Razi Khan for Rod and supports for Quetta malll</t>
  </si>
  <si>
    <t>Air curtain fare</t>
  </si>
  <si>
    <t>Online by BH to Farhan for Scon valve purchased for
Quetta = 102,960/=
Lahore fortress = 285,090/=</t>
  </si>
  <si>
    <t>purchased rubber gutkay 30 Nos</t>
  </si>
  <si>
    <t>purchased dammer tapes (60 nos)</t>
  </si>
  <si>
    <t>cargo for air curtain</t>
  </si>
  <si>
    <t xml:space="preserve">purchased Armstrong ZE tender from YH </t>
  </si>
  <si>
    <t xml:space="preserve">purchased Zia uddin hospital tender from YH </t>
  </si>
  <si>
    <t>To saqib for April 25</t>
  </si>
  <si>
    <t>Online by BH to Zahid jpmc for eidi</t>
  </si>
  <si>
    <t>To malik borhter (given to steelex for SSt input)</t>
  </si>
  <si>
    <t>purchased colour red oxide oitl paint brush and mixing oil</t>
  </si>
  <si>
    <t>purchased dammer tapes 120 Nos</t>
  </si>
  <si>
    <t>Mixer wire issue trobleshoot and resolve (online trasfer to shahzwaiz acc)</t>
  </si>
  <si>
    <t>Shahbaz meezan</t>
  </si>
  <si>
    <t>Labour paid for 1 day (recommend by nadeem bhai)</t>
  </si>
  <si>
    <t>To Irfan AC for April 25</t>
  </si>
  <si>
    <t>To Salman for April 25</t>
  </si>
  <si>
    <t>To Sufyan for April 25</t>
  </si>
  <si>
    <t>To Rohail for 6 days (BAHl to NASTP)</t>
  </si>
  <si>
    <t>sst march 25</t>
  </si>
  <si>
    <t>welding rods</t>
  </si>
  <si>
    <t>Purchased controller from Gree (cash rec by jameel)</t>
  </si>
  <si>
    <t>To Zohaib for commissioning of FNV chiller  (rec by Moiz)</t>
  </si>
  <si>
    <t>To Ashraf for April 25</t>
  </si>
  <si>
    <t>To Kamran technician for April 25</t>
  </si>
  <si>
    <t>To israr for fuel and dinner for 12 days</t>
  </si>
  <si>
    <t>honey moon lounge</t>
  </si>
  <si>
    <t>paid for Zaka sons upvc pipe fare</t>
  </si>
  <si>
    <t>Imtiaz fuel</t>
  </si>
  <si>
    <t>paid for pipe and insulation</t>
  </si>
  <si>
    <t>purchased disc</t>
  </si>
  <si>
    <t>office gutter repaired</t>
  </si>
  <si>
    <t>TO mukhtar for april 25</t>
  </si>
  <si>
    <t>Bilal bhai mobile balance</t>
  </si>
  <si>
    <t>Spar Wire 1.5mm 3 core by Faheem</t>
  </si>
  <si>
    <t>BAH Wire 6mm 3C lugs and tie by faheem</t>
  </si>
  <si>
    <t>misc expenses at Imtiaz by faheem</t>
  </si>
  <si>
    <t>MCB chq 2031680133</t>
  </si>
  <si>
    <t>Easy paisa to imran khan for misc</t>
  </si>
  <si>
    <t>purchased 32 Nos nut and bolt from local market by Umair</t>
  </si>
  <si>
    <t>adjustment</t>
  </si>
  <si>
    <t>Online by BH to M Sajjad for Ducting payment (Fortress Mall)</t>
  </si>
  <si>
    <t>Online by BH to Nabeel care of Muzammil Duct</t>
  </si>
  <si>
    <t>purchased screw and round cutter</t>
  </si>
  <si>
    <t>Rec 40% from imtiaz saddar</t>
  </si>
  <si>
    <t>05 Nos chairs repaited + sofa sethi washed</t>
  </si>
  <si>
    <t>Online by BH to Ahsen insulation in Quetta</t>
  </si>
  <si>
    <t>purchased 5 than clothes</t>
  </si>
  <si>
    <t>purchased 5 burni glue</t>
  </si>
  <si>
    <t>Chq Given to Porta Hussain (Rec from Aisha Interiors in BAH 12th Floor) - BAFL chq # 35205649</t>
  </si>
  <si>
    <t>Chq Given to KATYS (Rec from Aisha Interiors in BAH 12th Floor) - BAFL chq # 35205650</t>
  </si>
  <si>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35205651</t>
    </r>
  </si>
  <si>
    <r>
      <t xml:space="preserve">Chq Given to </t>
    </r>
    <r>
      <rPr>
        <b/>
        <sz val="11"/>
        <color rgb="FFFF0000"/>
        <rFont val="Calibri"/>
        <family val="2"/>
        <scheme val="minor"/>
      </rPr>
      <t>xxxxxxx</t>
    </r>
    <r>
      <rPr>
        <sz val="11"/>
        <color theme="1"/>
        <rFont val="Calibri"/>
        <family val="2"/>
        <scheme val="minor"/>
      </rPr>
      <t xml:space="preserve"> (Rec from Aisha Interiors in BAH 12th Floor)  BAFL chq # 35205652</t>
    </r>
  </si>
  <si>
    <t>To Jawed for April 25</t>
  </si>
  <si>
    <t>cash paid in BAF purchasing (recommend by nadeem bhai)</t>
  </si>
  <si>
    <t>Online by BH to M Ahsan for Quetta expenses</t>
  </si>
  <si>
    <t>Chq Given to Air Guide Akbar (Rec from Aisha Interiors in BAH 12th Floor)  BAFL chq # 35205655</t>
  </si>
  <si>
    <r>
      <t xml:space="preserve">Chq Given to </t>
    </r>
    <r>
      <rPr>
        <sz val="11"/>
        <rFont val="Calibri"/>
        <family val="2"/>
        <scheme val="minor"/>
      </rPr>
      <t>Air Guide Akbar</t>
    </r>
    <r>
      <rPr>
        <b/>
        <sz val="11"/>
        <color rgb="FFFF0000"/>
        <rFont val="Calibri"/>
        <family val="2"/>
        <scheme val="minor"/>
      </rPr>
      <t xml:space="preserve"> </t>
    </r>
    <r>
      <rPr>
        <sz val="11"/>
        <color theme="1"/>
        <rFont val="Calibri"/>
        <family val="2"/>
        <scheme val="minor"/>
      </rPr>
      <t>(Rec from Aisha Interiors in BAH 12th Floor) BAFL chq # 35205656</t>
    </r>
  </si>
  <si>
    <t>For misc expenses for site (easy paisa to Noman)</t>
  </si>
  <si>
    <t>purchased cable tie and tapes (to laraib)</t>
  </si>
  <si>
    <t>Lunch for 6 persons, tea, dinner (to Rohail)</t>
  </si>
  <si>
    <t>purchased solution, tapes, socket, bush and tape</t>
  </si>
  <si>
    <t>Nadeem bhai Profit</t>
  </si>
  <si>
    <t>SECURE VISION ledger</t>
  </si>
  <si>
    <t>paid for copper pipe from Delite</t>
  </si>
  <si>
    <t xml:space="preserve">Misc expenses such as fare, shifting, Tee, refreshment, fare, lunch </t>
  </si>
  <si>
    <t>cash paid to mukhtar</t>
  </si>
  <si>
    <t>Online by BH to Delite refrigeration concern for State life copper pipe</t>
  </si>
  <si>
    <t>purchased bolt by irfan AC</t>
  </si>
  <si>
    <t>wazeer duct</t>
  </si>
  <si>
    <t>cash paid to noman SS drain installation</t>
  </si>
  <si>
    <t>TO amjad for misc expenses (recommend by nadeem)</t>
  </si>
  <si>
    <t>TO Zohaib ASPL for bill verify (recommend by nadeem)</t>
  </si>
  <si>
    <t>jazz cash to driver samad agha</t>
  </si>
  <si>
    <t>Builty from scon valves</t>
  </si>
  <si>
    <t>Remaining cash paid for 06 Nos chairs repaited + sofa sethi washed</t>
  </si>
  <si>
    <t>paid to azam corporation for drawings</t>
  </si>
  <si>
    <t xml:space="preserve">Courier docuemnts to Noman </t>
  </si>
  <si>
    <t>to Israr bhai</t>
  </si>
  <si>
    <t>To nexes engineering for inlet vaccum point for Zameer sahab home</t>
  </si>
  <si>
    <t>To mukhtar for mobile balance</t>
  </si>
  <si>
    <t>To waqas for site expenses</t>
  </si>
  <si>
    <t>Usman</t>
  </si>
  <si>
    <t>Online by BH to yasir brother for Ducting works for KANTEEN IISL</t>
  </si>
  <si>
    <t>Online to AS Traders for MS Pipe purchased  for Fortress Mall</t>
  </si>
  <si>
    <t>Fare for Gul Ahmed</t>
  </si>
  <si>
    <t>Online by BH to M Ahsan for Quetta food expenses</t>
  </si>
  <si>
    <t>purchased 6 nos socket from fast cool</t>
  </si>
  <si>
    <t>Online by BH to Engr for Kanteen ISL expenses</t>
  </si>
  <si>
    <t>HVAC</t>
  </si>
  <si>
    <t>Fire Fighting</t>
  </si>
  <si>
    <t>Plumbing</t>
  </si>
  <si>
    <t>Quarterly</t>
  </si>
  <si>
    <t>SST 15%</t>
  </si>
  <si>
    <t>Grand Total Amount Rs</t>
  </si>
  <si>
    <t>Maintenance Scope</t>
  </si>
  <si>
    <t>bilal bhai guest Fahad lunch</t>
  </si>
  <si>
    <t>purchased compressor end valve</t>
  </si>
  <si>
    <t>to mukhtar</t>
  </si>
  <si>
    <t>Rehan printer refilling + repaired</t>
  </si>
  <si>
    <t>Received from 10pearls invoice # 128</t>
  </si>
  <si>
    <t>To rohail for lunch 4 person and tea for Sunday</t>
  </si>
  <si>
    <t>purchased 6 nos socket  from shabbir 1-1/8</t>
  </si>
  <si>
    <t>Online by BH to Steelex drain pipe for State life</t>
  </si>
  <si>
    <t>TO mumtaz for purchase of condenser fans</t>
  </si>
  <si>
    <t>waqas salary</t>
  </si>
  <si>
    <t>STATE life insulation issue</t>
  </si>
  <si>
    <t>purchased half peestal &amp; basin from gujranwala (jazz cash)</t>
  </si>
  <si>
    <t>misc purchases at site (to sami)</t>
  </si>
  <si>
    <t>tea and refreshment (to sami)</t>
  </si>
  <si>
    <t>Shahid painter, nadeem painter, asif, naveed, saqib, nawaz</t>
  </si>
  <si>
    <t>builty from karachi to quetta</t>
  </si>
  <si>
    <t>purchased garden pipe and dammer tapes</t>
  </si>
  <si>
    <t>Supplier Name</t>
  </si>
  <si>
    <t>Pioneer Services</t>
  </si>
  <si>
    <t>PO #</t>
  </si>
  <si>
    <t>Remaining Amount</t>
  </si>
  <si>
    <t>24000013/OS/00220</t>
  </si>
  <si>
    <t>To qayyum for misc expenses (recommend by nadeem bhai)</t>
  </si>
  <si>
    <t>buity from karaci to lahore (sprinklers)</t>
  </si>
  <si>
    <t>Khushnood + chacha lteef</t>
  </si>
  <si>
    <t>To moiz for site stationery</t>
  </si>
  <si>
    <t>shifting</t>
  </si>
  <si>
    <t>To amjad for ceramics shifting charges</t>
  </si>
  <si>
    <t>Umair, Laraib &amp; Jawed salary</t>
  </si>
  <si>
    <t>screw pana + silicon and other fittings</t>
  </si>
  <si>
    <t>TO umer office for May 25</t>
  </si>
  <si>
    <t>Cash collec from Adeel universal traders</t>
  </si>
  <si>
    <t>Qayyum, Abbas, Gul, Abid, amir engr , shahbaz</t>
  </si>
  <si>
    <t>purchased 3 carton black tapes</t>
  </si>
  <si>
    <t>To mukhtar for misc purchases</t>
  </si>
  <si>
    <t>to mukhtar (uptodate is 2500)</t>
  </si>
  <si>
    <t>Usman ghani salary</t>
  </si>
  <si>
    <t>paid to umair</t>
  </si>
  <si>
    <t>Paid to ahsan office</t>
  </si>
  <si>
    <t>Paid to ashraf bhai</t>
  </si>
  <si>
    <t>Saad last salary (he left)</t>
  </si>
  <si>
    <t>paid from air guide to meezan</t>
  </si>
  <si>
    <t>Kamran office</t>
  </si>
  <si>
    <t>paid for steelex pipe</t>
  </si>
  <si>
    <t xml:space="preserve">Imran , Irfan + Fahad </t>
  </si>
  <si>
    <t>Received from Bank al falah against running bill</t>
  </si>
  <si>
    <t>Total Bonus</t>
  </si>
  <si>
    <t>Paid to Rehan</t>
  </si>
  <si>
    <t>purchased isolation valves</t>
  </si>
  <si>
    <t>To Rehan for salaries + EIDI</t>
  </si>
  <si>
    <t>office cash for salaries</t>
  </si>
  <si>
    <t>Cash given by BH to Umer solar panel for MHR sir rehman profit
Cash given      1,632,000/-
MCB Chq            400,000/-
Total               2,032,000/-</t>
  </si>
  <si>
    <t>Sadiq piping in imtiaz</t>
  </si>
  <si>
    <t>To Umer solar panel for MHR sir rehman profit</t>
  </si>
  <si>
    <t>medication</t>
  </si>
  <si>
    <t>umer for medication</t>
  </si>
  <si>
    <t>shahzaib + Mukhtar + umer + mossi bunus</t>
  </si>
  <si>
    <t>paid for 3 staff</t>
  </si>
  <si>
    <t>Shahid painter, nadeem painter, asif, naveed, saqib</t>
  </si>
  <si>
    <t>Amjad + Waseem haider</t>
  </si>
  <si>
    <t>jawed</t>
  </si>
  <si>
    <t>chacha lateef, Abbas, Qayyum and Abid</t>
  </si>
  <si>
    <t>paid to sammad agha</t>
  </si>
  <si>
    <t>TO asif hussain</t>
  </si>
  <si>
    <t>air guide + mehran rates</t>
  </si>
  <si>
    <t>to ftc staff bonus</t>
  </si>
  <si>
    <t>khushnood bonus</t>
  </si>
  <si>
    <t>irfan bhai</t>
  </si>
  <si>
    <t>cash paid for BAFL expansion tank</t>
  </si>
  <si>
    <t>TO waqas (given to israr bhai)</t>
  </si>
  <si>
    <t>Online to abbas Zulfiqaur care of fast cool - isolation valves purchased for state life</t>
  </si>
  <si>
    <t>To umair ali</t>
  </si>
  <si>
    <t>purchased dis cutter from hamza elxtrci</t>
  </si>
  <si>
    <t>TO rohail sheikh</t>
  </si>
  <si>
    <t>Online by BH to Moiz ul Haq for State life Moiz sajid labour</t>
  </si>
  <si>
    <t>Online by BH to Hassan shabbir care of HS Amed ally for Fischer final payment in lahore projects</t>
  </si>
  <si>
    <t>Online by BH to Noman for his staff salaries and bonus</t>
  </si>
  <si>
    <t>Online by BH to Faiz Ahmed for Jahanger bike repairing</t>
  </si>
  <si>
    <t>purchased 3 tin weldon solution</t>
  </si>
  <si>
    <t>TO naeed qureshi for control wiring (givne to israr bhai)</t>
  </si>
  <si>
    <t>purchased 6 carton tapes from puri traders</t>
  </si>
  <si>
    <t>to gul sher</t>
  </si>
  <si>
    <t>purchsed R 410 gas 1 kg and Rrr 1 kg by sufyan</t>
  </si>
  <si>
    <t>Abbot pharma</t>
  </si>
  <si>
    <t>jahnageer mobile balance</t>
  </si>
  <si>
    <t>FTC Monthly Mar 25   (invoice # 1093)</t>
  </si>
  <si>
    <t>to moiz for bonus</t>
  </si>
  <si>
    <t>kamran bonus</t>
  </si>
  <si>
    <t>Adnan + mateen Bonus</t>
  </si>
  <si>
    <t>Online by BH to M salman riaz for pipe and fittings for meezan gujranwala</t>
  </si>
  <si>
    <t>Online by BH to M. Waqas Akram for Ac piping labour Kanteen f6 Islamabad</t>
  </si>
  <si>
    <t>cash paid (rec by wazeer)</t>
  </si>
  <si>
    <t>purchased 2.5mm 4 core 2 coil purchased from majid aram bagh</t>
  </si>
  <si>
    <t>Super card to amir engr (May 25)</t>
  </si>
  <si>
    <t>Abbot Pharma</t>
  </si>
  <si>
    <t>EY 17th &amp; 18th Floor</t>
  </si>
  <si>
    <t>purchased lock and keys</t>
  </si>
  <si>
    <t>Rehana aunty mobile balance jazz</t>
  </si>
  <si>
    <t>FCU</t>
  </si>
  <si>
    <t>Rate Analysis - FCU</t>
  </si>
  <si>
    <t>BOQ Rate</t>
  </si>
  <si>
    <t>Floor</t>
  </si>
  <si>
    <t>17th</t>
  </si>
  <si>
    <t>18th</t>
  </si>
  <si>
    <t>19th</t>
  </si>
  <si>
    <t>Rate Analysis - WCPU</t>
  </si>
  <si>
    <t>WCPU</t>
  </si>
  <si>
    <t>Captive aire (with GST)</t>
  </si>
  <si>
    <t>Rate difference of EY FCU &amp; WCPU</t>
  </si>
  <si>
    <t>paid to azam corpotation</t>
  </si>
  <si>
    <t>misc purchases by Engr Ahsan</t>
  </si>
  <si>
    <t>Rate difference of EY FCU &amp; WCPU - DAIKIN</t>
  </si>
  <si>
    <t>DAIKIN</t>
  </si>
  <si>
    <t>purchased A4 rim 4 carton, A3 rim and 4 boxes blue pens from al hamd stationers</t>
  </si>
  <si>
    <t>paid for 2 cores</t>
  </si>
  <si>
    <t>paid for 1 cores</t>
  </si>
  <si>
    <t>paid for 8 cores</t>
  </si>
  <si>
    <t>Online by BH to Ahsan for ducting labour Quetta</t>
  </si>
  <si>
    <t>purchsed rubber isolator from saeed manzil 500 nos</t>
  </si>
  <si>
    <t>AAZ Enterprises</t>
  </si>
  <si>
    <t>purchased regrigeration R141B - 1 Jug</t>
  </si>
  <si>
    <t>rohail sheikh</t>
  </si>
  <si>
    <t>to rohail for Sunday lunch tea and fuel for 5 days</t>
  </si>
  <si>
    <t>Israr bhai laptop cable changed and troublehsoot</t>
  </si>
  <si>
    <t>purchaed pope revit, scre bolt and cutting disc</t>
  </si>
  <si>
    <t>to laraib</t>
  </si>
  <si>
    <t>paid for card shifitng to bykia sabro ware house</t>
  </si>
  <si>
    <t>misc material by laraib</t>
  </si>
  <si>
    <t>SABRO</t>
  </si>
  <si>
    <t>Rate difference of EY  WCPU - SABRO</t>
  </si>
  <si>
    <t>repaired Grinder, LT service, LT chakka replaced</t>
  </si>
  <si>
    <t>cash paid for site expenses (via mukhtar hand)</t>
  </si>
  <si>
    <t>Online by BH to Ali raza for air balancing in various projects</t>
  </si>
  <si>
    <t>RMR Received O/M Dec 24 Bill</t>
  </si>
  <si>
    <t>RMR Received O/M Jan 25 Bill</t>
  </si>
  <si>
    <t>RMR Received O/M Feb 25 Bill</t>
  </si>
  <si>
    <t>RMR Received O/M Mar 25 Bill</t>
  </si>
  <si>
    <t>R 404 5 kg for FNV chiller</t>
  </si>
  <si>
    <t>purchased bush and tee</t>
  </si>
  <si>
    <t>Kamran over time release</t>
  </si>
  <si>
    <t>purchased 30 meter wire 2.5mm 3 core  PCV pipe socket, bend, lugs</t>
  </si>
  <si>
    <t>Chain kuppi replaced</t>
  </si>
  <si>
    <t>Online by BH to waqar brothers care of safe and soound for sprinklers in j outlet quetta</t>
  </si>
  <si>
    <t>Online by BH to waqar brothers care of safe and soound for sprinklers in j outlet fortress mall</t>
  </si>
  <si>
    <t>to chahca lateef</t>
  </si>
  <si>
    <t>Online by BH to m Ahsan insulation for Piping labour in Quetta j dot</t>
  </si>
  <si>
    <t>EY 17th &amp; 18th</t>
  </si>
  <si>
    <t>EY 19th Floor</t>
  </si>
  <si>
    <t>To chacha lateef as a charity purpose</t>
  </si>
  <si>
    <t>purchased VISA office drum nylol</t>
  </si>
  <si>
    <t>purchased sample sheet</t>
  </si>
  <si>
    <t>purhcased 3 bucket duct sealent from moiz</t>
  </si>
  <si>
    <t>Discount 7%</t>
  </si>
  <si>
    <t>Bilal bhai guest lunch</t>
  </si>
  <si>
    <t>to Israr bhai for misc material for VISA maintenance activity</t>
  </si>
  <si>
    <t>paid for sprinkler and extinghuishers</t>
  </si>
  <si>
    <t>TO saqib insulation for may 25</t>
  </si>
  <si>
    <t>Rehan remaining bonus</t>
  </si>
  <si>
    <t>ENGRO final bill</t>
  </si>
  <si>
    <t>paid for GI patti to lahore (above 10 kg)</t>
  </si>
  <si>
    <t>paid for GI pipe from Tube traders</t>
  </si>
  <si>
    <t>purchased bush, soltion, shuttering wire steel neils</t>
  </si>
  <si>
    <t>Salary advance to shehbaz ali</t>
  </si>
  <si>
    <t>To Noman BAFL (given by nadeem bhai)</t>
  </si>
  <si>
    <t>Misc expenses in TOMO ( by nadeem bhai)</t>
  </si>
  <si>
    <t>Misc expenses in BAFL  (by nadeem bhai)</t>
  </si>
  <si>
    <t>Online by BH to M Sajjad for Ducting payment for fortress</t>
  </si>
  <si>
    <t>purchased 5 carton tapes from hussain puri by mukhtar</t>
  </si>
  <si>
    <t>TO usman ghani for May 25</t>
  </si>
  <si>
    <t>Repaired and replaced laptop IC</t>
  </si>
  <si>
    <t>to khurshid engr</t>
  </si>
  <si>
    <t>Gul zameen threaded rods</t>
  </si>
  <si>
    <t>Majid in engro</t>
  </si>
  <si>
    <t>ZAG insulation</t>
  </si>
  <si>
    <t>muzammil in joutluckt one mall</t>
  </si>
  <si>
    <t>To shahbaz ali by nadeem bahi</t>
  </si>
  <si>
    <t>Kashif air devices</t>
  </si>
  <si>
    <t>Kashif voucher prepair</t>
  </si>
  <si>
    <t>NUSRAT quote</t>
  </si>
  <si>
    <t>purchased 6" dia steelex pipe for saadi town project (given to nadeem bhai)</t>
  </si>
  <si>
    <t>Adjust chq rec from IK in misc work (BH personal)</t>
  </si>
  <si>
    <t>misc material by engr Ahsan</t>
  </si>
  <si>
    <t>purchased 3 kg copper rods</t>
  </si>
  <si>
    <t xml:space="preserve">purhchased flexbile wire 1 mm 2 core 90 mtr from touheed </t>
  </si>
  <si>
    <t>invoices - purchased earth wire 1 core 6mm luz &amp; cable tie (for meezan bank)</t>
  </si>
  <si>
    <t>invoices - purchased WIRE 10MMX3C PAKISTAN from fast cable harsal (for meezan bank)</t>
  </si>
  <si>
    <t>Regus Fit Out - Abdullah Haroon Road Karachi</t>
  </si>
  <si>
    <t>Online by BH to M Ahsan for Quetta lunch and dinner expenses</t>
  </si>
  <si>
    <t>Grills shifting</t>
  </si>
  <si>
    <t>material return</t>
  </si>
  <si>
    <t>to ISRAR bhai</t>
  </si>
  <si>
    <t>VISA contract sinage</t>
  </si>
  <si>
    <t>office spoon for food</t>
  </si>
  <si>
    <t>purchased 3 PCV solution and 30 taflon</t>
  </si>
  <si>
    <t>HAIER</t>
  </si>
  <si>
    <t>NAME</t>
  </si>
  <si>
    <t>HUZAIFA</t>
  </si>
  <si>
    <t>GREE</t>
  </si>
  <si>
    <t>Smart Climate</t>
  </si>
  <si>
    <t>FARAZ</t>
  </si>
  <si>
    <t>ASIF</t>
  </si>
  <si>
    <t>0322 2977406</t>
  </si>
  <si>
    <t>0336 0333184</t>
  </si>
  <si>
    <t>0334 3571641</t>
  </si>
  <si>
    <t>Contact</t>
  </si>
  <si>
    <t xml:space="preserve">VRF </t>
  </si>
  <si>
    <t>BH in masjid</t>
  </si>
  <si>
    <t>Masjid work by BH (consider charity in EY &amp; Abbot office)</t>
  </si>
  <si>
    <t>GUL AHMED - VARIATION - MR. ISRAR</t>
  </si>
  <si>
    <t>Online by adeel to M Ahmed Hussain for bilal bhai personal</t>
  </si>
  <si>
    <t>To Rehan for office use (BAFL pumps)</t>
  </si>
  <si>
    <t>purchased safety shoes 2 nos</t>
  </si>
  <si>
    <t>cash paid for gas pipe and fitings (recommend by nadeem)</t>
  </si>
  <si>
    <t>cash paid for pumps</t>
  </si>
  <si>
    <t>Tee, bush, solotion</t>
  </si>
  <si>
    <t>Salary advance to Gul</t>
  </si>
  <si>
    <t>Salary advance to Asif Fiber</t>
  </si>
  <si>
    <t>To Qayyum site tea and misc expenses</t>
  </si>
  <si>
    <t>TOMO fuel invoies by nadeem bhai</t>
  </si>
  <si>
    <t>BAF fuel invoice by Nadeem bhai</t>
  </si>
  <si>
    <t>purchsaed cut screw</t>
  </si>
  <si>
    <t>air devices builty from al saif</t>
  </si>
  <si>
    <t>Online by adeel to Al rafay travels for Bilal bhai Going to Islmabad for EY ISL visit with Savills</t>
  </si>
  <si>
    <t>Online by adeel to Al rafay travels for Ticket for Jahangeer Quetta jdot visit chargers</t>
  </si>
  <si>
    <t>To Amjad for may 25</t>
  </si>
  <si>
    <t>Bolt buts, taflon ans washers</t>
  </si>
  <si>
    <t>MHr for invoices</t>
  </si>
  <si>
    <t>cash paid for site expenses (gul ahmed + state life) recomment by nadee bhai)</t>
  </si>
  <si>
    <t>cash paid for quetta expenses</t>
  </si>
  <si>
    <t>Online by adeel to Imran Rasheed for Paid motor winding for Kanteen Islamabad</t>
  </si>
  <si>
    <t>Online by adeel to Farhan care of SCON for Valve purchased for Quetta</t>
  </si>
  <si>
    <t>Online by adeel to Kashmeer electric center for Quetta purchasing</t>
  </si>
  <si>
    <t>Online by BH to M Ahsan for Quetta for food</t>
  </si>
  <si>
    <t>Online by BH to Noman for misc expenses fortress mall</t>
  </si>
  <si>
    <t>Online by BH to Al Gani &amp; Sons for drain piping fortress</t>
  </si>
  <si>
    <t>purchased colour material for IIL pipes</t>
  </si>
  <si>
    <t>bilal bhai home AC card repaired</t>
  </si>
  <si>
    <t>purchased cuttings disc and bits (to kamran)</t>
  </si>
  <si>
    <t xml:space="preserve">To Khushnood </t>
  </si>
  <si>
    <t>To ahsan office</t>
  </si>
  <si>
    <t>To umer</t>
  </si>
  <si>
    <t>center point expenses by nadeem hai</t>
  </si>
  <si>
    <t>To shahid painter (by nadeem bhai)</t>
  </si>
  <si>
    <t>To amjad plumber</t>
  </si>
  <si>
    <t>To waqas for visa</t>
  </si>
  <si>
    <t>Fuel at meezan bank by nadeem bhai</t>
  </si>
  <si>
    <t>To Gul sher by nadeem bahi</t>
  </si>
  <si>
    <t>To Asif fiber by nadeem bahi</t>
  </si>
  <si>
    <t>to shahid by nadeem bhai</t>
  </si>
  <si>
    <t>to ahsan engr</t>
  </si>
  <si>
    <t>SST April 25</t>
  </si>
  <si>
    <t>paid for misc labour, tea lunch refreshmet for IIL pipe at nasir colony</t>
  </si>
  <si>
    <t>BILAL</t>
  </si>
  <si>
    <t>to Rohail for 1 week fuel and tea and lunch ait site</t>
  </si>
  <si>
    <t>Payment received from IK in acc of Duetche bank (return to BH care off TIK)</t>
  </si>
  <si>
    <t>holes at supports</t>
  </si>
  <si>
    <t>To Irfan for misc</t>
  </si>
  <si>
    <t>misc Site</t>
  </si>
  <si>
    <t>purchased copper pipe for Suleman mehdi Home</t>
  </si>
  <si>
    <t>Israr ahmed</t>
  </si>
  <si>
    <t>TUBE Traders</t>
  </si>
  <si>
    <t>TO asif for may 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</si>
</sst>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
      <b/>
      <sz val="11"/>
      <color rgb="FFFF0000"/>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1039">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165" fontId="0" fillId="0" borderId="1" xfId="1" applyNumberFormat="1" applyFont="1" applyBorder="1" applyAlignment="1">
      <alignment horizontal="right"/>
    </xf>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2" fillId="2" borderId="1" xfId="0" applyFont="1" applyFill="1" applyBorder="1" applyAlignment="1">
      <alignment horizontal="center" vertical="center"/>
    </xf>
    <xf numFmtId="165" fontId="62" fillId="2" borderId="1" xfId="1" applyNumberFormat="1" applyFont="1" applyFill="1" applyBorder="1" applyAlignment="1">
      <alignment vertical="center"/>
    </xf>
    <xf numFmtId="165" fontId="61" fillId="2" borderId="1" xfId="1" applyNumberFormat="1" applyFont="1" applyFill="1" applyBorder="1" applyAlignment="1">
      <alignment vertical="center"/>
    </xf>
    <xf numFmtId="165" fontId="63"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0" borderId="1" xfId="1" applyNumberFormat="1" applyFont="1" applyBorder="1" applyAlignment="1">
      <alignment horizontal="right"/>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applyAlignment="1">
      <alignment wrapText="1"/>
    </xf>
    <xf numFmtId="165" fontId="0" fillId="27"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27"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0" fillId="33" borderId="1" xfId="0" applyFill="1" applyBorder="1"/>
    <xf numFmtId="165" fontId="0" fillId="33" borderId="1" xfId="1" applyNumberFormat="1" applyFont="1" applyFill="1" applyBorder="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30"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vertical="center"/>
    </xf>
    <xf numFmtId="0" fontId="5" fillId="0" borderId="1" xfId="0" applyFont="1" applyBorder="1" applyAlignment="1">
      <alignment vertical="center" wrapText="1"/>
    </xf>
    <xf numFmtId="43" fontId="5" fillId="0" borderId="1" xfId="1" applyNumberFormat="1"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8" fontId="0" fillId="0" borderId="1" xfId="0" applyNumberFormat="1" applyFill="1" applyBorder="1" applyAlignment="1">
      <alignment vertical="center"/>
    </xf>
    <xf numFmtId="0" fontId="0" fillId="0" borderId="1" xfId="0" applyFill="1" applyBorder="1" applyAlignment="1">
      <alignment horizontal="center"/>
    </xf>
    <xf numFmtId="0" fontId="0" fillId="0" borderId="1" xfId="0" applyFill="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20" fontId="5" fillId="0" borderId="1" xfId="0" applyNumberFormat="1"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applyAlignment="1">
      <alignment vertic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16" fillId="37" borderId="1" xfId="0" applyFont="1" applyFill="1" applyBorder="1"/>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0" fillId="0" borderId="0" xfId="0" applyAlignment="1">
      <alignment horizontal="right"/>
    </xf>
    <xf numFmtId="165" fontId="0" fillId="0" borderId="0" xfId="1" applyNumberFormat="1" applyFont="1" applyAlignment="1">
      <alignment horizontal="right"/>
    </xf>
    <xf numFmtId="20" fontId="5" fillId="34" borderId="1" xfId="0" applyNumberFormat="1" applyFont="1" applyFill="1" applyBorder="1" applyAlignment="1">
      <alignment horizontal="center"/>
    </xf>
    <xf numFmtId="0" fontId="0" fillId="0" borderId="1" xfId="0" applyFill="1" applyBorder="1" applyAlignment="1">
      <alignment wrapText="1"/>
    </xf>
    <xf numFmtId="0" fontId="6" fillId="0" borderId="1" xfId="0" applyFont="1" applyBorder="1" applyAlignment="1">
      <alignment horizontal="center"/>
    </xf>
    <xf numFmtId="0" fontId="6" fillId="0" borderId="0" xfId="0" applyFont="1" applyFill="1" applyBorder="1" applyAlignment="1">
      <alignment horizontal="center" vertical="center"/>
    </xf>
    <xf numFmtId="165" fontId="2" fillId="0" borderId="1" xfId="1" applyNumberFormat="1" applyFont="1" applyBorder="1"/>
    <xf numFmtId="0" fontId="6" fillId="0" borderId="1" xfId="0" applyFont="1" applyBorder="1" applyAlignment="1">
      <alignment horizontal="right" vertical="center"/>
    </xf>
    <xf numFmtId="0" fontId="6" fillId="0" borderId="1" xfId="0" applyFont="1" applyBorder="1" applyAlignment="1">
      <alignment horizontal="center"/>
    </xf>
    <xf numFmtId="165" fontId="5" fillId="0" borderId="1" xfId="1" applyNumberFormat="1" applyFont="1" applyBorder="1" applyAlignment="1">
      <alignment horizontal="center"/>
    </xf>
    <xf numFmtId="0" fontId="6" fillId="0" borderId="1" xfId="0" applyFont="1" applyBorder="1" applyAlignment="1">
      <alignment horizontal="center"/>
    </xf>
    <xf numFmtId="3" fontId="6" fillId="0" borderId="1" xfId="0" applyNumberFormat="1" applyFont="1" applyBorder="1" applyAlignment="1">
      <alignment horizontal="right" vertical="center"/>
    </xf>
    <xf numFmtId="0" fontId="6" fillId="0" borderId="1" xfId="0" applyFont="1" applyBorder="1" applyAlignment="1">
      <alignment horizontal="center"/>
    </xf>
    <xf numFmtId="0" fontId="2" fillId="0" borderId="1" xfId="0" applyFont="1" applyBorder="1" applyAlignment="1">
      <alignment horizontal="right"/>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19" fillId="0" borderId="0" xfId="0" applyFont="1"/>
    <xf numFmtId="0" fontId="10" fillId="0" borderId="1" xfId="0" applyFont="1" applyBorder="1" applyAlignment="1">
      <alignment horizontal="center" vertical="center"/>
    </xf>
    <xf numFmtId="0" fontId="19" fillId="0" borderId="1" xfId="0" applyFont="1" applyBorder="1" applyAlignment="1">
      <alignment vertical="center"/>
    </xf>
    <xf numFmtId="165" fontId="19" fillId="0" borderId="1" xfId="1" applyNumberFormat="1" applyFont="1" applyBorder="1" applyAlignment="1">
      <alignment vertical="center"/>
    </xf>
    <xf numFmtId="0" fontId="19" fillId="0" borderId="0" xfId="0" applyFont="1" applyAlignment="1">
      <alignment horizontal="right"/>
    </xf>
    <xf numFmtId="0" fontId="10" fillId="0" borderId="1" xfId="0" applyFont="1" applyBorder="1" applyAlignment="1">
      <alignment horizontal="right" vertical="center"/>
    </xf>
    <xf numFmtId="0" fontId="19" fillId="0" borderId="1" xfId="0" applyFont="1" applyBorder="1" applyAlignment="1">
      <alignment horizontal="right" vertical="center"/>
    </xf>
    <xf numFmtId="0" fontId="10" fillId="0" borderId="1" xfId="0" applyFont="1" applyBorder="1" applyAlignment="1">
      <alignment horizontal="center" vertical="center" wrapText="1"/>
    </xf>
    <xf numFmtId="165" fontId="5" fillId="0" borderId="1" xfId="1" applyNumberFormat="1" applyFont="1" applyBorder="1" applyAlignment="1">
      <alignment horizontal="center" vertical="center"/>
    </xf>
    <xf numFmtId="165" fontId="5" fillId="0" borderId="0" xfId="1" applyNumberFormat="1" applyFont="1" applyBorder="1" applyAlignment="1">
      <alignment horizontal="center"/>
    </xf>
    <xf numFmtId="165" fontId="2" fillId="0" borderId="0" xfId="1" applyNumberFormat="1" applyFont="1" applyBorder="1"/>
    <xf numFmtId="0" fontId="6" fillId="0" borderId="1" xfId="0" applyFont="1" applyBorder="1" applyAlignment="1">
      <alignment horizontal="center"/>
    </xf>
    <xf numFmtId="0" fontId="17" fillId="2" borderId="1" xfId="0" applyFont="1" applyFill="1" applyBorder="1" applyAlignment="1">
      <alignment vertical="center"/>
    </xf>
    <xf numFmtId="0" fontId="0" fillId="0" borderId="5" xfId="0" applyBorder="1" applyAlignment="1">
      <alignment vertical="center"/>
    </xf>
    <xf numFmtId="165" fontId="0" fillId="0" borderId="5" xfId="1" applyNumberFormat="1" applyFont="1" applyBorder="1" applyAlignment="1">
      <alignment vertical="center"/>
    </xf>
    <xf numFmtId="0" fontId="48" fillId="0" borderId="1" xfId="0" applyFont="1" applyBorder="1" applyAlignment="1">
      <alignment horizontal="center"/>
    </xf>
    <xf numFmtId="0" fontId="7" fillId="0" borderId="1" xfId="0" applyFont="1" applyBorder="1" applyAlignment="1">
      <alignment horizontal="right" vertical="center"/>
    </xf>
    <xf numFmtId="165" fontId="7" fillId="0" borderId="1" xfId="1" applyNumberFormat="1" applyFont="1" applyBorder="1" applyAlignment="1">
      <alignment horizontal="right" vertical="center"/>
    </xf>
    <xf numFmtId="165" fontId="7" fillId="0" borderId="1" xfId="1" applyNumberFormat="1" applyFont="1" applyBorder="1" applyAlignment="1">
      <alignment vertical="center"/>
    </xf>
    <xf numFmtId="3" fontId="7" fillId="0" borderId="1" xfId="0" applyNumberFormat="1" applyFont="1" applyBorder="1" applyAlignment="1">
      <alignment horizontal="right" vertical="center"/>
    </xf>
    <xf numFmtId="0" fontId="6" fillId="2" borderId="1" xfId="0" applyFont="1" applyFill="1" applyBorder="1" applyAlignment="1">
      <alignment horizontal="left" vertical="center" wrapText="1"/>
    </xf>
    <xf numFmtId="0" fontId="6" fillId="0" borderId="1" xfId="0" applyFont="1" applyFill="1" applyBorder="1" applyAlignment="1">
      <alignment horizontal="center" vertical="center"/>
    </xf>
    <xf numFmtId="0" fontId="6" fillId="0" borderId="1" xfId="0" applyFont="1" applyFill="1" applyBorder="1" applyAlignment="1">
      <alignment vertical="center"/>
    </xf>
    <xf numFmtId="0" fontId="6" fillId="0" borderId="1" xfId="0" applyFont="1" applyFill="1" applyBorder="1" applyAlignment="1">
      <alignment horizontal="left" vertical="center" wrapText="1"/>
    </xf>
    <xf numFmtId="165" fontId="6" fillId="0" borderId="1" xfId="7" applyNumberFormat="1" applyFont="1" applyFill="1" applyBorder="1"/>
    <xf numFmtId="15" fontId="37" fillId="0" borderId="1" xfId="0" applyNumberFormat="1" applyFont="1" applyBorder="1" applyAlignment="1">
      <alignment vertical="center"/>
    </xf>
    <xf numFmtId="165" fontId="19" fillId="0" borderId="5" xfId="1" applyNumberFormat="1" applyFont="1" applyBorder="1" applyAlignment="1">
      <alignment horizontal="center" vertical="center"/>
    </xf>
    <xf numFmtId="165" fontId="19" fillId="0" borderId="2" xfId="1" applyNumberFormat="1" applyFont="1" applyBorder="1" applyAlignment="1">
      <alignment horizontal="center" vertical="center"/>
    </xf>
    <xf numFmtId="0" fontId="19" fillId="2" borderId="55" xfId="0" applyFont="1" applyFill="1" applyBorder="1" applyAlignment="1">
      <alignment horizontal="center"/>
    </xf>
    <xf numFmtId="0" fontId="19" fillId="2" borderId="56" xfId="0" applyFont="1" applyFill="1" applyBorder="1" applyAlignment="1">
      <alignment horizontal="center"/>
    </xf>
    <xf numFmtId="0" fontId="50" fillId="30" borderId="1" xfId="0"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13" fillId="30" borderId="1" xfId="0" applyFont="1" applyFill="1" applyBorder="1" applyAlignment="1">
      <alignment horizontal="center" vertical="center"/>
    </xf>
    <xf numFmtId="0" fontId="2" fillId="0" borderId="1" xfId="0" applyFont="1" applyBorder="1" applyAlignment="1">
      <alignment horizontal="right"/>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2" fillId="0" borderId="3" xfId="0" applyFont="1" applyBorder="1" applyAlignment="1">
      <alignment horizontal="right"/>
    </xf>
    <xf numFmtId="0" fontId="2" fillId="0" borderId="4" xfId="0" applyFont="1" applyBorder="1" applyAlignment="1">
      <alignment horizontal="right"/>
    </xf>
    <xf numFmtId="0" fontId="2" fillId="0" borderId="6" xfId="0" applyFont="1" applyBorder="1" applyAlignment="1">
      <alignment horizontal="right"/>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2" fillId="0" borderId="51" xfId="0" applyFont="1" applyBorder="1" applyAlignment="1">
      <alignment horizontal="center" vertical="center"/>
    </xf>
    <xf numFmtId="0" fontId="50" fillId="0" borderId="1" xfId="0" applyFont="1" applyBorder="1" applyAlignment="1">
      <alignment horizontal="center"/>
    </xf>
    <xf numFmtId="0" fontId="48" fillId="30" borderId="1" xfId="0" applyFont="1" applyFill="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5" fillId="0" borderId="1"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32">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hyperlink" Target="Pioneer%20Voucher%20Postings.xlsx" TargetMode="External"/><Relationship Id="rId5" Type="http://schemas.openxmlformats.org/officeDocument/2006/relationships/image" Target="../media/image8.png"/><Relationship Id="rId4"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drawing1.xml><?xml version="1.0" encoding="utf-8"?>
<xdr:wsDr xmlns:xdr="http://schemas.openxmlformats.org/drawingml/2006/spreadsheetDrawing" xmlns:a="http://schemas.openxmlformats.org/drawingml/2006/main">
  <xdr:twoCellAnchor editAs="oneCell">
    <xdr:from>
      <xdr:col>35</xdr:col>
      <xdr:colOff>238125</xdr:colOff>
      <xdr:row>0</xdr:row>
      <xdr:rowOff>0</xdr:rowOff>
    </xdr:from>
    <xdr:to>
      <xdr:col>47</xdr:col>
      <xdr:colOff>382041</xdr:colOff>
      <xdr:row>18</xdr:row>
      <xdr:rowOff>175513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twoCellAnchor editAs="oneCell">
    <xdr:from>
      <xdr:col>21</xdr:col>
      <xdr:colOff>1276350</xdr:colOff>
      <xdr:row>57</xdr:row>
      <xdr:rowOff>276225</xdr:rowOff>
    </xdr:from>
    <xdr:to>
      <xdr:col>27</xdr:col>
      <xdr:colOff>153432</xdr:colOff>
      <xdr:row>82</xdr:row>
      <xdr:rowOff>99288</xdr:rowOff>
    </xdr:to>
    <xdr:pic>
      <xdr:nvPicPr>
        <xdr:cNvPr id="3" name="Picture 2">
          <a:extLst>
            <a:ext uri="{FF2B5EF4-FFF2-40B4-BE49-F238E27FC236}">
              <a16:creationId xmlns:a16="http://schemas.microsoft.com/office/drawing/2014/main" id="{6FA31320-0508-4121-840D-1106D875479A}"/>
            </a:ext>
          </a:extLst>
        </xdr:cNvPr>
        <xdr:cNvPicPr>
          <a:picLocks noChangeAspect="1"/>
        </xdr:cNvPicPr>
      </xdr:nvPicPr>
      <xdr:blipFill>
        <a:blip xmlns:r="http://schemas.openxmlformats.org/officeDocument/2006/relationships" r:embed="rId2"/>
        <a:stretch>
          <a:fillRect/>
        </a:stretch>
      </xdr:blipFill>
      <xdr:spPr>
        <a:xfrm>
          <a:off x="8677275" y="11791950"/>
          <a:ext cx="7392432" cy="6182588"/>
        </a:xfrm>
        <a:prstGeom prst="rect">
          <a:avLst/>
        </a:prstGeom>
      </xdr:spPr>
    </xdr:pic>
    <xdr:clientData/>
  </xdr:twoCellAnchor>
  <xdr:twoCellAnchor editAs="oneCell">
    <xdr:from>
      <xdr:col>9</xdr:col>
      <xdr:colOff>209550</xdr:colOff>
      <xdr:row>8</xdr:row>
      <xdr:rowOff>304800</xdr:rowOff>
    </xdr:from>
    <xdr:to>
      <xdr:col>13</xdr:col>
      <xdr:colOff>467101</xdr:colOff>
      <xdr:row>13</xdr:row>
      <xdr:rowOff>79562</xdr:rowOff>
    </xdr:to>
    <xdr:pic>
      <xdr:nvPicPr>
        <xdr:cNvPr id="4" name="Picture 3">
          <a:extLst>
            <a:ext uri="{FF2B5EF4-FFF2-40B4-BE49-F238E27FC236}">
              <a16:creationId xmlns:a16="http://schemas.microsoft.com/office/drawing/2014/main" id="{7D3C7BE1-EE50-4027-A079-11857D13D53B}"/>
            </a:ext>
          </a:extLst>
        </xdr:cNvPr>
        <xdr:cNvPicPr>
          <a:picLocks noChangeAspect="1"/>
        </xdr:cNvPicPr>
      </xdr:nvPicPr>
      <xdr:blipFill>
        <a:blip xmlns:r="http://schemas.openxmlformats.org/officeDocument/2006/relationships" r:embed="rId3"/>
        <a:stretch>
          <a:fillRect/>
        </a:stretch>
      </xdr:blipFill>
      <xdr:spPr>
        <a:xfrm>
          <a:off x="9696450" y="2790825"/>
          <a:ext cx="2695951" cy="1343212"/>
        </a:xfrm>
        <a:prstGeom prst="rect">
          <a:avLst/>
        </a:prstGeom>
      </xdr:spPr>
    </xdr:pic>
    <xdr:clientData/>
  </xdr:twoCellAnchor>
  <xdr:twoCellAnchor editAs="oneCell">
    <xdr:from>
      <xdr:col>6</xdr:col>
      <xdr:colOff>1143000</xdr:colOff>
      <xdr:row>14</xdr:row>
      <xdr:rowOff>704850</xdr:rowOff>
    </xdr:from>
    <xdr:to>
      <xdr:col>15</xdr:col>
      <xdr:colOff>1306293</xdr:colOff>
      <xdr:row>36</xdr:row>
      <xdr:rowOff>127967</xdr:rowOff>
    </xdr:to>
    <xdr:pic>
      <xdr:nvPicPr>
        <xdr:cNvPr id="5" name="Picture 4">
          <a:extLst>
            <a:ext uri="{FF2B5EF4-FFF2-40B4-BE49-F238E27FC236}">
              <a16:creationId xmlns:a16="http://schemas.microsoft.com/office/drawing/2014/main" id="{40BDC94B-82B5-4B32-ACA9-E55775D0F4E3}"/>
            </a:ext>
          </a:extLst>
        </xdr:cNvPr>
        <xdr:cNvPicPr>
          <a:picLocks noChangeAspect="1"/>
        </xdr:cNvPicPr>
      </xdr:nvPicPr>
      <xdr:blipFill>
        <a:blip xmlns:r="http://schemas.openxmlformats.org/officeDocument/2006/relationships" r:embed="rId4"/>
        <a:stretch>
          <a:fillRect/>
        </a:stretch>
      </xdr:blipFill>
      <xdr:spPr>
        <a:xfrm>
          <a:off x="8743950" y="5514975"/>
          <a:ext cx="9802593" cy="69256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12685</xdr:row>
      <xdr:rowOff>10584</xdr:rowOff>
    </xdr:from>
    <xdr:to>
      <xdr:col>6</xdr:col>
      <xdr:colOff>173660</xdr:colOff>
      <xdr:row>12701</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12674</xdr:row>
      <xdr:rowOff>190500</xdr:rowOff>
    </xdr:from>
    <xdr:to>
      <xdr:col>4</xdr:col>
      <xdr:colOff>555743</xdr:colOff>
      <xdr:row>12691</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twoCellAnchor editAs="oneCell">
    <xdr:from>
      <xdr:col>3</xdr:col>
      <xdr:colOff>47625</xdr:colOff>
      <xdr:row>12475</xdr:row>
      <xdr:rowOff>38100</xdr:rowOff>
    </xdr:from>
    <xdr:to>
      <xdr:col>4</xdr:col>
      <xdr:colOff>38100</xdr:colOff>
      <xdr:row>12484</xdr:row>
      <xdr:rowOff>0</xdr:rowOff>
    </xdr:to>
    <xdr:pic>
      <xdr:nvPicPr>
        <xdr:cNvPr id="4" name="Picture 3">
          <a:extLst>
            <a:ext uri="{FF2B5EF4-FFF2-40B4-BE49-F238E27FC236}">
              <a16:creationId xmlns:a16="http://schemas.microsoft.com/office/drawing/2014/main" id="{4A59F839-837F-4A7F-B048-F36D940279D9}"/>
            </a:ext>
          </a:extLst>
        </xdr:cNvPr>
        <xdr:cNvPicPr>
          <a:picLocks noChangeAspect="1"/>
        </xdr:cNvPicPr>
      </xdr:nvPicPr>
      <xdr:blipFill>
        <a:blip xmlns:r="http://schemas.openxmlformats.org/officeDocument/2006/relationships" r:embed="rId5"/>
        <a:stretch>
          <a:fillRect/>
        </a:stretch>
      </xdr:blipFill>
      <xdr:spPr>
        <a:xfrm>
          <a:off x="4495800" y="2942062950"/>
          <a:ext cx="4419600" cy="21050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Working%20files/Bonu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s>
    <sheetDataSet>
      <sheetData sheetId="0">
        <row r="73">
          <cell r="E73">
            <v>1239750</v>
          </cell>
        </row>
        <row r="75">
          <cell r="E75">
            <v>349250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Sup summ"/>
      <sheetName val="IK"/>
      <sheetName val="Retention"/>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1">
          <cell r="C21">
            <v>55329436.926379383</v>
          </cell>
          <cell r="G21">
            <v>75935584.385159969</v>
          </cell>
          <cell r="K21">
            <v>46800541.815737337</v>
          </cell>
          <cell r="O21">
            <v>15703108.030833334</v>
          </cell>
        </row>
      </sheetData>
      <sheetData sheetId="14">
        <row r="186">
          <cell r="I186">
            <v>23447620</v>
          </cell>
        </row>
      </sheetData>
      <sheetData sheetId="15">
        <row r="29">
          <cell r="C29">
            <v>18331611.185705196</v>
          </cell>
          <cell r="D29">
            <v>18331611.185705196</v>
          </cell>
          <cell r="E29">
            <v>18887114.55496899</v>
          </cell>
          <cell r="H29">
            <v>4306618.9471027926</v>
          </cell>
          <cell r="I29">
            <v>10142238.947102793</v>
          </cell>
          <cell r="J29">
            <v>24693276.490954392</v>
          </cell>
        </row>
      </sheetData>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679000</v>
          </cell>
          <cell r="G23">
            <v>606000</v>
          </cell>
          <cell r="P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288060217.53999996</v>
          </cell>
        </row>
        <row r="11">
          <cell r="P11">
            <v>-1000008.849999994</v>
          </cell>
          <cell r="Q11">
            <v>-76443.019999980927</v>
          </cell>
        </row>
        <row r="15">
          <cell r="P15">
            <v>210808973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630" totalsRowShown="0" headerRowDxfId="31" headerRowBorderDxfId="30" tableBorderDxfId="29" totalsRowBorderDxfId="28" headerRowCellStyle="Comma">
  <autoFilter ref="A1:E630" xr:uid="{F537B089-32B2-4BEB-9AAB-9E26B9A45F6D}"/>
  <tableColumns count="5">
    <tableColumn id="1" xr3:uid="{B5529DD0-2B68-49EC-B463-88CB59E37FC7}" name="Date" dataDxfId="27" totalsRowDxfId="26"/>
    <tableColumn id="2" xr3:uid="{FC203945-5FFC-41E1-A4B4-B77DBB2DE955}" name="Person" dataDxfId="25" totalsRowDxfId="24"/>
    <tableColumn id="3" xr3:uid="{345CF318-2DA1-4BE3-BA4C-1CDFD5528893}" name="Site" dataDxfId="23" totalsRowDxfId="22"/>
    <tableColumn id="4" xr3:uid="{25799A2E-0F28-4803-B9EA-942C62E1192D}" name="Description" dataDxfId="21" totalsRowDxfId="20"/>
    <tableColumn id="8" xr3:uid="{3448A2AC-6A7B-4842-83C3-5634913B7AFF}" name="Invoices submitted" dataDxfId="19" totalsRowDxfId="18"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info@pioneermep.com" TargetMode="External"/><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2:AH100"/>
  <sheetViews>
    <sheetView topLeftCell="G55" zoomScaleNormal="100" workbookViewId="0">
      <selection activeCell="O64" sqref="O64:Q69"/>
    </sheetView>
  </sheetViews>
  <sheetFormatPr defaultRowHeight="15" x14ac:dyDescent="0.25"/>
  <cols>
    <col min="2" max="2" width="25.42578125" customWidth="1"/>
    <col min="3" max="3" width="11.7109375" style="870" customWidth="1"/>
    <col min="4" max="4" width="9.85546875" customWidth="1"/>
    <col min="5" max="5" width="21" customWidth="1"/>
    <col min="6" max="6" width="29" customWidth="1"/>
    <col min="7" max="7" width="29.5703125" customWidth="1"/>
    <col min="8" max="8" width="11.5703125" customWidth="1"/>
    <col min="14" max="14" width="19.140625" customWidth="1"/>
    <col min="15" max="15" width="38.5703125" customWidth="1"/>
    <col min="16" max="16" width="20.42578125" customWidth="1"/>
    <col min="17" max="17" width="42" customWidth="1"/>
    <col min="18" max="20" width="14.5703125" customWidth="1"/>
    <col min="21" max="21" width="9.85546875" style="291" customWidth="1"/>
    <col min="22" max="22" width="58.85546875" customWidth="1"/>
    <col min="23" max="23" width="16.85546875" customWidth="1"/>
    <col min="24" max="24" width="1.85546875" customWidth="1"/>
    <col min="25" max="25" width="27.7109375" customWidth="1"/>
    <col min="26" max="26" width="10.5703125" style="291" customWidth="1"/>
    <col min="27" max="27" width="11.85546875" customWidth="1"/>
    <col min="28" max="28" width="13.42578125" customWidth="1"/>
    <col min="30" max="30" width="17.7109375" customWidth="1"/>
    <col min="31" max="31" width="56" customWidth="1"/>
  </cols>
  <sheetData>
    <row r="2" spans="2:34" x14ac:dyDescent="0.25">
      <c r="B2" s="921" t="s">
        <v>16184</v>
      </c>
      <c r="C2" s="921"/>
      <c r="D2" s="921"/>
      <c r="E2" s="921"/>
      <c r="F2" s="921"/>
    </row>
    <row r="3" spans="2:34" x14ac:dyDescent="0.25">
      <c r="B3" s="921"/>
      <c r="C3" s="921"/>
      <c r="D3" s="921"/>
      <c r="E3" s="921"/>
      <c r="F3" s="921"/>
    </row>
    <row r="4" spans="2:34" ht="15.75" thickBot="1" x14ac:dyDescent="0.3"/>
    <row r="5" spans="2:34" ht="29.25" thickBot="1" x14ac:dyDescent="0.5">
      <c r="B5" s="915" t="s">
        <v>16175</v>
      </c>
      <c r="C5" s="916"/>
      <c r="D5" s="916"/>
      <c r="E5" s="916"/>
      <c r="F5" s="916"/>
      <c r="M5" s="918" t="s">
        <v>15582</v>
      </c>
      <c r="N5" s="919"/>
      <c r="O5" s="919"/>
      <c r="P5" s="920"/>
      <c r="U5"/>
      <c r="Y5" s="291"/>
      <c r="Z5"/>
    </row>
    <row r="6" spans="2:34" ht="14.25" customHeight="1" thickBot="1" x14ac:dyDescent="0.5">
      <c r="B6" s="887"/>
      <c r="C6" s="891"/>
      <c r="D6" s="887"/>
      <c r="E6" s="887"/>
      <c r="F6" s="887"/>
      <c r="R6" s="923" t="s">
        <v>15595</v>
      </c>
      <c r="S6" s="924"/>
      <c r="T6" s="924"/>
      <c r="U6" s="924"/>
      <c r="V6" s="925"/>
      <c r="Y6" s="291"/>
      <c r="Z6"/>
    </row>
    <row r="7" spans="2:34" ht="58.5" customHeight="1" x14ac:dyDescent="0.25">
      <c r="B7" s="888" t="s">
        <v>3</v>
      </c>
      <c r="C7" s="892" t="s">
        <v>16177</v>
      </c>
      <c r="D7" s="888" t="s">
        <v>14948</v>
      </c>
      <c r="E7" s="888" t="s">
        <v>16176</v>
      </c>
      <c r="F7" s="894" t="s">
        <v>16183</v>
      </c>
      <c r="L7" s="745" t="s">
        <v>3</v>
      </c>
      <c r="M7" s="745" t="s">
        <v>15583</v>
      </c>
      <c r="N7" s="745" t="s">
        <v>15584</v>
      </c>
      <c r="O7" s="745" t="s">
        <v>15586</v>
      </c>
      <c r="P7" s="745"/>
      <c r="Q7" s="749" t="s">
        <v>3</v>
      </c>
      <c r="R7" s="749" t="s">
        <v>14948</v>
      </c>
      <c r="S7" s="749"/>
      <c r="T7" s="749"/>
      <c r="U7" s="749" t="s">
        <v>11311</v>
      </c>
      <c r="V7" s="693"/>
      <c r="W7" s="318" t="s">
        <v>3</v>
      </c>
      <c r="X7" s="667" t="s">
        <v>15608</v>
      </c>
      <c r="Y7" s="667" t="s">
        <v>14948</v>
      </c>
      <c r="Z7" s="691"/>
      <c r="AA7" s="690" t="s">
        <v>11311</v>
      </c>
      <c r="AD7" s="690" t="s">
        <v>11311</v>
      </c>
    </row>
    <row r="8" spans="2:34" ht="28.5" x14ac:dyDescent="0.25">
      <c r="B8" s="889" t="s">
        <v>16174</v>
      </c>
      <c r="C8" s="893" t="s">
        <v>16178</v>
      </c>
      <c r="D8" s="889">
        <v>1</v>
      </c>
      <c r="E8" s="890">
        <v>817000</v>
      </c>
      <c r="F8" s="890">
        <v>898398</v>
      </c>
      <c r="L8" s="306" t="s">
        <v>15585</v>
      </c>
      <c r="M8" s="304">
        <v>5000000</v>
      </c>
      <c r="N8" s="304">
        <v>5250000</v>
      </c>
      <c r="O8" s="304">
        <f>N8-M8</f>
        <v>250000</v>
      </c>
      <c r="P8" s="304"/>
      <c r="Q8" s="306" t="s">
        <v>15591</v>
      </c>
      <c r="R8" s="454">
        <v>1</v>
      </c>
      <c r="S8" s="454"/>
      <c r="T8" s="454"/>
      <c r="U8" s="304" t="e">
        <f>#REF!*R8</f>
        <v>#REF!</v>
      </c>
      <c r="V8" s="694"/>
      <c r="W8" s="304" t="s">
        <v>15607</v>
      </c>
      <c r="X8" s="757" t="s">
        <v>15609</v>
      </c>
      <c r="Y8" s="304">
        <v>4</v>
      </c>
      <c r="Z8" s="638">
        <v>280</v>
      </c>
      <c r="AA8" s="692">
        <f>Z8/6</f>
        <v>46.666666666666664</v>
      </c>
      <c r="AB8" s="692">
        <f>AA8*5%</f>
        <v>2.3333333333333335</v>
      </c>
      <c r="AC8" s="692">
        <f>AA8-AB8</f>
        <v>44.333333333333329</v>
      </c>
      <c r="AD8">
        <v>415</v>
      </c>
      <c r="AE8">
        <f>AD8*15%</f>
        <v>62.25</v>
      </c>
      <c r="AF8">
        <f>AD8-AE8</f>
        <v>352.75</v>
      </c>
    </row>
    <row r="9" spans="2:34" ht="28.5" x14ac:dyDescent="0.25">
      <c r="B9" s="889" t="s">
        <v>16174</v>
      </c>
      <c r="C9" s="893" t="s">
        <v>16179</v>
      </c>
      <c r="D9" s="889">
        <v>2</v>
      </c>
      <c r="E9" s="890">
        <v>731000</v>
      </c>
      <c r="F9" s="890">
        <v>1392956</v>
      </c>
      <c r="L9" s="306" t="s">
        <v>15587</v>
      </c>
      <c r="M9" s="304">
        <v>95297.05</v>
      </c>
      <c r="N9" s="304">
        <v>2113958</v>
      </c>
      <c r="O9" s="304">
        <f>N9-M9</f>
        <v>2018660.95</v>
      </c>
      <c r="P9" s="304"/>
      <c r="Q9" s="306" t="s">
        <v>15592</v>
      </c>
      <c r="R9" s="454">
        <v>1</v>
      </c>
      <c r="S9" s="454"/>
      <c r="T9" s="454"/>
      <c r="U9" s="304" t="e">
        <f>#REF!*R9</f>
        <v>#REF!</v>
      </c>
      <c r="V9" s="694"/>
      <c r="W9" s="304" t="s">
        <v>15607</v>
      </c>
      <c r="X9" s="757" t="s">
        <v>15610</v>
      </c>
      <c r="Y9" s="304">
        <v>4</v>
      </c>
      <c r="Z9" s="638">
        <v>335</v>
      </c>
      <c r="AA9" s="692">
        <f t="shared" ref="AA9:AC17" si="0">Z9/6</f>
        <v>55.833333333333336</v>
      </c>
      <c r="AB9" s="692">
        <f t="shared" ref="AB9:AD17" si="1">AA9*5%</f>
        <v>2.791666666666667</v>
      </c>
      <c r="AC9" s="692">
        <f t="shared" ref="AC9:AE17" si="2">AA9-AB9</f>
        <v>53.041666666666671</v>
      </c>
      <c r="AD9">
        <v>480</v>
      </c>
      <c r="AE9">
        <f t="shared" ref="AE9:AG17" si="3">AD9*15%</f>
        <v>72</v>
      </c>
      <c r="AF9">
        <f t="shared" ref="AF9:AH17" si="4">AD9-AE9</f>
        <v>408</v>
      </c>
    </row>
    <row r="10" spans="2:34" ht="28.5" x14ac:dyDescent="0.25">
      <c r="B10" s="889" t="s">
        <v>16174</v>
      </c>
      <c r="C10" s="893" t="s">
        <v>16180</v>
      </c>
      <c r="D10" s="889">
        <v>1</v>
      </c>
      <c r="E10" s="890">
        <v>895000</v>
      </c>
      <c r="F10" s="890">
        <v>814162</v>
      </c>
      <c r="L10" s="306" t="s">
        <v>15588</v>
      </c>
      <c r="M10" s="304">
        <v>192169.8</v>
      </c>
      <c r="N10" s="304">
        <v>1995000</v>
      </c>
      <c r="O10" s="304">
        <f>N10-M10</f>
        <v>1802830.2</v>
      </c>
      <c r="P10" s="304"/>
      <c r="Q10" s="306" t="s">
        <v>15593</v>
      </c>
      <c r="R10" s="454">
        <v>1</v>
      </c>
      <c r="S10" s="454"/>
      <c r="T10" s="454"/>
      <c r="U10" s="304" t="e">
        <f>#REF!*R10</f>
        <v>#REF!</v>
      </c>
      <c r="V10" s="694"/>
      <c r="W10" s="304" t="s">
        <v>15607</v>
      </c>
      <c r="X10" s="757" t="s">
        <v>15611</v>
      </c>
      <c r="Y10" s="304">
        <v>8</v>
      </c>
      <c r="Z10" s="638">
        <v>365</v>
      </c>
      <c r="AA10" s="692">
        <f t="shared" si="0"/>
        <v>60.833333333333336</v>
      </c>
      <c r="AB10" s="692">
        <f t="shared" si="1"/>
        <v>3.041666666666667</v>
      </c>
      <c r="AC10" s="692">
        <f t="shared" si="2"/>
        <v>57.791666666666671</v>
      </c>
      <c r="AD10">
        <v>1050</v>
      </c>
      <c r="AE10">
        <f t="shared" si="3"/>
        <v>157.5</v>
      </c>
      <c r="AF10">
        <f t="shared" si="4"/>
        <v>892.5</v>
      </c>
    </row>
    <row r="11" spans="2:34" ht="29.25" thickBot="1" x14ac:dyDescent="0.5">
      <c r="B11" s="887"/>
      <c r="C11" s="891"/>
      <c r="D11" s="887"/>
      <c r="E11" s="887"/>
      <c r="F11" s="887"/>
      <c r="L11" s="306" t="s">
        <v>13902</v>
      </c>
      <c r="M11" s="304">
        <v>3411069</v>
      </c>
      <c r="N11" s="304">
        <v>4000000</v>
      </c>
      <c r="O11" s="304">
        <f>N11-M11</f>
        <v>588931</v>
      </c>
      <c r="P11" s="304"/>
      <c r="Q11" s="306" t="s">
        <v>15594</v>
      </c>
      <c r="R11" s="454">
        <v>1</v>
      </c>
      <c r="S11" s="454"/>
      <c r="T11" s="454"/>
      <c r="U11" s="304" t="e">
        <f>#REF!*R11</f>
        <v>#REF!</v>
      </c>
      <c r="V11" s="694"/>
      <c r="W11" s="304" t="s">
        <v>15607</v>
      </c>
      <c r="X11" s="757" t="s">
        <v>15612</v>
      </c>
      <c r="Y11" s="304">
        <v>12</v>
      </c>
      <c r="Z11" s="638">
        <v>335</v>
      </c>
      <c r="AA11" s="692">
        <f t="shared" si="0"/>
        <v>55.833333333333336</v>
      </c>
      <c r="AB11" s="692">
        <f t="shared" si="1"/>
        <v>2.791666666666667</v>
      </c>
      <c r="AC11" s="692">
        <f t="shared" si="2"/>
        <v>53.041666666666671</v>
      </c>
      <c r="AD11">
        <v>480</v>
      </c>
      <c r="AE11">
        <f t="shared" si="3"/>
        <v>72</v>
      </c>
      <c r="AF11">
        <f t="shared" si="4"/>
        <v>408</v>
      </c>
    </row>
    <row r="12" spans="2:34" ht="29.25" thickBot="1" x14ac:dyDescent="0.5">
      <c r="B12" s="915" t="s">
        <v>16181</v>
      </c>
      <c r="C12" s="916"/>
      <c r="D12" s="916"/>
      <c r="E12" s="916"/>
      <c r="F12" s="916"/>
      <c r="L12" s="306"/>
      <c r="M12" s="306"/>
      <c r="N12" s="304"/>
      <c r="O12" s="304"/>
      <c r="P12" s="304"/>
      <c r="Q12" s="751" t="s">
        <v>8196</v>
      </c>
      <c r="R12" s="454"/>
      <c r="S12" s="454"/>
      <c r="T12" s="454"/>
      <c r="U12" s="750" t="e">
        <f>SUM(U8:U11)</f>
        <v>#REF!</v>
      </c>
      <c r="V12" s="694"/>
      <c r="W12" s="304" t="s">
        <v>15607</v>
      </c>
      <c r="X12" s="757" t="s">
        <v>15613</v>
      </c>
      <c r="Y12" s="304">
        <v>6</v>
      </c>
      <c r="Z12" s="638">
        <v>475</v>
      </c>
      <c r="AA12" s="692">
        <f t="shared" si="0"/>
        <v>79.166666666666671</v>
      </c>
      <c r="AB12" s="692">
        <f t="shared" si="1"/>
        <v>3.9583333333333339</v>
      </c>
      <c r="AC12" s="692">
        <f t="shared" si="2"/>
        <v>75.208333333333343</v>
      </c>
      <c r="AD12">
        <v>1050</v>
      </c>
      <c r="AE12">
        <f t="shared" si="3"/>
        <v>157.5</v>
      </c>
      <c r="AF12">
        <f t="shared" si="4"/>
        <v>892.5</v>
      </c>
    </row>
    <row r="13" spans="2:34" ht="8.25" customHeight="1" x14ac:dyDescent="0.45">
      <c r="B13" s="887"/>
      <c r="C13" s="891"/>
      <c r="D13" s="887"/>
      <c r="E13" s="887"/>
      <c r="F13" s="887"/>
      <c r="M13" s="306"/>
      <c r="N13" s="926" t="s">
        <v>15597</v>
      </c>
      <c r="O13" s="927"/>
      <c r="P13" s="755">
        <f>O11+O10+O9+O8</f>
        <v>4660422.1500000004</v>
      </c>
      <c r="Q13" s="304"/>
      <c r="R13" s="751" t="s">
        <v>15596</v>
      </c>
      <c r="S13" s="751"/>
      <c r="T13" s="751"/>
      <c r="U13" s="304"/>
      <c r="V13" s="750" t="e">
        <f>U12*10%</f>
        <v>#REF!</v>
      </c>
      <c r="W13" s="694"/>
      <c r="X13" s="304" t="s">
        <v>15614</v>
      </c>
      <c r="Y13" s="757" t="s">
        <v>15613</v>
      </c>
      <c r="Z13" s="304">
        <v>4</v>
      </c>
      <c r="AA13" s="638">
        <v>510</v>
      </c>
      <c r="AB13" s="692">
        <f t="shared" si="0"/>
        <v>85</v>
      </c>
      <c r="AC13" s="692">
        <f t="shared" si="1"/>
        <v>4.25</v>
      </c>
      <c r="AD13" s="692">
        <f t="shared" si="2"/>
        <v>80.75</v>
      </c>
      <c r="AE13">
        <v>1200</v>
      </c>
      <c r="AF13">
        <f t="shared" si="3"/>
        <v>180</v>
      </c>
      <c r="AG13">
        <f t="shared" si="4"/>
        <v>1020</v>
      </c>
    </row>
    <row r="14" spans="2:34" ht="57" x14ac:dyDescent="0.25">
      <c r="B14" s="888" t="s">
        <v>3</v>
      </c>
      <c r="C14" s="892" t="s">
        <v>16177</v>
      </c>
      <c r="D14" s="888" t="s">
        <v>14948</v>
      </c>
      <c r="E14" s="888" t="s">
        <v>16176</v>
      </c>
      <c r="F14" s="894" t="s">
        <v>16183</v>
      </c>
      <c r="H14" s="277"/>
      <c r="P14" s="277"/>
      <c r="Q14" s="277"/>
      <c r="R14" s="304"/>
      <c r="S14" s="304"/>
      <c r="T14" s="304"/>
      <c r="U14" s="454"/>
      <c r="V14" s="304"/>
      <c r="W14" s="750" t="e">
        <f>U12-V13</f>
        <v>#REF!</v>
      </c>
      <c r="X14" s="694"/>
      <c r="Y14" s="304" t="s">
        <v>15615</v>
      </c>
      <c r="Z14" s="757" t="s">
        <v>15609</v>
      </c>
      <c r="AA14" s="304">
        <v>4</v>
      </c>
      <c r="AB14" s="638">
        <v>585</v>
      </c>
      <c r="AC14" s="692">
        <f t="shared" si="0"/>
        <v>97.5</v>
      </c>
      <c r="AD14" s="692">
        <f t="shared" si="1"/>
        <v>4.875</v>
      </c>
      <c r="AE14" s="692">
        <f t="shared" si="2"/>
        <v>92.625</v>
      </c>
      <c r="AF14">
        <v>1357</v>
      </c>
      <c r="AG14">
        <f t="shared" si="3"/>
        <v>203.54999999999998</v>
      </c>
      <c r="AH14">
        <f t="shared" si="4"/>
        <v>1153.45</v>
      </c>
    </row>
    <row r="15" spans="2:34" ht="28.5" x14ac:dyDescent="0.25">
      <c r="B15" s="889" t="s">
        <v>16182</v>
      </c>
      <c r="C15" s="893" t="s">
        <v>16178</v>
      </c>
      <c r="D15" s="889">
        <v>1</v>
      </c>
      <c r="E15" s="890">
        <v>1539400</v>
      </c>
      <c r="F15" s="890">
        <v>1650786</v>
      </c>
      <c r="R15" s="304"/>
      <c r="S15" s="304"/>
      <c r="T15" s="304"/>
      <c r="U15" s="454"/>
      <c r="V15" s="304"/>
      <c r="W15" s="750">
        <v>1995000</v>
      </c>
      <c r="X15" s="694"/>
      <c r="Y15" s="304" t="s">
        <v>15615</v>
      </c>
      <c r="Z15" s="757" t="s">
        <v>15610</v>
      </c>
      <c r="AA15" s="304">
        <v>8</v>
      </c>
      <c r="AB15" s="638">
        <v>645</v>
      </c>
      <c r="AC15" s="692">
        <f t="shared" si="0"/>
        <v>107.5</v>
      </c>
      <c r="AD15" s="692">
        <f t="shared" si="1"/>
        <v>5.375</v>
      </c>
      <c r="AE15" s="692">
        <f t="shared" si="2"/>
        <v>102.125</v>
      </c>
      <c r="AF15">
        <v>2100</v>
      </c>
      <c r="AG15">
        <f t="shared" si="3"/>
        <v>315</v>
      </c>
      <c r="AH15">
        <f t="shared" si="4"/>
        <v>1785</v>
      </c>
    </row>
    <row r="16" spans="2:34" ht="28.5" x14ac:dyDescent="0.25">
      <c r="B16" s="889" t="s">
        <v>16182</v>
      </c>
      <c r="C16" s="893" t="s">
        <v>16179</v>
      </c>
      <c r="D16" s="889">
        <v>2</v>
      </c>
      <c r="E16" s="890">
        <v>2386500</v>
      </c>
      <c r="F16" s="890">
        <v>2357156</v>
      </c>
      <c r="R16" s="304"/>
      <c r="S16" s="304"/>
      <c r="T16" s="304"/>
      <c r="U16" s="454"/>
      <c r="V16" s="304"/>
      <c r="W16" s="750" t="e">
        <f>W14-W15</f>
        <v>#REF!</v>
      </c>
      <c r="X16" s="694"/>
      <c r="Y16" s="304" t="s">
        <v>15615</v>
      </c>
      <c r="Z16" s="757" t="s">
        <v>15611</v>
      </c>
      <c r="AA16" s="304">
        <v>2</v>
      </c>
      <c r="AB16" s="638">
        <v>815</v>
      </c>
      <c r="AC16" s="692">
        <f t="shared" si="0"/>
        <v>135.83333333333334</v>
      </c>
      <c r="AD16" s="692">
        <f t="shared" si="1"/>
        <v>6.7916666666666679</v>
      </c>
      <c r="AE16" s="692">
        <f t="shared" si="2"/>
        <v>129.04166666666669</v>
      </c>
      <c r="AF16">
        <v>3100</v>
      </c>
      <c r="AG16">
        <f t="shared" si="3"/>
        <v>465</v>
      </c>
      <c r="AH16">
        <f t="shared" si="4"/>
        <v>2635</v>
      </c>
    </row>
    <row r="17" spans="2:34" ht="29.25" thickBot="1" x14ac:dyDescent="0.3">
      <c r="B17" s="889" t="s">
        <v>16182</v>
      </c>
      <c r="C17" s="893" t="s">
        <v>16180</v>
      </c>
      <c r="D17" s="889">
        <v>1</v>
      </c>
      <c r="E17" s="890">
        <v>1275000</v>
      </c>
      <c r="F17" s="890">
        <v>1086506</v>
      </c>
      <c r="G17">
        <v>499380</v>
      </c>
      <c r="R17" s="304"/>
      <c r="S17" s="304"/>
      <c r="T17" s="304"/>
      <c r="U17" s="454"/>
      <c r="V17" s="304"/>
      <c r="W17" s="304"/>
      <c r="X17" s="694"/>
      <c r="Y17" s="304"/>
      <c r="Z17" s="757"/>
      <c r="AA17" s="304"/>
      <c r="AB17" s="638">
        <v>1010</v>
      </c>
      <c r="AC17" s="692">
        <f t="shared" si="0"/>
        <v>168.33333333333334</v>
      </c>
      <c r="AD17" s="692">
        <f t="shared" si="1"/>
        <v>8.4166666666666679</v>
      </c>
      <c r="AE17" s="692">
        <f t="shared" si="2"/>
        <v>159.91666666666669</v>
      </c>
      <c r="AF17">
        <v>4800</v>
      </c>
      <c r="AG17">
        <f t="shared" si="3"/>
        <v>720</v>
      </c>
      <c r="AH17">
        <f t="shared" si="4"/>
        <v>4080</v>
      </c>
    </row>
    <row r="18" spans="2:34" ht="29.25" thickBot="1" x14ac:dyDescent="0.35">
      <c r="B18" s="889" t="s">
        <v>16182</v>
      </c>
      <c r="C18" s="893" t="s">
        <v>16180</v>
      </c>
      <c r="D18" s="889">
        <v>1</v>
      </c>
      <c r="E18" s="890">
        <v>2000000</v>
      </c>
      <c r="F18" s="890">
        <v>2177550</v>
      </c>
      <c r="G18">
        <v>2693528</v>
      </c>
      <c r="R18" s="277"/>
      <c r="S18" s="277"/>
      <c r="T18" s="277"/>
      <c r="U18" s="924"/>
      <c r="V18" s="924"/>
      <c r="W18" s="925"/>
      <c r="X18" s="4"/>
      <c r="Y18" s="93"/>
      <c r="Z18" s="758"/>
      <c r="AA18" s="695">
        <f>SUM(AA8:AA17)</f>
        <v>822.33333333333337</v>
      </c>
    </row>
    <row r="19" spans="2:34" x14ac:dyDescent="0.25">
      <c r="G19">
        <f>SUM(G17:G18)</f>
        <v>3192908</v>
      </c>
      <c r="U19" s="749" t="s">
        <v>14948</v>
      </c>
      <c r="V19" s="749" t="s">
        <v>14949</v>
      </c>
      <c r="W19" s="749" t="s">
        <v>11311</v>
      </c>
    </row>
    <row r="20" spans="2:34" x14ac:dyDescent="0.25">
      <c r="G20">
        <f>G19*1.25</f>
        <v>3991135</v>
      </c>
      <c r="U20" s="454">
        <v>1</v>
      </c>
      <c r="V20" s="304">
        <v>99515</v>
      </c>
      <c r="W20" s="304">
        <f>V20*U20</f>
        <v>99515</v>
      </c>
      <c r="Y20" s="692"/>
      <c r="Z20" s="759"/>
      <c r="AA20" s="692"/>
    </row>
    <row r="21" spans="2:34" x14ac:dyDescent="0.25">
      <c r="B21" s="921" t="s">
        <v>16187</v>
      </c>
      <c r="C21" s="921"/>
      <c r="D21" s="921"/>
      <c r="E21" s="921"/>
      <c r="F21" s="921"/>
      <c r="P21">
        <v>499380</v>
      </c>
      <c r="U21" s="454">
        <v>1</v>
      </c>
      <c r="V21" s="304">
        <v>4758</v>
      </c>
      <c r="W21" s="304">
        <f>V21*U21</f>
        <v>4758</v>
      </c>
    </row>
    <row r="22" spans="2:34" x14ac:dyDescent="0.25">
      <c r="B22" s="921"/>
      <c r="C22" s="921"/>
      <c r="D22" s="921"/>
      <c r="E22" s="921"/>
      <c r="F22" s="921"/>
      <c r="P22">
        <v>2693528</v>
      </c>
      <c r="U22" s="454">
        <v>1</v>
      </c>
      <c r="V22" s="304">
        <v>5897</v>
      </c>
      <c r="W22" s="304">
        <f>V22*U22</f>
        <v>5897</v>
      </c>
      <c r="AB22" s="304">
        <v>214.2</v>
      </c>
      <c r="AC22" s="692">
        <f>AB22*10%</f>
        <v>21.42</v>
      </c>
      <c r="AD22" s="692">
        <f>AB22-AC22</f>
        <v>192.77999999999997</v>
      </c>
      <c r="AE22">
        <v>44.333333333333329</v>
      </c>
      <c r="AF22" s="692">
        <f>AE22+AD22</f>
        <v>237.11333333333329</v>
      </c>
    </row>
    <row r="23" spans="2:34" ht="15.75" thickBot="1" x14ac:dyDescent="0.3">
      <c r="P23">
        <f>SUM(P21:P22)</f>
        <v>3192908</v>
      </c>
      <c r="U23" s="454"/>
      <c r="V23" s="304"/>
      <c r="W23" s="750">
        <f>SUM(W19:W22)</f>
        <v>110170</v>
      </c>
      <c r="AB23" s="304">
        <v>340.2</v>
      </c>
      <c r="AC23" s="692">
        <f t="shared" ref="AC23:AC30" si="5">AB23*10%</f>
        <v>34.020000000000003</v>
      </c>
      <c r="AD23" s="692">
        <f t="shared" ref="AD23:AD30" si="6">AB23-AC23</f>
        <v>306.18</v>
      </c>
      <c r="AE23">
        <v>53.041666666666671</v>
      </c>
      <c r="AF23" s="692">
        <f t="shared" ref="AF23:AF30" si="7">AE23+AD23</f>
        <v>359.22166666666669</v>
      </c>
    </row>
    <row r="24" spans="2:34" ht="29.25" thickBot="1" x14ac:dyDescent="0.5">
      <c r="B24" s="915" t="s">
        <v>16175</v>
      </c>
      <c r="C24" s="916"/>
      <c r="D24" s="916"/>
      <c r="E24" s="916"/>
      <c r="F24" s="916"/>
      <c r="P24">
        <f>P23*1.25</f>
        <v>3991135</v>
      </c>
      <c r="U24" s="454"/>
      <c r="V24" s="304"/>
      <c r="W24" s="750">
        <f>W23*13.5%</f>
        <v>14872.95</v>
      </c>
      <c r="AB24" s="304">
        <v>451.8</v>
      </c>
      <c r="AC24" s="692">
        <f t="shared" si="5"/>
        <v>45.180000000000007</v>
      </c>
      <c r="AD24" s="692">
        <f t="shared" si="6"/>
        <v>406.62</v>
      </c>
      <c r="AE24">
        <v>57.791666666666671</v>
      </c>
      <c r="AF24" s="692">
        <f t="shared" si="7"/>
        <v>464.41166666666669</v>
      </c>
    </row>
    <row r="25" spans="2:34" ht="28.5" x14ac:dyDescent="0.45">
      <c r="B25" s="887"/>
      <c r="C25" s="891"/>
      <c r="D25" s="887"/>
      <c r="E25" s="887"/>
      <c r="F25" s="887"/>
      <c r="U25" s="454"/>
      <c r="V25" s="304"/>
      <c r="W25" s="750">
        <f>W23-W24</f>
        <v>95297.05</v>
      </c>
      <c r="AA25">
        <v>499380</v>
      </c>
      <c r="AB25" s="304">
        <v>351</v>
      </c>
      <c r="AC25" s="692">
        <f t="shared" si="5"/>
        <v>35.1</v>
      </c>
      <c r="AD25" s="692">
        <f t="shared" si="6"/>
        <v>315.89999999999998</v>
      </c>
      <c r="AE25">
        <v>53.041666666666671</v>
      </c>
      <c r="AF25" s="692">
        <f t="shared" si="7"/>
        <v>368.94166666666666</v>
      </c>
    </row>
    <row r="26" spans="2:34" ht="28.5" x14ac:dyDescent="0.25">
      <c r="B26" s="888" t="s">
        <v>3</v>
      </c>
      <c r="C26" s="892" t="s">
        <v>16177</v>
      </c>
      <c r="D26" s="888" t="s">
        <v>14948</v>
      </c>
      <c r="E26" s="888" t="s">
        <v>16176</v>
      </c>
      <c r="F26" s="894" t="s">
        <v>16188</v>
      </c>
      <c r="H26">
        <v>47427</v>
      </c>
      <c r="Q26">
        <v>47427</v>
      </c>
      <c r="U26" s="454"/>
      <c r="V26" s="304"/>
      <c r="W26" s="750">
        <v>2113958</v>
      </c>
      <c r="AA26">
        <f>AA25*5%</f>
        <v>24969</v>
      </c>
      <c r="AB26" s="304">
        <v>535</v>
      </c>
      <c r="AC26" s="692">
        <f t="shared" si="5"/>
        <v>53.5</v>
      </c>
      <c r="AD26" s="692">
        <f t="shared" si="6"/>
        <v>481.5</v>
      </c>
      <c r="AE26">
        <v>75.208333333333343</v>
      </c>
      <c r="AF26" s="692">
        <f t="shared" si="7"/>
        <v>556.70833333333337</v>
      </c>
    </row>
    <row r="27" spans="2:34" ht="28.5" x14ac:dyDescent="0.25">
      <c r="B27" s="889" t="s">
        <v>16174</v>
      </c>
      <c r="C27" s="893" t="s">
        <v>16178</v>
      </c>
      <c r="D27" s="889">
        <v>1</v>
      </c>
      <c r="E27" s="890">
        <v>817000</v>
      </c>
      <c r="F27" s="890">
        <v>699048</v>
      </c>
      <c r="H27">
        <v>1616865</v>
      </c>
      <c r="Q27">
        <v>1616865</v>
      </c>
      <c r="U27" s="454"/>
      <c r="V27" s="304"/>
      <c r="W27" s="750">
        <f>W25-W26</f>
        <v>-2018660.95</v>
      </c>
      <c r="AA27">
        <f>AA25-AA26</f>
        <v>474411</v>
      </c>
      <c r="AB27" s="304">
        <v>758</v>
      </c>
      <c r="AC27" s="692">
        <f t="shared" si="5"/>
        <v>75.8</v>
      </c>
      <c r="AD27" s="692">
        <f t="shared" si="6"/>
        <v>682.2</v>
      </c>
      <c r="AE27">
        <v>80.75</v>
      </c>
      <c r="AF27" s="692">
        <f t="shared" si="7"/>
        <v>762.95</v>
      </c>
    </row>
    <row r="28" spans="2:34" ht="28.5" x14ac:dyDescent="0.25">
      <c r="B28" s="889" t="s">
        <v>16174</v>
      </c>
      <c r="C28" s="893" t="s">
        <v>16179</v>
      </c>
      <c r="D28" s="889">
        <v>2</v>
      </c>
      <c r="E28" s="890">
        <v>731000</v>
      </c>
      <c r="F28" s="890">
        <v>699048</v>
      </c>
      <c r="H28">
        <v>77212</v>
      </c>
      <c r="Q28">
        <v>77212</v>
      </c>
      <c r="AA28">
        <v>2693528</v>
      </c>
      <c r="AB28" s="304">
        <v>956</v>
      </c>
      <c r="AC28" s="692">
        <f t="shared" si="5"/>
        <v>95.600000000000009</v>
      </c>
      <c r="AD28" s="692">
        <f t="shared" si="6"/>
        <v>860.4</v>
      </c>
      <c r="AE28">
        <v>92.625</v>
      </c>
      <c r="AF28" s="692">
        <f t="shared" si="7"/>
        <v>953.02499999999998</v>
      </c>
    </row>
    <row r="29" spans="2:34" ht="28.5" x14ac:dyDescent="0.25">
      <c r="B29" s="889" t="s">
        <v>16174</v>
      </c>
      <c r="C29" s="893" t="s">
        <v>16180</v>
      </c>
      <c r="D29" s="889">
        <v>1</v>
      </c>
      <c r="E29" s="890">
        <v>895000</v>
      </c>
      <c r="F29" s="890">
        <v>646380</v>
      </c>
      <c r="G29" s="696" t="s">
        <v>15228</v>
      </c>
      <c r="H29">
        <v>47427</v>
      </c>
      <c r="Q29">
        <v>47427</v>
      </c>
      <c r="U29" s="752"/>
      <c r="V29" s="753"/>
      <c r="W29" s="754" t="e">
        <f>W27+W16</f>
        <v>#REF!</v>
      </c>
      <c r="Z29" s="760"/>
      <c r="AA29">
        <f>AA28+AA27</f>
        <v>3167939</v>
      </c>
      <c r="AB29" s="304">
        <v>1738</v>
      </c>
      <c r="AC29" s="692">
        <f t="shared" si="5"/>
        <v>173.8</v>
      </c>
      <c r="AD29" s="692">
        <f t="shared" si="6"/>
        <v>1564.2</v>
      </c>
      <c r="AE29">
        <v>102.125</v>
      </c>
      <c r="AF29" s="692">
        <f t="shared" si="7"/>
        <v>1666.325</v>
      </c>
    </row>
    <row r="30" spans="2:34" ht="29.25" thickBot="1" x14ac:dyDescent="0.5">
      <c r="B30" s="887"/>
      <c r="C30" s="891"/>
      <c r="D30" s="887"/>
      <c r="E30" s="887"/>
      <c r="F30" s="887"/>
      <c r="G30" s="696" t="s">
        <v>15240</v>
      </c>
      <c r="H30">
        <f>SUM(H26:H29)</f>
        <v>1788931</v>
      </c>
      <c r="Q30">
        <f>SUM(Q26:Q29)</f>
        <v>1788931</v>
      </c>
      <c r="Z30" s="760">
        <v>2719856</v>
      </c>
      <c r="AB30" s="304">
        <v>2868</v>
      </c>
      <c r="AC30" s="692">
        <f t="shared" si="5"/>
        <v>286.8</v>
      </c>
      <c r="AD30" s="692">
        <f t="shared" si="6"/>
        <v>2581.1999999999998</v>
      </c>
      <c r="AE30">
        <v>159.91666666666669</v>
      </c>
      <c r="AF30" s="692">
        <f t="shared" si="7"/>
        <v>2741.1166666666663</v>
      </c>
    </row>
    <row r="31" spans="2:34" ht="29.25" thickBot="1" x14ac:dyDescent="0.5">
      <c r="B31" s="915" t="s">
        <v>16181</v>
      </c>
      <c r="C31" s="916"/>
      <c r="D31" s="916"/>
      <c r="E31" s="916"/>
      <c r="F31" s="916"/>
      <c r="G31" s="697" t="s">
        <v>15242</v>
      </c>
      <c r="H31">
        <v>5200000</v>
      </c>
      <c r="Q31">
        <v>5200000</v>
      </c>
      <c r="Z31" s="761">
        <f>Z30*13.5%</f>
        <v>367180.56</v>
      </c>
    </row>
    <row r="32" spans="2:34" ht="28.5" x14ac:dyDescent="0.45">
      <c r="B32" s="887"/>
      <c r="C32" s="891"/>
      <c r="D32" s="887"/>
      <c r="E32" s="887"/>
      <c r="F32" s="887"/>
      <c r="G32" s="696" t="s">
        <v>15244</v>
      </c>
      <c r="H32">
        <f>H31-H30</f>
        <v>3411069</v>
      </c>
      <c r="Q32">
        <f>Q31-Q30</f>
        <v>3411069</v>
      </c>
      <c r="W32" s="277" t="e">
        <f>W14</f>
        <v>#REF!</v>
      </c>
      <c r="Z32" s="760">
        <f>Z30-Z31</f>
        <v>2352675.44</v>
      </c>
    </row>
    <row r="33" spans="2:26" ht="28.5" x14ac:dyDescent="0.25">
      <c r="B33" s="888" t="s">
        <v>3</v>
      </c>
      <c r="C33" s="892" t="s">
        <v>16177</v>
      </c>
      <c r="D33" s="888" t="s">
        <v>14948</v>
      </c>
      <c r="E33" s="888" t="s">
        <v>16176</v>
      </c>
      <c r="F33" s="894" t="s">
        <v>16188</v>
      </c>
      <c r="G33" s="698" t="s">
        <v>15246</v>
      </c>
      <c r="O33" s="696" t="s">
        <v>15238</v>
      </c>
      <c r="P33" s="696" t="s">
        <v>15228</v>
      </c>
      <c r="Z33" s="760"/>
    </row>
    <row r="34" spans="2:26" ht="28.5" x14ac:dyDescent="0.25">
      <c r="B34" s="889" t="s">
        <v>16182</v>
      </c>
      <c r="C34" s="893" t="s">
        <v>16178</v>
      </c>
      <c r="D34" s="889">
        <v>1</v>
      </c>
      <c r="E34" s="890">
        <v>1539400</v>
      </c>
      <c r="F34" s="890">
        <v>1494882</v>
      </c>
      <c r="G34" s="696" t="s">
        <v>15228</v>
      </c>
      <c r="O34" s="696" t="s">
        <v>15239</v>
      </c>
      <c r="P34" s="696" t="s">
        <v>15240</v>
      </c>
    </row>
    <row r="35" spans="2:26" ht="28.5" x14ac:dyDescent="0.25">
      <c r="B35" s="889" t="s">
        <v>16182</v>
      </c>
      <c r="C35" s="893" t="s">
        <v>16179</v>
      </c>
      <c r="D35" s="889">
        <v>2</v>
      </c>
      <c r="E35" s="890">
        <v>2386500</v>
      </c>
      <c r="F35" s="890">
        <v>2304396</v>
      </c>
      <c r="G35" s="696" t="s">
        <v>15230</v>
      </c>
      <c r="O35" s="696" t="s">
        <v>15241</v>
      </c>
      <c r="P35" s="697" t="s">
        <v>15242</v>
      </c>
    </row>
    <row r="36" spans="2:26" ht="28.5" x14ac:dyDescent="0.25">
      <c r="B36" s="889" t="s">
        <v>16182</v>
      </c>
      <c r="C36" s="893" t="s">
        <v>16180</v>
      </c>
      <c r="D36" s="889">
        <v>1</v>
      </c>
      <c r="E36" s="890">
        <v>1275000</v>
      </c>
      <c r="F36" s="913">
        <v>3119040</v>
      </c>
      <c r="G36" s="696" t="s">
        <v>15232</v>
      </c>
      <c r="O36" s="696" t="s">
        <v>15243</v>
      </c>
      <c r="P36" s="696" t="s">
        <v>15244</v>
      </c>
    </row>
    <row r="37" spans="2:26" ht="28.5" x14ac:dyDescent="0.25">
      <c r="B37" s="889" t="s">
        <v>16182</v>
      </c>
      <c r="C37" s="893" t="s">
        <v>16180</v>
      </c>
      <c r="D37" s="889">
        <v>1</v>
      </c>
      <c r="E37" s="890">
        <v>2000000</v>
      </c>
      <c r="F37" s="914"/>
      <c r="G37" s="699">
        <v>1397</v>
      </c>
      <c r="O37" s="696" t="s">
        <v>15245</v>
      </c>
      <c r="P37" s="698" t="s">
        <v>15246</v>
      </c>
    </row>
    <row r="38" spans="2:26" x14ac:dyDescent="0.25">
      <c r="G38" s="696" t="s">
        <v>15235</v>
      </c>
      <c r="O38" s="696" t="s">
        <v>15227</v>
      </c>
      <c r="P38" s="696" t="s">
        <v>15228</v>
      </c>
    </row>
    <row r="39" spans="2:26" x14ac:dyDescent="0.25">
      <c r="G39" s="696" t="s">
        <v>15237</v>
      </c>
      <c r="O39" s="696" t="s">
        <v>15229</v>
      </c>
      <c r="P39" s="696" t="s">
        <v>15230</v>
      </c>
    </row>
    <row r="40" spans="2:26" x14ac:dyDescent="0.25">
      <c r="B40" s="917" t="s">
        <v>16205</v>
      </c>
      <c r="C40" s="917"/>
      <c r="D40" s="917"/>
      <c r="E40" s="917"/>
      <c r="F40" s="917"/>
      <c r="O40" s="696" t="s">
        <v>15231</v>
      </c>
      <c r="P40" s="696" t="s">
        <v>15232</v>
      </c>
    </row>
    <row r="41" spans="2:26" x14ac:dyDescent="0.25">
      <c r="B41" s="917"/>
      <c r="C41" s="917"/>
      <c r="D41" s="917"/>
      <c r="E41" s="917"/>
      <c r="F41" s="917"/>
      <c r="O41" s="696" t="s">
        <v>15233</v>
      </c>
      <c r="P41" s="699">
        <v>1397</v>
      </c>
    </row>
    <row r="42" spans="2:26" ht="15.75" thickBot="1" x14ac:dyDescent="0.3">
      <c r="O42" s="696" t="s">
        <v>15234</v>
      </c>
      <c r="P42" s="696" t="s">
        <v>15235</v>
      </c>
    </row>
    <row r="43" spans="2:26" ht="29.25" thickBot="1" x14ac:dyDescent="0.5">
      <c r="B43" s="915" t="s">
        <v>16181</v>
      </c>
      <c r="C43" s="916"/>
      <c r="D43" s="916"/>
      <c r="E43" s="916"/>
      <c r="F43" s="916"/>
      <c r="O43" s="696" t="s">
        <v>15236</v>
      </c>
      <c r="P43" s="696" t="s">
        <v>15237</v>
      </c>
    </row>
    <row r="44" spans="2:26" ht="28.5" x14ac:dyDescent="0.45">
      <c r="B44" s="887"/>
      <c r="C44" s="891"/>
      <c r="D44" s="887"/>
      <c r="E44" s="887"/>
      <c r="F44" s="887"/>
      <c r="V44" s="696" t="s">
        <v>15228</v>
      </c>
    </row>
    <row r="45" spans="2:26" ht="28.5" x14ac:dyDescent="0.25">
      <c r="B45" s="888" t="s">
        <v>3</v>
      </c>
      <c r="C45" s="892" t="s">
        <v>16177</v>
      </c>
      <c r="D45" s="888" t="s">
        <v>14948</v>
      </c>
      <c r="E45" s="888" t="s">
        <v>16176</v>
      </c>
      <c r="F45" s="894" t="s">
        <v>16204</v>
      </c>
      <c r="V45" s="696" t="s">
        <v>15240</v>
      </c>
    </row>
    <row r="46" spans="2:26" ht="28.5" x14ac:dyDescent="0.25">
      <c r="B46" s="889" t="s">
        <v>16182</v>
      </c>
      <c r="C46" s="893" t="s">
        <v>16178</v>
      </c>
      <c r="D46" s="889">
        <v>1</v>
      </c>
      <c r="E46" s="890">
        <v>1539400</v>
      </c>
      <c r="F46" s="890">
        <v>1200000</v>
      </c>
      <c r="V46" s="697" t="s">
        <v>15242</v>
      </c>
    </row>
    <row r="47" spans="2:26" ht="28.5" x14ac:dyDescent="0.25">
      <c r="B47" s="889" t="s">
        <v>16182</v>
      </c>
      <c r="C47" s="893" t="s">
        <v>16179</v>
      </c>
      <c r="D47" s="889">
        <v>2</v>
      </c>
      <c r="E47" s="890">
        <v>2386500</v>
      </c>
      <c r="F47" s="890">
        <v>2300000</v>
      </c>
      <c r="V47" s="696" t="s">
        <v>15244</v>
      </c>
    </row>
    <row r="48" spans="2:26" ht="28.5" x14ac:dyDescent="0.25">
      <c r="B48" s="889" t="s">
        <v>16182</v>
      </c>
      <c r="C48" s="893" t="s">
        <v>16180</v>
      </c>
      <c r="D48" s="889">
        <v>1</v>
      </c>
      <c r="E48" s="890">
        <v>1275000</v>
      </c>
      <c r="F48" s="890">
        <v>600000</v>
      </c>
      <c r="V48" s="698" t="s">
        <v>15246</v>
      </c>
    </row>
    <row r="49" spans="2:29" ht="28.5" x14ac:dyDescent="0.25">
      <c r="B49" s="889" t="s">
        <v>16182</v>
      </c>
      <c r="C49" s="893" t="s">
        <v>16180</v>
      </c>
      <c r="D49" s="889">
        <v>1</v>
      </c>
      <c r="E49" s="890">
        <v>2000000</v>
      </c>
      <c r="F49" s="890">
        <v>1700000</v>
      </c>
      <c r="V49" s="696" t="s">
        <v>15228</v>
      </c>
    </row>
    <row r="50" spans="2:29" ht="27.75" customHeight="1" x14ac:dyDescent="0.25">
      <c r="V50" s="696" t="s">
        <v>15230</v>
      </c>
    </row>
    <row r="51" spans="2:29" x14ac:dyDescent="0.25">
      <c r="G51" s="870"/>
      <c r="V51" s="696" t="s">
        <v>15232</v>
      </c>
    </row>
    <row r="52" spans="2:29" ht="18.75" x14ac:dyDescent="0.3">
      <c r="G52" s="884" t="s">
        <v>16072</v>
      </c>
      <c r="V52" s="699">
        <v>1397</v>
      </c>
    </row>
    <row r="53" spans="2:29" ht="18.75" x14ac:dyDescent="0.25">
      <c r="F53" s="696" t="s">
        <v>15238</v>
      </c>
      <c r="G53" s="28">
        <v>360000</v>
      </c>
      <c r="V53" s="696" t="s">
        <v>15235</v>
      </c>
    </row>
    <row r="54" spans="2:29" ht="18.75" x14ac:dyDescent="0.25">
      <c r="F54" s="696" t="s">
        <v>15239</v>
      </c>
      <c r="G54" s="28">
        <v>135000</v>
      </c>
      <c r="V54" s="696" t="s">
        <v>15237</v>
      </c>
    </row>
    <row r="55" spans="2:29" ht="18.75" x14ac:dyDescent="0.25">
      <c r="F55" s="696" t="s">
        <v>15241</v>
      </c>
      <c r="G55" s="44">
        <v>135000</v>
      </c>
      <c r="H55" s="870"/>
      <c r="P55" s="870"/>
      <c r="Q55" s="870"/>
      <c r="R55" s="871"/>
      <c r="S55" s="871"/>
      <c r="T55" s="871"/>
    </row>
    <row r="56" spans="2:29" ht="56.25" x14ac:dyDescent="0.35">
      <c r="F56" s="696" t="s">
        <v>15243</v>
      </c>
      <c r="G56" s="883"/>
      <c r="H56" s="884" t="s">
        <v>16073</v>
      </c>
      <c r="O56" s="813" t="s">
        <v>16075</v>
      </c>
      <c r="P56" s="813" t="s">
        <v>16072</v>
      </c>
      <c r="Q56" s="50" t="s">
        <v>16228</v>
      </c>
      <c r="R56" s="49" t="s">
        <v>14435</v>
      </c>
      <c r="S56" s="813" t="s">
        <v>16073</v>
      </c>
      <c r="T56" s="895" t="s">
        <v>11311</v>
      </c>
      <c r="U56" s="896"/>
      <c r="X56" s="291"/>
      <c r="Z56"/>
      <c r="AC56" s="291"/>
    </row>
    <row r="57" spans="2:29" ht="27.75" customHeight="1" x14ac:dyDescent="0.25">
      <c r="F57" s="696" t="s">
        <v>15245</v>
      </c>
      <c r="H57" s="28">
        <f>G53*15%</f>
        <v>54000</v>
      </c>
      <c r="O57" s="877" t="s">
        <v>16069</v>
      </c>
      <c r="P57" s="28">
        <v>360000</v>
      </c>
      <c r="Q57" s="28">
        <f>P57*7%</f>
        <v>25200.000000000004</v>
      </c>
      <c r="R57" s="28">
        <f>P57-Q57</f>
        <v>334800</v>
      </c>
      <c r="S57" s="28">
        <f>R57*15%</f>
        <v>50220</v>
      </c>
      <c r="T57" s="28">
        <f>S57+R57</f>
        <v>385020</v>
      </c>
      <c r="U57" s="479"/>
      <c r="X57" s="291"/>
      <c r="Z57"/>
      <c r="AC57" s="291"/>
    </row>
    <row r="58" spans="2:29" ht="27.75" customHeight="1" x14ac:dyDescent="0.25">
      <c r="F58" s="696" t="s">
        <v>15227</v>
      </c>
      <c r="H58" s="28">
        <f>G54*15%</f>
        <v>20250</v>
      </c>
      <c r="O58" s="877" t="s">
        <v>16070</v>
      </c>
      <c r="P58" s="28">
        <v>135000</v>
      </c>
      <c r="Q58" s="28">
        <f t="shared" ref="Q58:Q59" si="8">P58*7%</f>
        <v>9450</v>
      </c>
      <c r="R58" s="28">
        <f t="shared" ref="R58:R59" si="9">P58-Q58</f>
        <v>125550</v>
      </c>
      <c r="S58" s="28">
        <f>R58*15%</f>
        <v>18832.5</v>
      </c>
      <c r="T58" s="28">
        <f>S58+R58</f>
        <v>144382.5</v>
      </c>
      <c r="U58" s="479"/>
      <c r="X58" s="291"/>
      <c r="Z58"/>
      <c r="AC58" s="291"/>
    </row>
    <row r="59" spans="2:29" ht="27.75" customHeight="1" x14ac:dyDescent="0.25">
      <c r="F59" s="696" t="s">
        <v>15229</v>
      </c>
      <c r="H59" s="28">
        <f>G55*15%</f>
        <v>20250</v>
      </c>
      <c r="O59" s="877" t="s">
        <v>16071</v>
      </c>
      <c r="P59" s="28">
        <v>135000</v>
      </c>
      <c r="Q59" s="28">
        <f t="shared" si="8"/>
        <v>9450</v>
      </c>
      <c r="R59" s="28">
        <f t="shared" si="9"/>
        <v>125550</v>
      </c>
      <c r="S59" s="28">
        <f>R59*15%</f>
        <v>18832.5</v>
      </c>
      <c r="T59" s="28">
        <f>S59+R59</f>
        <v>144382.5</v>
      </c>
      <c r="U59" s="479"/>
      <c r="X59" s="291"/>
      <c r="Z59"/>
      <c r="AC59" s="291"/>
    </row>
    <row r="60" spans="2:29" ht="21" x14ac:dyDescent="0.35">
      <c r="F60" s="696" t="s">
        <v>15231</v>
      </c>
      <c r="G60" s="884" t="s">
        <v>16072</v>
      </c>
      <c r="H60" s="883"/>
      <c r="O60" s="928" t="s">
        <v>16074</v>
      </c>
      <c r="P60" s="929"/>
      <c r="Q60" s="929"/>
      <c r="R60" s="929"/>
      <c r="S60" s="930"/>
      <c r="T60" s="876">
        <f>SUM(T57:T59)</f>
        <v>673785</v>
      </c>
      <c r="U60"/>
      <c r="V60" s="291"/>
      <c r="Z60"/>
      <c r="AA60" s="291"/>
    </row>
    <row r="61" spans="2:29" ht="18.75" x14ac:dyDescent="0.25">
      <c r="F61" s="696" t="s">
        <v>15233</v>
      </c>
      <c r="G61" s="32" t="s">
        <v>16094</v>
      </c>
      <c r="O61" s="875"/>
      <c r="R61" s="2"/>
      <c r="S61" s="2"/>
      <c r="T61" s="2"/>
    </row>
    <row r="62" spans="2:29" ht="18.75" x14ac:dyDescent="0.25">
      <c r="F62" s="696" t="s">
        <v>15234</v>
      </c>
      <c r="G62" s="32" t="s">
        <v>16097</v>
      </c>
      <c r="R62" s="2"/>
      <c r="S62" s="2"/>
      <c r="T62" s="2"/>
    </row>
    <row r="63" spans="2:29" ht="18.75" x14ac:dyDescent="0.25">
      <c r="F63" s="696" t="s">
        <v>15236</v>
      </c>
      <c r="G63" s="881">
        <v>1265000</v>
      </c>
      <c r="R63" s="2"/>
      <c r="S63" s="2"/>
      <c r="T63" s="2"/>
    </row>
    <row r="64" spans="2:29" ht="26.25" x14ac:dyDescent="0.4">
      <c r="G64" s="881">
        <v>948750</v>
      </c>
      <c r="H64" s="884" t="s">
        <v>16073</v>
      </c>
      <c r="O64" s="902" t="s">
        <v>16281</v>
      </c>
      <c r="P64" s="902" t="s">
        <v>16271</v>
      </c>
      <c r="Q64" s="902" t="s">
        <v>16280</v>
      </c>
      <c r="R64" s="879"/>
      <c r="S64" s="896"/>
      <c r="T64" s="896"/>
    </row>
    <row r="65" spans="6:20" ht="26.25" x14ac:dyDescent="0.25">
      <c r="G65" s="881">
        <f>G63-G64</f>
        <v>316250</v>
      </c>
      <c r="H65" s="28" t="e">
        <f>G61*15%</f>
        <v>#VALUE!</v>
      </c>
      <c r="O65" s="903" t="s">
        <v>16270</v>
      </c>
      <c r="P65" s="904" t="s">
        <v>16272</v>
      </c>
      <c r="Q65" s="905" t="s">
        <v>16279</v>
      </c>
      <c r="R65" s="28"/>
      <c r="S65" s="479"/>
      <c r="T65" s="479"/>
    </row>
    <row r="66" spans="6:20" ht="26.25" x14ac:dyDescent="0.35">
      <c r="G66" s="883"/>
      <c r="H66" s="28" t="e">
        <f>G62*15%</f>
        <v>#VALUE!</v>
      </c>
      <c r="O66" s="903" t="s">
        <v>16273</v>
      </c>
      <c r="P66" s="904" t="s">
        <v>16275</v>
      </c>
      <c r="Q66" s="905" t="s">
        <v>16277</v>
      </c>
      <c r="R66" s="28"/>
      <c r="S66" s="479"/>
      <c r="T66" s="479"/>
    </row>
    <row r="67" spans="6:20" ht="26.25" x14ac:dyDescent="0.25">
      <c r="G67">
        <f>G63/4</f>
        <v>316250</v>
      </c>
      <c r="H67" s="28">
        <f>G63*15%</f>
        <v>189750</v>
      </c>
      <c r="O67" s="903" t="s">
        <v>16274</v>
      </c>
      <c r="P67" s="906" t="s">
        <v>16276</v>
      </c>
      <c r="Q67" s="905" t="s">
        <v>16278</v>
      </c>
      <c r="R67" s="28"/>
      <c r="S67" s="479"/>
      <c r="T67" s="479"/>
    </row>
    <row r="68" spans="6:20" ht="18.75" x14ac:dyDescent="0.25">
      <c r="G68">
        <f>G67*3</f>
        <v>948750</v>
      </c>
      <c r="H68" s="28"/>
      <c r="O68" s="877"/>
      <c r="P68" s="881"/>
      <c r="Q68" s="28"/>
      <c r="R68" s="28"/>
      <c r="S68" s="479"/>
      <c r="T68" s="479"/>
    </row>
    <row r="69" spans="6:20" ht="18.75" x14ac:dyDescent="0.25">
      <c r="H69" s="28"/>
      <c r="O69" s="877"/>
      <c r="P69" s="881"/>
      <c r="Q69" s="28"/>
      <c r="R69" s="28"/>
      <c r="S69" s="479"/>
      <c r="T69" s="479"/>
    </row>
    <row r="70" spans="6:20" ht="21" x14ac:dyDescent="0.35">
      <c r="H70" s="883"/>
      <c r="O70" s="922"/>
      <c r="P70" s="922"/>
      <c r="Q70" s="922"/>
      <c r="R70" s="876"/>
      <c r="S70" s="897"/>
      <c r="T70" s="897"/>
    </row>
    <row r="71" spans="6:20" x14ac:dyDescent="0.25">
      <c r="P71" t="e">
        <f>P67/4</f>
        <v>#VALUE!</v>
      </c>
    </row>
    <row r="72" spans="6:20" x14ac:dyDescent="0.25">
      <c r="G72">
        <v>817000</v>
      </c>
      <c r="P72" t="e">
        <f>P71*3</f>
        <v>#VALUE!</v>
      </c>
    </row>
    <row r="73" spans="6:20" x14ac:dyDescent="0.25">
      <c r="G73">
        <v>731000</v>
      </c>
    </row>
    <row r="75" spans="6:20" x14ac:dyDescent="0.25">
      <c r="G75">
        <v>1539400</v>
      </c>
    </row>
    <row r="76" spans="6:20" ht="18.75" x14ac:dyDescent="0.3">
      <c r="F76" s="884" t="s">
        <v>16075</v>
      </c>
      <c r="G76">
        <v>2386500</v>
      </c>
      <c r="O76">
        <v>1</v>
      </c>
      <c r="P76">
        <v>817000</v>
      </c>
    </row>
    <row r="77" spans="6:20" ht="18.75" x14ac:dyDescent="0.25">
      <c r="F77" s="877" t="s">
        <v>16069</v>
      </c>
      <c r="O77">
        <v>2</v>
      </c>
      <c r="P77">
        <v>731000</v>
      </c>
    </row>
    <row r="78" spans="6:20" ht="18.75" x14ac:dyDescent="0.25">
      <c r="F78" s="877" t="s">
        <v>16070</v>
      </c>
    </row>
    <row r="79" spans="6:20" ht="18.75" x14ac:dyDescent="0.25">
      <c r="F79" s="877" t="s">
        <v>16071</v>
      </c>
      <c r="O79">
        <v>1</v>
      </c>
      <c r="P79">
        <v>1539400</v>
      </c>
    </row>
    <row r="80" spans="6:20" ht="21" x14ac:dyDescent="0.35">
      <c r="F80" s="883" t="s">
        <v>16074</v>
      </c>
      <c r="O80">
        <v>2</v>
      </c>
      <c r="P80">
        <v>2386500</v>
      </c>
    </row>
    <row r="81" spans="6:20" ht="18.75" x14ac:dyDescent="0.25">
      <c r="F81" s="875"/>
    </row>
    <row r="84" spans="6:20" ht="18.75" x14ac:dyDescent="0.3">
      <c r="F84" s="884" t="s">
        <v>16075</v>
      </c>
    </row>
    <row r="85" spans="6:20" ht="18.75" x14ac:dyDescent="0.25">
      <c r="F85" s="877" t="s">
        <v>16093</v>
      </c>
      <c r="R85" s="2"/>
      <c r="S85" s="2"/>
      <c r="T85" s="2"/>
    </row>
    <row r="86" spans="6:20" ht="18.75" x14ac:dyDescent="0.25">
      <c r="F86" s="877" t="s">
        <v>16095</v>
      </c>
      <c r="R86" s="2">
        <f>36080/19</f>
        <v>1898.9473684210527</v>
      </c>
      <c r="S86" s="2"/>
      <c r="T86" s="2"/>
    </row>
    <row r="87" spans="6:20" ht="18.75" x14ac:dyDescent="0.25">
      <c r="F87" s="877" t="s">
        <v>8196</v>
      </c>
      <c r="R87" s="2">
        <f>R86*10%</f>
        <v>189.89473684210529</v>
      </c>
      <c r="S87" s="2"/>
      <c r="T87" s="2"/>
    </row>
    <row r="88" spans="6:20" ht="18.75" x14ac:dyDescent="0.25">
      <c r="F88" s="877" t="s">
        <v>8193</v>
      </c>
      <c r="R88" s="2">
        <f>R86-R87</f>
        <v>1709.0526315789475</v>
      </c>
      <c r="S88" s="2"/>
      <c r="T88" s="2"/>
    </row>
    <row r="89" spans="6:20" ht="18.75" x14ac:dyDescent="0.25">
      <c r="F89" s="877" t="s">
        <v>16096</v>
      </c>
      <c r="R89" s="2">
        <f>R88*1.18</f>
        <v>2016.6821052631581</v>
      </c>
      <c r="S89" s="2"/>
      <c r="T89" s="2"/>
    </row>
    <row r="90" spans="6:20" ht="21" x14ac:dyDescent="0.35">
      <c r="F90" s="883" t="s">
        <v>16074</v>
      </c>
      <c r="R90" s="2"/>
      <c r="S90" s="2"/>
      <c r="T90" s="2"/>
    </row>
    <row r="91" spans="6:20" x14ac:dyDescent="0.25">
      <c r="R91" s="2"/>
      <c r="S91" s="2"/>
      <c r="T91" s="2"/>
    </row>
    <row r="92" spans="6:20" x14ac:dyDescent="0.25">
      <c r="R92" s="2">
        <v>1396.421052631579</v>
      </c>
      <c r="S92" s="2"/>
      <c r="T92" s="2"/>
    </row>
    <row r="93" spans="6:20" x14ac:dyDescent="0.25">
      <c r="R93" s="2">
        <f>R92*10%</f>
        <v>139.6421052631579</v>
      </c>
      <c r="S93" s="2"/>
      <c r="T93" s="2"/>
    </row>
    <row r="94" spans="6:20" x14ac:dyDescent="0.25">
      <c r="R94" s="2">
        <f>R92-R93</f>
        <v>1256.7789473684211</v>
      </c>
      <c r="S94" s="2"/>
      <c r="T94" s="2"/>
    </row>
    <row r="95" spans="6:20" x14ac:dyDescent="0.25">
      <c r="R95" s="2">
        <f>R94*1.18</f>
        <v>1482.9991578947368</v>
      </c>
      <c r="S95" s="2"/>
      <c r="T95" s="2"/>
    </row>
    <row r="96" spans="6:20" x14ac:dyDescent="0.25">
      <c r="F96">
        <v>1</v>
      </c>
    </row>
    <row r="97" spans="6:6" x14ac:dyDescent="0.25">
      <c r="F97">
        <v>2</v>
      </c>
    </row>
    <row r="99" spans="6:6" x14ac:dyDescent="0.25">
      <c r="F99">
        <v>1</v>
      </c>
    </row>
    <row r="100" spans="6:6" x14ac:dyDescent="0.25">
      <c r="F100">
        <v>2</v>
      </c>
    </row>
  </sheetData>
  <mergeCells count="15">
    <mergeCell ref="O70:Q70"/>
    <mergeCell ref="R6:V6"/>
    <mergeCell ref="U18:W18"/>
    <mergeCell ref="N13:O13"/>
    <mergeCell ref="O60:S60"/>
    <mergeCell ref="M5:P5"/>
    <mergeCell ref="B2:F3"/>
    <mergeCell ref="B21:F22"/>
    <mergeCell ref="B24:F24"/>
    <mergeCell ref="B31:F31"/>
    <mergeCell ref="F36:F37"/>
    <mergeCell ref="B5:F5"/>
    <mergeCell ref="B12:F12"/>
    <mergeCell ref="B40:F41"/>
    <mergeCell ref="B43:F43"/>
  </mergeCells>
  <hyperlinks>
    <hyperlink ref="V48" r:id="rId1" xr:uid="{C712F538-B0A8-4518-9819-55494258D8F8}"/>
    <hyperlink ref="P37" r:id="rId2" xr:uid="{9074F0B9-2375-4602-9316-5E4DE832F34F}"/>
    <hyperlink ref="G33" r:id="rId3" xr:uid="{06E3A0A5-8C23-4636-AB6A-C10A7DBB0803}"/>
  </hyperlinks>
  <pageMargins left="0.7" right="0.7" top="0.75" bottom="0.75" header="0.3" footer="0.3"/>
  <pageSetup scale="69" orientation="portrait" horizontalDpi="4294967295" verticalDpi="4294967295" r:id="rId4"/>
  <rowBreaks count="1" manualBreakCount="1">
    <brk id="37" max="16383" man="1"/>
  </rowBreaks>
  <colBreaks count="1" manualBreakCount="1">
    <brk id="6" max="1048575" man="1"/>
  </colBreaks>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644"/>
  <sheetViews>
    <sheetView zoomScale="115" zoomScaleNormal="115" workbookViewId="0">
      <pane ySplit="1" topLeftCell="A616" activePane="bottomLeft" state="frozen"/>
      <selection activeCell="D6707" sqref="D6707"/>
      <selection pane="bottomLeft" activeCell="C630" sqref="C630"/>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11465</v>
      </c>
      <c r="E142" s="302">
        <v>5000</v>
      </c>
    </row>
    <row r="143" spans="1:5" x14ac:dyDescent="0.25">
      <c r="A143" s="487">
        <v>45099</v>
      </c>
      <c r="B143" s="292" t="s">
        <v>9895</v>
      </c>
      <c r="C143" s="454"/>
      <c r="D143" s="292" t="s">
        <v>11466</v>
      </c>
      <c r="E143" s="302">
        <v>3000</v>
      </c>
    </row>
    <row r="144" spans="1:5" x14ac:dyDescent="0.25">
      <c r="A144" s="487">
        <v>45099</v>
      </c>
      <c r="B144" s="292" t="s">
        <v>9895</v>
      </c>
      <c r="C144" s="454"/>
      <c r="D144" s="292" t="s">
        <v>11467</v>
      </c>
      <c r="E144" s="302">
        <v>2000</v>
      </c>
    </row>
    <row r="145" spans="1:15" x14ac:dyDescent="0.25">
      <c r="A145" s="487">
        <v>45099</v>
      </c>
      <c r="B145" s="292" t="s">
        <v>9895</v>
      </c>
      <c r="C145" s="454"/>
      <c r="D145" s="292" t="s">
        <v>11468</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11466</v>
      </c>
      <c r="E148" s="302">
        <v>2000</v>
      </c>
    </row>
    <row r="149" spans="1:15" x14ac:dyDescent="0.25">
      <c r="A149" s="487">
        <v>45103</v>
      </c>
      <c r="B149" s="292" t="s">
        <v>9895</v>
      </c>
      <c r="C149" s="454"/>
      <c r="D149" s="292" t="s">
        <v>11539</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11642</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11783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11816</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11933</v>
      </c>
      <c r="E210" s="302">
        <v>9000</v>
      </c>
    </row>
    <row r="211" spans="1:5" x14ac:dyDescent="0.25">
      <c r="A211" s="487">
        <v>45155</v>
      </c>
      <c r="B211" s="292" t="s">
        <v>9895</v>
      </c>
      <c r="C211" s="454"/>
      <c r="D211" s="292" t="s">
        <v>11934</v>
      </c>
      <c r="E211" s="302">
        <v>15000</v>
      </c>
    </row>
    <row r="212" spans="1:5" x14ac:dyDescent="0.25">
      <c r="A212" s="487">
        <v>45155</v>
      </c>
      <c r="B212" s="292" t="s">
        <v>9895</v>
      </c>
      <c r="C212" s="454"/>
      <c r="D212" s="292" t="s">
        <v>11935</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11955</v>
      </c>
      <c r="E215" s="302">
        <v>34165</v>
      </c>
    </row>
    <row r="216" spans="1:5" x14ac:dyDescent="0.25">
      <c r="A216" s="487">
        <v>45157</v>
      </c>
      <c r="B216" s="292" t="s">
        <v>9895</v>
      </c>
      <c r="C216" s="454"/>
      <c r="D216" s="292" t="s">
        <v>11956</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12110</v>
      </c>
      <c r="E235" s="302">
        <v>1600</v>
      </c>
    </row>
    <row r="236" spans="1:5" x14ac:dyDescent="0.25">
      <c r="A236" s="487">
        <v>45180</v>
      </c>
      <c r="B236" s="292" t="s">
        <v>8573</v>
      </c>
      <c r="C236" s="454"/>
      <c r="D236" s="292" t="s">
        <v>12111</v>
      </c>
      <c r="E236" s="302">
        <v>800</v>
      </c>
    </row>
    <row r="237" spans="1:5" x14ac:dyDescent="0.25">
      <c r="A237" s="487">
        <v>45180</v>
      </c>
      <c r="B237" s="292" t="s">
        <v>8573</v>
      </c>
      <c r="C237" s="454"/>
      <c r="D237" s="292" t="s">
        <v>12111</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12171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12173</v>
      </c>
      <c r="E244" s="302">
        <v>500</v>
      </c>
    </row>
    <row r="245" spans="1:5" x14ac:dyDescent="0.25">
      <c r="A245" s="487">
        <v>45188</v>
      </c>
      <c r="B245" s="292" t="s">
        <v>9897</v>
      </c>
      <c r="C245" s="454"/>
      <c r="D245" s="292" t="s">
        <v>12184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12184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12249</v>
      </c>
      <c r="E253" s="302">
        <v>2000</v>
      </c>
    </row>
    <row r="254" spans="1:5" x14ac:dyDescent="0.25">
      <c r="A254" s="487">
        <v>45201</v>
      </c>
      <c r="B254" s="292" t="s">
        <v>445</v>
      </c>
      <c r="C254" s="454"/>
      <c r="D254" s="292" t="s">
        <v>12257</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12258</v>
      </c>
      <c r="E256" s="302">
        <v>3000</v>
      </c>
    </row>
    <row r="257" spans="1:5" x14ac:dyDescent="0.25">
      <c r="A257" s="487">
        <v>45201</v>
      </c>
      <c r="B257" s="292" t="s">
        <v>9895</v>
      </c>
      <c r="C257" s="454"/>
      <c r="D257" s="292" t="s">
        <v>12263</v>
      </c>
      <c r="E257" s="302">
        <v>-126</v>
      </c>
    </row>
    <row r="258" spans="1:5" x14ac:dyDescent="0.25">
      <c r="A258" s="487">
        <v>45201</v>
      </c>
      <c r="B258" s="292" t="s">
        <v>9895</v>
      </c>
      <c r="C258" s="454"/>
      <c r="D258" s="292" t="s">
        <v>12261</v>
      </c>
      <c r="E258" s="302">
        <v>18500</v>
      </c>
    </row>
    <row r="259" spans="1:5" x14ac:dyDescent="0.25">
      <c r="A259" s="487">
        <v>45201</v>
      </c>
      <c r="B259" s="292" t="s">
        <v>9895</v>
      </c>
      <c r="C259" s="454"/>
      <c r="D259" s="292" t="s">
        <v>12262</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11933</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12328</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12358</v>
      </c>
      <c r="E270" s="302">
        <v>10000</v>
      </c>
    </row>
    <row r="271" spans="1:5" x14ac:dyDescent="0.25">
      <c r="A271" s="487">
        <v>45214</v>
      </c>
      <c r="B271" s="292" t="s">
        <v>9895</v>
      </c>
      <c r="C271" s="454"/>
      <c r="D271" s="292" t="s">
        <v>12383</v>
      </c>
      <c r="E271" s="302">
        <v>20000</v>
      </c>
    </row>
    <row r="272" spans="1:5" x14ac:dyDescent="0.25">
      <c r="A272" s="487">
        <v>45214</v>
      </c>
      <c r="B272" s="292" t="s">
        <v>445</v>
      </c>
      <c r="C272" s="454"/>
      <c r="D272" s="292" t="s">
        <v>12387</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12416</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12420</v>
      </c>
      <c r="E277" s="302">
        <v>2000</v>
      </c>
    </row>
    <row r="278" spans="1:5" x14ac:dyDescent="0.25">
      <c r="A278" s="487">
        <v>45223</v>
      </c>
      <c r="B278" s="292" t="s">
        <v>5162</v>
      </c>
      <c r="C278" s="454"/>
      <c r="D278" s="292" t="s">
        <v>12421</v>
      </c>
      <c r="E278" s="302">
        <v>-2000</v>
      </c>
    </row>
    <row r="279" spans="1:5" x14ac:dyDescent="0.25">
      <c r="A279" s="487">
        <v>45223</v>
      </c>
      <c r="B279" s="292" t="s">
        <v>107</v>
      </c>
      <c r="C279" s="454"/>
      <c r="D279" s="292" t="s">
        <v>12416</v>
      </c>
      <c r="E279" s="302">
        <v>-1000</v>
      </c>
    </row>
    <row r="280" spans="1:5" x14ac:dyDescent="0.25">
      <c r="A280" s="487">
        <v>45223</v>
      </c>
      <c r="B280" s="292" t="s">
        <v>5162</v>
      </c>
      <c r="C280" s="454"/>
      <c r="D280" s="292" t="s">
        <v>12416</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11933</v>
      </c>
      <c r="E282" s="302">
        <v>20000</v>
      </c>
    </row>
    <row r="283" spans="1:5" x14ac:dyDescent="0.25">
      <c r="A283" s="487">
        <v>45225</v>
      </c>
      <c r="B283" s="292" t="s">
        <v>9895</v>
      </c>
      <c r="C283" s="454"/>
      <c r="D283" s="292" t="s">
        <v>12249</v>
      </c>
      <c r="E283" s="302">
        <v>7000</v>
      </c>
    </row>
    <row r="284" spans="1:5" x14ac:dyDescent="0.25">
      <c r="A284" s="487">
        <v>45225</v>
      </c>
      <c r="B284" s="292" t="s">
        <v>9895</v>
      </c>
      <c r="C284" s="454"/>
      <c r="D284" s="292" t="s">
        <v>12434</v>
      </c>
      <c r="E284" s="302">
        <v>10000</v>
      </c>
    </row>
    <row r="285" spans="1:5" x14ac:dyDescent="0.25">
      <c r="A285" s="487">
        <v>45225</v>
      </c>
      <c r="B285" s="292" t="s">
        <v>8573</v>
      </c>
      <c r="C285" s="454"/>
      <c r="D285" s="292" t="s">
        <v>12487</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12499</v>
      </c>
      <c r="E290" s="302">
        <v>7440</v>
      </c>
    </row>
    <row r="291" spans="1:5" x14ac:dyDescent="0.25">
      <c r="A291" s="487">
        <v>45232</v>
      </c>
      <c r="B291" s="292" t="s">
        <v>445</v>
      </c>
      <c r="C291" s="454"/>
      <c r="D291" s="292" t="s">
        <v>12500</v>
      </c>
      <c r="E291" s="302">
        <v>500</v>
      </c>
    </row>
    <row r="292" spans="1:5" x14ac:dyDescent="0.25">
      <c r="A292" s="487">
        <v>45232</v>
      </c>
      <c r="B292" s="292" t="s">
        <v>445</v>
      </c>
      <c r="C292" s="454"/>
      <c r="D292" s="292" t="s">
        <v>12499</v>
      </c>
      <c r="E292" s="302">
        <v>14370</v>
      </c>
    </row>
    <row r="293" spans="1:5" x14ac:dyDescent="0.25">
      <c r="A293" s="487">
        <v>45232</v>
      </c>
      <c r="B293" s="292" t="s">
        <v>445</v>
      </c>
      <c r="C293" s="454"/>
      <c r="D293" s="292" t="s">
        <v>12499</v>
      </c>
      <c r="E293" s="302">
        <v>15360</v>
      </c>
    </row>
    <row r="294" spans="1:5" x14ac:dyDescent="0.25">
      <c r="A294" s="487">
        <v>45232</v>
      </c>
      <c r="B294" s="292" t="s">
        <v>445</v>
      </c>
      <c r="C294" s="454"/>
      <c r="D294" s="292" t="s">
        <v>12499</v>
      </c>
      <c r="E294" s="302">
        <v>18350</v>
      </c>
    </row>
    <row r="295" spans="1:5" x14ac:dyDescent="0.25">
      <c r="A295" s="487">
        <v>45232</v>
      </c>
      <c r="B295" s="292" t="s">
        <v>445</v>
      </c>
      <c r="C295" s="454"/>
      <c r="D295" s="292" t="s">
        <v>12499</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12513</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12416</v>
      </c>
      <c r="E301" s="302">
        <v>-2500</v>
      </c>
    </row>
    <row r="302" spans="1:5" x14ac:dyDescent="0.25">
      <c r="A302" s="487">
        <v>45238</v>
      </c>
      <c r="B302" s="292" t="s">
        <v>8573</v>
      </c>
      <c r="C302" s="454"/>
      <c r="D302" s="292" t="s">
        <v>12554</v>
      </c>
      <c r="E302" s="302">
        <v>964</v>
      </c>
    </row>
    <row r="303" spans="1:5" x14ac:dyDescent="0.25">
      <c r="A303" s="487">
        <v>45241</v>
      </c>
      <c r="B303" s="292" t="s">
        <v>8928</v>
      </c>
      <c r="C303" s="454"/>
      <c r="D303" s="292" t="s">
        <v>12554</v>
      </c>
      <c r="E303" s="302">
        <v>1750</v>
      </c>
    </row>
    <row r="304" spans="1:5" x14ac:dyDescent="0.25">
      <c r="A304" s="487">
        <v>45241</v>
      </c>
      <c r="B304" s="292" t="s">
        <v>8928</v>
      </c>
      <c r="C304" s="454"/>
      <c r="D304" s="292" t="s">
        <v>12554</v>
      </c>
      <c r="E304" s="302">
        <v>8000</v>
      </c>
    </row>
    <row r="305" spans="1:5" x14ac:dyDescent="0.25">
      <c r="A305" s="487">
        <v>45243</v>
      </c>
      <c r="B305" s="292" t="s">
        <v>8573</v>
      </c>
      <c r="C305" s="454"/>
      <c r="D305" s="292" t="s">
        <v>12554</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12604</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12717</v>
      </c>
      <c r="E316" s="302">
        <v>1000</v>
      </c>
    </row>
    <row r="317" spans="1:5" x14ac:dyDescent="0.25">
      <c r="A317" s="487">
        <v>45257</v>
      </c>
      <c r="B317" s="292" t="s">
        <v>156</v>
      </c>
      <c r="C317" s="454"/>
      <c r="D317" s="292" t="s">
        <v>12718</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12730</v>
      </c>
      <c r="E319" s="302">
        <v>-17000</v>
      </c>
    </row>
    <row r="320" spans="1:5" x14ac:dyDescent="0.25">
      <c r="A320" s="487">
        <v>45260</v>
      </c>
      <c r="B320" s="292" t="s">
        <v>445</v>
      </c>
      <c r="C320" s="454"/>
      <c r="D320" s="292" t="s">
        <v>12730</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12742</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12604</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12904</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12951</v>
      </c>
      <c r="E340" s="302">
        <v>7000</v>
      </c>
    </row>
    <row r="341" spans="1:5" x14ac:dyDescent="0.25">
      <c r="A341" s="487">
        <v>45299</v>
      </c>
      <c r="B341" s="292" t="s">
        <v>5162</v>
      </c>
      <c r="C341" s="454"/>
      <c r="D341" s="292" t="s">
        <v>12952</v>
      </c>
      <c r="E341" s="302">
        <v>10000</v>
      </c>
    </row>
    <row r="342" spans="1:5" x14ac:dyDescent="0.25">
      <c r="A342" s="487">
        <v>45311</v>
      </c>
      <c r="B342" s="292" t="s">
        <v>5162</v>
      </c>
      <c r="C342" s="454"/>
      <c r="D342" s="292" t="s">
        <v>12952</v>
      </c>
      <c r="E342" s="302">
        <v>4760</v>
      </c>
    </row>
    <row r="343" spans="1:5" x14ac:dyDescent="0.25">
      <c r="A343" s="487">
        <v>45311</v>
      </c>
      <c r="B343" s="292" t="s">
        <v>9897</v>
      </c>
      <c r="C343" s="454"/>
      <c r="D343" s="292" t="s">
        <v>13051</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13050</v>
      </c>
      <c r="C347" s="454"/>
      <c r="D347" s="292" t="s">
        <v>3920</v>
      </c>
      <c r="E347" s="302">
        <v>125960</v>
      </c>
    </row>
    <row r="348" spans="1:5" x14ac:dyDescent="0.25">
      <c r="A348" s="487">
        <v>45315</v>
      </c>
      <c r="B348" s="292" t="s">
        <v>445</v>
      </c>
      <c r="C348" s="454"/>
      <c r="D348" s="292" t="s">
        <v>12262</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12904</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13093</v>
      </c>
      <c r="E352" s="302">
        <v>5000</v>
      </c>
    </row>
    <row r="353" spans="1:5" x14ac:dyDescent="0.25">
      <c r="A353" s="487">
        <v>45317</v>
      </c>
      <c r="B353" s="292" t="s">
        <v>9895</v>
      </c>
      <c r="C353" s="454"/>
      <c r="D353" s="292" t="s">
        <v>12262</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12262</v>
      </c>
      <c r="E355" s="302">
        <v>5000</v>
      </c>
    </row>
    <row r="356" spans="1:5" x14ac:dyDescent="0.25">
      <c r="A356" s="487">
        <v>45317</v>
      </c>
      <c r="B356" s="292" t="s">
        <v>9895</v>
      </c>
      <c r="C356" s="454"/>
      <c r="D356" s="292" t="s">
        <v>13094</v>
      </c>
      <c r="E356" s="302">
        <v>81</v>
      </c>
    </row>
    <row r="357" spans="1:5" x14ac:dyDescent="0.25">
      <c r="A357" s="487">
        <v>45317</v>
      </c>
      <c r="B357" s="292" t="s">
        <v>445</v>
      </c>
      <c r="C357" s="454"/>
      <c r="D357" s="292" t="s">
        <v>13105</v>
      </c>
      <c r="E357" s="302">
        <v>-10000</v>
      </c>
    </row>
    <row r="358" spans="1:5" x14ac:dyDescent="0.25">
      <c r="A358" s="487">
        <v>45317</v>
      </c>
      <c r="B358" s="292" t="s">
        <v>107</v>
      </c>
      <c r="C358" s="454"/>
      <c r="D358" s="292" t="s">
        <v>3920</v>
      </c>
      <c r="E358" s="302">
        <v>5500</v>
      </c>
    </row>
    <row r="359" spans="1:5" x14ac:dyDescent="0.25">
      <c r="A359" s="487">
        <v>45318</v>
      </c>
      <c r="B359" s="292" t="s">
        <v>13050</v>
      </c>
      <c r="C359" s="454"/>
      <c r="D359" s="292" t="s">
        <v>13118</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13155</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13295</v>
      </c>
      <c r="E374" s="302">
        <v>1000</v>
      </c>
    </row>
    <row r="375" spans="1:15" x14ac:dyDescent="0.25">
      <c r="A375" s="487">
        <v>45341</v>
      </c>
      <c r="B375" s="292" t="s">
        <v>9895</v>
      </c>
      <c r="C375" s="454"/>
      <c r="D375" s="292" t="s">
        <v>13296</v>
      </c>
      <c r="E375" s="302">
        <v>1000</v>
      </c>
    </row>
    <row r="376" spans="1:15" x14ac:dyDescent="0.25">
      <c r="A376" s="487">
        <v>45341</v>
      </c>
      <c r="B376" s="292" t="s">
        <v>9895</v>
      </c>
      <c r="C376" s="454"/>
      <c r="D376" s="292" t="s">
        <v>13297</v>
      </c>
      <c r="E376" s="302">
        <v>3000</v>
      </c>
    </row>
    <row r="377" spans="1:15" x14ac:dyDescent="0.25">
      <c r="A377" s="487">
        <v>45341</v>
      </c>
      <c r="B377" s="292" t="s">
        <v>9895</v>
      </c>
      <c r="C377" s="454"/>
      <c r="D377" s="292" t="s">
        <v>13298</v>
      </c>
      <c r="E377" s="302">
        <v>500</v>
      </c>
    </row>
    <row r="378" spans="1:15" x14ac:dyDescent="0.25">
      <c r="A378" s="487">
        <v>45341</v>
      </c>
      <c r="B378" s="292" t="s">
        <v>9895</v>
      </c>
      <c r="C378" s="454"/>
      <c r="D378" s="292" t="s">
        <v>13297</v>
      </c>
      <c r="E378" s="302">
        <v>4000</v>
      </c>
    </row>
    <row r="379" spans="1:15" x14ac:dyDescent="0.25">
      <c r="A379" s="626">
        <v>45341</v>
      </c>
      <c r="B379" s="627" t="s">
        <v>9895</v>
      </c>
      <c r="C379" s="484"/>
      <c r="D379" s="627" t="s">
        <v>3920</v>
      </c>
      <c r="E379" s="485">
        <v>5100</v>
      </c>
    </row>
    <row r="380" spans="1:15" x14ac:dyDescent="0.25">
      <c r="A380" s="626">
        <v>45341</v>
      </c>
      <c r="B380" s="627" t="s">
        <v>445</v>
      </c>
      <c r="C380" s="484"/>
      <c r="D380" s="627" t="s">
        <v>13299</v>
      </c>
      <c r="E380" s="485">
        <v>-5100</v>
      </c>
      <c r="O380" s="277"/>
    </row>
    <row r="381" spans="1:15" x14ac:dyDescent="0.25">
      <c r="A381" s="626">
        <v>45341</v>
      </c>
      <c r="B381" s="292" t="s">
        <v>156</v>
      </c>
      <c r="C381" s="454"/>
      <c r="D381" s="292" t="s">
        <v>3920</v>
      </c>
      <c r="E381" s="302">
        <v>5670</v>
      </c>
      <c r="O381" s="277"/>
    </row>
    <row r="382" spans="1:15" x14ac:dyDescent="0.25">
      <c r="A382" s="626">
        <v>45353</v>
      </c>
      <c r="B382" s="292" t="s">
        <v>9897</v>
      </c>
      <c r="C382" s="454"/>
      <c r="D382" s="292" t="s">
        <v>3920</v>
      </c>
      <c r="E382" s="302">
        <v>14460</v>
      </c>
    </row>
    <row r="383" spans="1:15" x14ac:dyDescent="0.25">
      <c r="A383" s="626">
        <v>45353</v>
      </c>
      <c r="B383" s="292" t="s">
        <v>445</v>
      </c>
      <c r="C383" s="454"/>
      <c r="D383" s="292" t="s">
        <v>3920</v>
      </c>
      <c r="E383" s="302">
        <v>18480</v>
      </c>
    </row>
    <row r="384" spans="1:15" x14ac:dyDescent="0.25">
      <c r="A384" s="626">
        <v>45353</v>
      </c>
      <c r="B384" s="292" t="s">
        <v>445</v>
      </c>
      <c r="C384" s="454"/>
      <c r="D384" s="292" t="s">
        <v>3920</v>
      </c>
      <c r="E384" s="302">
        <v>7700</v>
      </c>
      <c r="O384" s="2"/>
    </row>
    <row r="385" spans="1:15" x14ac:dyDescent="0.25">
      <c r="A385" s="626">
        <v>45353</v>
      </c>
      <c r="B385" s="292" t="s">
        <v>445</v>
      </c>
      <c r="C385" s="454"/>
      <c r="D385" s="292" t="s">
        <v>3920</v>
      </c>
      <c r="E385" s="302">
        <v>135454</v>
      </c>
      <c r="O385" s="2"/>
    </row>
    <row r="386" spans="1:15" x14ac:dyDescent="0.25">
      <c r="A386" s="630">
        <v>45353</v>
      </c>
      <c r="B386" s="292" t="s">
        <v>445</v>
      </c>
      <c r="C386" s="454"/>
      <c r="D386" s="292" t="s">
        <v>3920</v>
      </c>
      <c r="E386" s="302">
        <v>690</v>
      </c>
      <c r="O386" s="2"/>
    </row>
    <row r="387" spans="1:15" x14ac:dyDescent="0.25">
      <c r="A387" s="630">
        <v>45353</v>
      </c>
      <c r="B387" s="292" t="s">
        <v>445</v>
      </c>
      <c r="C387" s="454"/>
      <c r="D387" s="292" t="s">
        <v>3920</v>
      </c>
      <c r="E387" s="302">
        <v>61440</v>
      </c>
      <c r="O387" s="2"/>
    </row>
    <row r="388" spans="1:15" x14ac:dyDescent="0.25">
      <c r="A388" s="630">
        <v>45356</v>
      </c>
      <c r="B388" s="292" t="s">
        <v>8573</v>
      </c>
      <c r="C388" s="454"/>
      <c r="D388" s="292" t="s">
        <v>3920</v>
      </c>
      <c r="E388" s="302">
        <v>12800</v>
      </c>
    </row>
    <row r="389" spans="1:15" x14ac:dyDescent="0.25">
      <c r="A389" s="630">
        <v>45356</v>
      </c>
      <c r="B389" s="292" t="s">
        <v>156</v>
      </c>
      <c r="C389" s="454"/>
      <c r="D389" s="292" t="s">
        <v>13374</v>
      </c>
      <c r="E389" s="302">
        <v>-5000</v>
      </c>
    </row>
    <row r="390" spans="1:15" x14ac:dyDescent="0.25">
      <c r="A390" s="630">
        <v>45362</v>
      </c>
      <c r="B390" s="292" t="s">
        <v>156</v>
      </c>
      <c r="C390" s="454"/>
      <c r="D390" s="292" t="s">
        <v>3920</v>
      </c>
      <c r="E390" s="302">
        <v>2800</v>
      </c>
    </row>
    <row r="391" spans="1:15" x14ac:dyDescent="0.25">
      <c r="A391" s="630">
        <v>45362</v>
      </c>
      <c r="B391" s="292" t="s">
        <v>5162</v>
      </c>
      <c r="C391" s="454"/>
      <c r="D391" s="292" t="s">
        <v>3920</v>
      </c>
      <c r="E391" s="302">
        <v>19650</v>
      </c>
    </row>
    <row r="392" spans="1:15" x14ac:dyDescent="0.25">
      <c r="A392" s="630">
        <v>45364</v>
      </c>
      <c r="B392" s="292" t="s">
        <v>13050</v>
      </c>
      <c r="C392" s="454"/>
      <c r="D392" s="292" t="s">
        <v>3920</v>
      </c>
      <c r="E392" s="302">
        <v>63240</v>
      </c>
    </row>
    <row r="393" spans="1:15" x14ac:dyDescent="0.25">
      <c r="A393" s="630">
        <v>45364</v>
      </c>
      <c r="B393" s="292" t="s">
        <v>9897</v>
      </c>
      <c r="C393" s="454"/>
      <c r="D393" s="292" t="s">
        <v>3920</v>
      </c>
      <c r="E393" s="302">
        <v>5280</v>
      </c>
    </row>
    <row r="394" spans="1:15" x14ac:dyDescent="0.25">
      <c r="A394" s="630">
        <v>45366</v>
      </c>
      <c r="B394" s="292" t="s">
        <v>445</v>
      </c>
      <c r="C394" s="454"/>
      <c r="D394" s="292" t="s">
        <v>3920</v>
      </c>
      <c r="E394" s="302">
        <v>2300</v>
      </c>
    </row>
    <row r="395" spans="1:15" x14ac:dyDescent="0.25">
      <c r="A395" s="630">
        <v>45366</v>
      </c>
      <c r="B395" s="292" t="s">
        <v>445</v>
      </c>
      <c r="C395" s="454"/>
      <c r="D395" s="292" t="s">
        <v>3920</v>
      </c>
      <c r="E395" s="302">
        <v>11790</v>
      </c>
    </row>
    <row r="396" spans="1:15" x14ac:dyDescent="0.25">
      <c r="A396" s="630">
        <v>45366</v>
      </c>
      <c r="B396" s="292" t="s">
        <v>445</v>
      </c>
      <c r="C396" s="454"/>
      <c r="D396" s="292" t="s">
        <v>3920</v>
      </c>
      <c r="E396" s="302">
        <v>193890</v>
      </c>
    </row>
    <row r="397" spans="1:15" x14ac:dyDescent="0.25">
      <c r="A397" s="630">
        <v>45366</v>
      </c>
      <c r="B397" s="292" t="s">
        <v>445</v>
      </c>
      <c r="C397" s="454"/>
      <c r="D397" s="292" t="s">
        <v>3920</v>
      </c>
      <c r="E397" s="302">
        <v>116460</v>
      </c>
    </row>
    <row r="398" spans="1:15" x14ac:dyDescent="0.25">
      <c r="A398" s="630">
        <v>45366</v>
      </c>
      <c r="B398" s="292" t="s">
        <v>445</v>
      </c>
      <c r="C398" s="484"/>
      <c r="D398" s="627" t="s">
        <v>12262</v>
      </c>
      <c r="E398" s="485">
        <v>5000</v>
      </c>
    </row>
    <row r="399" spans="1:15" x14ac:dyDescent="0.25">
      <c r="A399" s="630">
        <v>45369</v>
      </c>
      <c r="B399" s="292" t="s">
        <v>8573</v>
      </c>
      <c r="C399" s="454"/>
      <c r="D399" s="292" t="s">
        <v>13417</v>
      </c>
      <c r="E399" s="302">
        <v>10900</v>
      </c>
    </row>
    <row r="400" spans="1:15" x14ac:dyDescent="0.25">
      <c r="A400" s="630">
        <v>45376</v>
      </c>
      <c r="B400" s="292" t="s">
        <v>107</v>
      </c>
      <c r="C400" s="454"/>
      <c r="D400" s="292" t="s">
        <v>3920</v>
      </c>
      <c r="E400" s="302">
        <v>5000</v>
      </c>
    </row>
    <row r="401" spans="1:5" x14ac:dyDescent="0.25">
      <c r="A401" s="630">
        <v>45384</v>
      </c>
      <c r="B401" s="292" t="s">
        <v>445</v>
      </c>
      <c r="C401" s="454"/>
      <c r="D401" s="292" t="s">
        <v>3920</v>
      </c>
      <c r="E401" s="302">
        <v>95726</v>
      </c>
    </row>
    <row r="402" spans="1:5" x14ac:dyDescent="0.25">
      <c r="A402" s="630">
        <v>45384</v>
      </c>
      <c r="B402" s="292" t="s">
        <v>445</v>
      </c>
      <c r="C402" s="454"/>
      <c r="D402" s="292" t="s">
        <v>3920</v>
      </c>
      <c r="E402" s="302">
        <v>13040</v>
      </c>
    </row>
    <row r="403" spans="1:5" x14ac:dyDescent="0.25">
      <c r="A403" s="630">
        <v>45384</v>
      </c>
      <c r="B403" s="292" t="s">
        <v>445</v>
      </c>
      <c r="C403" s="454"/>
      <c r="D403" s="292" t="s">
        <v>3920</v>
      </c>
      <c r="E403" s="302">
        <v>3718</v>
      </c>
    </row>
    <row r="404" spans="1:5" x14ac:dyDescent="0.25">
      <c r="A404" s="630">
        <v>45384</v>
      </c>
      <c r="B404" s="292" t="s">
        <v>445</v>
      </c>
      <c r="C404" s="454"/>
      <c r="D404" s="292" t="s">
        <v>3920</v>
      </c>
      <c r="E404" s="302">
        <v>12700</v>
      </c>
    </row>
    <row r="405" spans="1:5" x14ac:dyDescent="0.25">
      <c r="A405" s="626">
        <v>45384</v>
      </c>
      <c r="B405" s="292" t="s">
        <v>445</v>
      </c>
      <c r="C405" s="484"/>
      <c r="D405" s="627" t="s">
        <v>12262</v>
      </c>
      <c r="E405" s="485">
        <v>15000</v>
      </c>
    </row>
    <row r="406" spans="1:5" x14ac:dyDescent="0.25">
      <c r="A406" s="626">
        <v>45400</v>
      </c>
      <c r="B406" s="292" t="s">
        <v>9897</v>
      </c>
      <c r="C406" s="454"/>
      <c r="D406" s="292" t="s">
        <v>3920</v>
      </c>
      <c r="E406" s="302">
        <v>4000</v>
      </c>
    </row>
    <row r="407" spans="1:5" x14ac:dyDescent="0.25">
      <c r="A407" s="626">
        <v>45407</v>
      </c>
      <c r="B407" s="292" t="s">
        <v>156</v>
      </c>
      <c r="C407" s="454"/>
      <c r="D407" s="292" t="s">
        <v>3920</v>
      </c>
      <c r="E407" s="302">
        <v>3470</v>
      </c>
    </row>
    <row r="408" spans="1:5" x14ac:dyDescent="0.25">
      <c r="A408" s="630">
        <v>45407</v>
      </c>
      <c r="B408" s="292" t="s">
        <v>445</v>
      </c>
      <c r="C408" s="454"/>
      <c r="D408" s="292" t="s">
        <v>3920</v>
      </c>
      <c r="E408" s="302">
        <v>48150</v>
      </c>
    </row>
    <row r="409" spans="1:5" x14ac:dyDescent="0.25">
      <c r="A409" s="630">
        <v>45407</v>
      </c>
      <c r="B409" s="292" t="s">
        <v>445</v>
      </c>
      <c r="C409" s="454"/>
      <c r="D409" s="292" t="s">
        <v>13547</v>
      </c>
      <c r="E409" s="302">
        <v>200000</v>
      </c>
    </row>
    <row r="410" spans="1:5" x14ac:dyDescent="0.25">
      <c r="A410" s="630">
        <v>45407</v>
      </c>
      <c r="B410" s="292" t="s">
        <v>445</v>
      </c>
      <c r="C410" s="454"/>
      <c r="D410" s="292" t="s">
        <v>13548</v>
      </c>
      <c r="E410" s="302">
        <v>30000</v>
      </c>
    </row>
    <row r="411" spans="1:5" x14ac:dyDescent="0.25">
      <c r="A411" s="630">
        <v>45407</v>
      </c>
      <c r="B411" s="292" t="s">
        <v>445</v>
      </c>
      <c r="C411" s="454"/>
      <c r="D411" s="292" t="s">
        <v>3920</v>
      </c>
      <c r="E411" s="302">
        <v>3600</v>
      </c>
    </row>
    <row r="412" spans="1:5" x14ac:dyDescent="0.25">
      <c r="A412" s="630">
        <v>45409</v>
      </c>
      <c r="B412" s="292" t="s">
        <v>9897</v>
      </c>
      <c r="C412" s="454"/>
      <c r="D412" s="292" t="s">
        <v>3920</v>
      </c>
      <c r="E412" s="302">
        <v>3500</v>
      </c>
    </row>
    <row r="413" spans="1:5" x14ac:dyDescent="0.25">
      <c r="A413" s="630">
        <v>45411</v>
      </c>
      <c r="B413" s="292" t="s">
        <v>5162</v>
      </c>
      <c r="C413" s="454"/>
      <c r="D413" s="292" t="s">
        <v>3920</v>
      </c>
      <c r="E413" s="302">
        <v>16200</v>
      </c>
    </row>
    <row r="414" spans="1:5" x14ac:dyDescent="0.25">
      <c r="A414" s="630">
        <v>45412</v>
      </c>
      <c r="B414" s="292" t="s">
        <v>9895</v>
      </c>
      <c r="C414" s="454"/>
      <c r="D414" s="292" t="s">
        <v>3920</v>
      </c>
      <c r="E414" s="302">
        <v>68880</v>
      </c>
    </row>
    <row r="415" spans="1:5" x14ac:dyDescent="0.25">
      <c r="A415" s="630">
        <v>45412</v>
      </c>
      <c r="B415" s="292" t="s">
        <v>9895</v>
      </c>
      <c r="C415" s="454"/>
      <c r="D415" s="292" t="s">
        <v>3920</v>
      </c>
      <c r="E415" s="302">
        <v>69283</v>
      </c>
    </row>
    <row r="416" spans="1:5" x14ac:dyDescent="0.25">
      <c r="A416" s="630">
        <v>45412</v>
      </c>
      <c r="B416" s="292" t="s">
        <v>9895</v>
      </c>
      <c r="C416" s="484"/>
      <c r="D416" s="292" t="s">
        <v>3920</v>
      </c>
      <c r="E416" s="485">
        <v>31160</v>
      </c>
    </row>
    <row r="417" spans="1:5" x14ac:dyDescent="0.25">
      <c r="A417" s="630">
        <v>45384</v>
      </c>
      <c r="B417" s="292" t="s">
        <v>9897</v>
      </c>
      <c r="C417" s="454"/>
      <c r="D417" s="292" t="s">
        <v>3920</v>
      </c>
      <c r="E417" s="302">
        <v>2520</v>
      </c>
    </row>
    <row r="418" spans="1:5" x14ac:dyDescent="0.25">
      <c r="A418" s="630">
        <v>45384</v>
      </c>
      <c r="B418" s="292" t="s">
        <v>8928</v>
      </c>
      <c r="C418" s="454"/>
      <c r="D418" s="292" t="s">
        <v>31</v>
      </c>
      <c r="E418" s="302">
        <v>-5000</v>
      </c>
    </row>
    <row r="419" spans="1:5" x14ac:dyDescent="0.25">
      <c r="A419" s="630">
        <v>45420</v>
      </c>
      <c r="B419" s="292" t="s">
        <v>8928</v>
      </c>
      <c r="C419" s="454"/>
      <c r="D419" s="292" t="s">
        <v>3920</v>
      </c>
      <c r="E419" s="302">
        <v>13970</v>
      </c>
    </row>
    <row r="420" spans="1:5" x14ac:dyDescent="0.25">
      <c r="A420" s="630">
        <v>45427</v>
      </c>
      <c r="B420" s="627" t="s">
        <v>156</v>
      </c>
      <c r="C420" s="484"/>
      <c r="D420" s="292" t="s">
        <v>3920</v>
      </c>
      <c r="E420" s="485">
        <v>8550</v>
      </c>
    </row>
    <row r="421" spans="1:5" x14ac:dyDescent="0.25">
      <c r="A421" s="630">
        <v>45429</v>
      </c>
      <c r="B421" s="292" t="s">
        <v>8573</v>
      </c>
      <c r="C421" s="454"/>
      <c r="D421" s="292" t="s">
        <v>13675</v>
      </c>
      <c r="E421" s="302">
        <v>50000</v>
      </c>
    </row>
    <row r="422" spans="1:5" x14ac:dyDescent="0.25">
      <c r="A422" s="630">
        <v>45429</v>
      </c>
      <c r="B422" s="292" t="s">
        <v>8573</v>
      </c>
      <c r="C422" s="454"/>
      <c r="D422" s="292" t="s">
        <v>13675</v>
      </c>
      <c r="E422" s="302">
        <v>10000</v>
      </c>
    </row>
    <row r="423" spans="1:5" x14ac:dyDescent="0.25">
      <c r="A423" s="630">
        <v>45429</v>
      </c>
      <c r="B423" s="292" t="s">
        <v>8573</v>
      </c>
      <c r="C423" s="454"/>
      <c r="D423" s="292" t="s">
        <v>11014</v>
      </c>
      <c r="E423" s="302">
        <v>-30000</v>
      </c>
    </row>
    <row r="424" spans="1:5" x14ac:dyDescent="0.25">
      <c r="A424" s="630">
        <v>45429</v>
      </c>
      <c r="B424" s="292" t="s">
        <v>8573</v>
      </c>
      <c r="C424" s="454"/>
      <c r="D424" s="292" t="s">
        <v>3920</v>
      </c>
      <c r="E424" s="302">
        <v>25725</v>
      </c>
    </row>
    <row r="425" spans="1:5" x14ac:dyDescent="0.25">
      <c r="A425" s="630">
        <v>45429</v>
      </c>
      <c r="B425" s="292" t="s">
        <v>9895</v>
      </c>
      <c r="C425" s="454"/>
      <c r="D425" s="292" t="s">
        <v>13678</v>
      </c>
      <c r="E425" s="302">
        <v>100000</v>
      </c>
    </row>
    <row r="426" spans="1:5" x14ac:dyDescent="0.25">
      <c r="A426" s="630">
        <v>45429</v>
      </c>
      <c r="B426" s="292" t="s">
        <v>9895</v>
      </c>
      <c r="C426" s="454"/>
      <c r="D426" s="292" t="s">
        <v>322</v>
      </c>
      <c r="E426" s="302">
        <v>16370</v>
      </c>
    </row>
    <row r="427" spans="1:5" x14ac:dyDescent="0.25">
      <c r="A427" s="630">
        <v>45430</v>
      </c>
      <c r="B427" s="292" t="s">
        <v>9897</v>
      </c>
      <c r="C427" s="454"/>
      <c r="D427" s="292" t="s">
        <v>3920</v>
      </c>
      <c r="E427" s="302">
        <v>7200</v>
      </c>
    </row>
    <row r="428" spans="1:5" x14ac:dyDescent="0.25">
      <c r="A428" s="630">
        <v>45433</v>
      </c>
      <c r="B428" s="627" t="s">
        <v>8573</v>
      </c>
      <c r="C428" s="484"/>
      <c r="D428" s="627" t="s">
        <v>13675</v>
      </c>
      <c r="E428" s="485">
        <v>10000</v>
      </c>
    </row>
    <row r="429" spans="1:5" x14ac:dyDescent="0.25">
      <c r="A429" s="630">
        <v>45435</v>
      </c>
      <c r="B429" s="627" t="s">
        <v>9895</v>
      </c>
      <c r="C429" s="484"/>
      <c r="D429" s="627" t="s">
        <v>3920</v>
      </c>
      <c r="E429" s="485">
        <v>60250</v>
      </c>
    </row>
    <row r="430" spans="1:5" x14ac:dyDescent="0.25">
      <c r="A430" s="630">
        <v>45435</v>
      </c>
      <c r="B430" s="627" t="s">
        <v>9895</v>
      </c>
      <c r="C430" s="484"/>
      <c r="D430" s="627" t="s">
        <v>3920</v>
      </c>
      <c r="E430" s="485">
        <v>44030</v>
      </c>
    </row>
    <row r="431" spans="1:5" x14ac:dyDescent="0.25">
      <c r="A431" s="630">
        <v>45435</v>
      </c>
      <c r="B431" s="627" t="s">
        <v>9895</v>
      </c>
      <c r="C431" s="454"/>
      <c r="D431" s="627" t="s">
        <v>13374</v>
      </c>
      <c r="E431" s="302">
        <v>-10000</v>
      </c>
    </row>
    <row r="432" spans="1:5" x14ac:dyDescent="0.25">
      <c r="A432" s="630">
        <v>45435</v>
      </c>
      <c r="B432" s="627" t="s">
        <v>445</v>
      </c>
      <c r="C432" s="484"/>
      <c r="D432" s="627" t="s">
        <v>13713</v>
      </c>
      <c r="E432" s="485">
        <v>10000</v>
      </c>
    </row>
    <row r="433" spans="1:5" x14ac:dyDescent="0.25">
      <c r="A433" s="630">
        <v>45436</v>
      </c>
      <c r="B433" s="292" t="s">
        <v>445</v>
      </c>
      <c r="C433" s="454"/>
      <c r="D433" s="292" t="s">
        <v>3920</v>
      </c>
      <c r="E433" s="302">
        <v>54700</v>
      </c>
    </row>
    <row r="434" spans="1:5" x14ac:dyDescent="0.25">
      <c r="A434" s="630">
        <v>45436</v>
      </c>
      <c r="B434" s="292" t="s">
        <v>445</v>
      </c>
      <c r="C434" s="454"/>
      <c r="D434" s="292" t="s">
        <v>3920</v>
      </c>
      <c r="E434" s="302">
        <v>149717</v>
      </c>
    </row>
    <row r="435" spans="1:5" x14ac:dyDescent="0.25">
      <c r="A435" s="630">
        <v>45436</v>
      </c>
      <c r="B435" s="292" t="s">
        <v>445</v>
      </c>
      <c r="C435" s="454"/>
      <c r="D435" s="292" t="s">
        <v>3920</v>
      </c>
      <c r="E435" s="302">
        <v>49879</v>
      </c>
    </row>
    <row r="436" spans="1:5" x14ac:dyDescent="0.25">
      <c r="A436" s="630">
        <v>45436</v>
      </c>
      <c r="B436" s="292" t="s">
        <v>445</v>
      </c>
      <c r="C436" s="454"/>
      <c r="D436" s="292" t="s">
        <v>13726</v>
      </c>
      <c r="E436" s="302">
        <v>71000</v>
      </c>
    </row>
    <row r="437" spans="1:5" x14ac:dyDescent="0.25">
      <c r="A437" s="630">
        <v>45436</v>
      </c>
      <c r="B437" s="627" t="s">
        <v>445</v>
      </c>
      <c r="C437" s="484"/>
      <c r="D437" s="627" t="s">
        <v>3920</v>
      </c>
      <c r="E437" s="485">
        <v>83250</v>
      </c>
    </row>
    <row r="438" spans="1:5" x14ac:dyDescent="0.25">
      <c r="A438" s="630">
        <v>45442</v>
      </c>
      <c r="B438" s="292" t="s">
        <v>8928</v>
      </c>
      <c r="C438" s="454"/>
      <c r="D438" s="292" t="s">
        <v>3920</v>
      </c>
      <c r="E438" s="302">
        <v>7500</v>
      </c>
    </row>
    <row r="439" spans="1:5" x14ac:dyDescent="0.25">
      <c r="A439" s="630">
        <v>45437</v>
      </c>
      <c r="B439" s="627" t="s">
        <v>445</v>
      </c>
      <c r="C439" s="484"/>
      <c r="D439" s="627" t="s">
        <v>13750</v>
      </c>
      <c r="E439" s="485">
        <v>-50000</v>
      </c>
    </row>
    <row r="440" spans="1:5" x14ac:dyDescent="0.25">
      <c r="A440" s="630">
        <v>45442</v>
      </c>
      <c r="B440" s="627" t="s">
        <v>445</v>
      </c>
      <c r="C440" s="454"/>
      <c r="D440" s="292" t="s">
        <v>13751</v>
      </c>
      <c r="E440" s="302">
        <v>3000</v>
      </c>
    </row>
    <row r="441" spans="1:5" x14ac:dyDescent="0.25">
      <c r="A441" s="630">
        <v>45443</v>
      </c>
      <c r="B441" s="292" t="s">
        <v>156</v>
      </c>
      <c r="C441" s="454"/>
      <c r="D441" s="292" t="s">
        <v>3920</v>
      </c>
      <c r="E441" s="302">
        <v>4870</v>
      </c>
    </row>
    <row r="442" spans="1:5" x14ac:dyDescent="0.25">
      <c r="A442" s="630">
        <v>45444</v>
      </c>
      <c r="B442" s="627" t="s">
        <v>445</v>
      </c>
      <c r="C442" s="484"/>
      <c r="D442" s="627" t="s">
        <v>13750</v>
      </c>
      <c r="E442" s="485">
        <v>-100000</v>
      </c>
    </row>
    <row r="443" spans="1:5" x14ac:dyDescent="0.25">
      <c r="A443" s="630">
        <v>45447</v>
      </c>
      <c r="B443" s="292" t="s">
        <v>5162</v>
      </c>
      <c r="C443" s="454"/>
      <c r="D443" s="292" t="s">
        <v>3920</v>
      </c>
      <c r="E443" s="302">
        <v>15540</v>
      </c>
    </row>
    <row r="444" spans="1:5" x14ac:dyDescent="0.25">
      <c r="A444" s="630">
        <v>45453</v>
      </c>
      <c r="B444" s="292" t="s">
        <v>8573</v>
      </c>
      <c r="C444" s="454"/>
      <c r="D444" s="292" t="s">
        <v>9457</v>
      </c>
      <c r="E444" s="302">
        <v>10000</v>
      </c>
    </row>
    <row r="445" spans="1:5" x14ac:dyDescent="0.25">
      <c r="A445" s="630">
        <v>45467</v>
      </c>
      <c r="B445" s="292" t="s">
        <v>156</v>
      </c>
      <c r="C445" s="454"/>
      <c r="D445" s="292" t="s">
        <v>11174</v>
      </c>
      <c r="E445" s="302">
        <v>3800</v>
      </c>
    </row>
    <row r="446" spans="1:5" x14ac:dyDescent="0.25">
      <c r="A446" s="630">
        <v>45467</v>
      </c>
      <c r="B446" s="292" t="s">
        <v>445</v>
      </c>
      <c r="C446" s="454"/>
      <c r="D446" s="292" t="s">
        <v>13885</v>
      </c>
      <c r="E446" s="302">
        <v>-50000</v>
      </c>
    </row>
    <row r="447" spans="1:5" x14ac:dyDescent="0.25">
      <c r="A447" s="630">
        <v>45467</v>
      </c>
      <c r="B447" s="292" t="s">
        <v>445</v>
      </c>
      <c r="C447" s="454"/>
      <c r="D447" s="292" t="s">
        <v>13885</v>
      </c>
      <c r="E447" s="302">
        <v>-30000</v>
      </c>
    </row>
    <row r="448" spans="1:5" x14ac:dyDescent="0.25">
      <c r="A448" s="630">
        <v>45470</v>
      </c>
      <c r="B448" s="292" t="s">
        <v>445</v>
      </c>
      <c r="C448" s="454"/>
      <c r="D448" s="292" t="s">
        <v>13885</v>
      </c>
      <c r="E448" s="302">
        <v>-30000</v>
      </c>
    </row>
    <row r="449" spans="1:5" x14ac:dyDescent="0.25">
      <c r="A449" s="630">
        <v>45472</v>
      </c>
      <c r="B449" s="292" t="s">
        <v>445</v>
      </c>
      <c r="C449" s="454"/>
      <c r="D449" s="292" t="s">
        <v>13885</v>
      </c>
      <c r="E449" s="302">
        <v>-25000</v>
      </c>
    </row>
    <row r="450" spans="1:5" x14ac:dyDescent="0.25">
      <c r="A450" s="630">
        <v>45472</v>
      </c>
      <c r="B450" s="292" t="s">
        <v>445</v>
      </c>
      <c r="C450" s="454"/>
      <c r="D450" s="292" t="s">
        <v>13917</v>
      </c>
      <c r="E450" s="302">
        <v>107000</v>
      </c>
    </row>
    <row r="451" spans="1:5" x14ac:dyDescent="0.25">
      <c r="A451" s="630">
        <v>45472</v>
      </c>
      <c r="B451" s="292" t="s">
        <v>445</v>
      </c>
      <c r="C451" s="484"/>
      <c r="D451" s="627" t="s">
        <v>9894</v>
      </c>
      <c r="E451" s="485">
        <v>20190</v>
      </c>
    </row>
    <row r="452" spans="1:5" x14ac:dyDescent="0.25">
      <c r="A452" s="630">
        <v>45472</v>
      </c>
      <c r="B452" s="292" t="s">
        <v>445</v>
      </c>
      <c r="C452" s="484"/>
      <c r="D452" s="627" t="s">
        <v>9894</v>
      </c>
      <c r="E452" s="485">
        <v>39570</v>
      </c>
    </row>
    <row r="453" spans="1:5" x14ac:dyDescent="0.25">
      <c r="A453" s="630">
        <v>45472</v>
      </c>
      <c r="B453" s="292" t="s">
        <v>445</v>
      </c>
      <c r="C453" s="484"/>
      <c r="D453" s="627" t="s">
        <v>9894</v>
      </c>
      <c r="E453" s="485">
        <v>41265</v>
      </c>
    </row>
    <row r="454" spans="1:5" x14ac:dyDescent="0.25">
      <c r="A454" s="630">
        <v>45472</v>
      </c>
      <c r="B454" s="292" t="s">
        <v>445</v>
      </c>
      <c r="C454" s="484"/>
      <c r="D454" s="627" t="s">
        <v>9894</v>
      </c>
      <c r="E454" s="485">
        <v>78619</v>
      </c>
    </row>
    <row r="455" spans="1:5" x14ac:dyDescent="0.25">
      <c r="A455" s="630">
        <v>45472</v>
      </c>
      <c r="B455" s="292" t="s">
        <v>445</v>
      </c>
      <c r="C455" s="484"/>
      <c r="D455" s="627" t="s">
        <v>9894</v>
      </c>
      <c r="E455" s="485">
        <v>46130</v>
      </c>
    </row>
    <row r="456" spans="1:5" x14ac:dyDescent="0.25">
      <c r="A456" s="630">
        <v>45478</v>
      </c>
      <c r="B456" s="292" t="s">
        <v>445</v>
      </c>
      <c r="C456" s="454"/>
      <c r="D456" s="292" t="s">
        <v>13885</v>
      </c>
      <c r="E456" s="302">
        <v>-50000</v>
      </c>
    </row>
    <row r="457" spans="1:5" x14ac:dyDescent="0.25">
      <c r="A457" s="630">
        <v>45479</v>
      </c>
      <c r="B457" s="292" t="s">
        <v>5162</v>
      </c>
      <c r="C457" s="454"/>
      <c r="D457" s="627" t="s">
        <v>9894</v>
      </c>
      <c r="E457" s="302">
        <v>15530</v>
      </c>
    </row>
    <row r="458" spans="1:5" x14ac:dyDescent="0.25">
      <c r="A458" s="630">
        <v>45481</v>
      </c>
      <c r="B458" s="292" t="s">
        <v>445</v>
      </c>
      <c r="C458" s="454"/>
      <c r="D458" s="292" t="s">
        <v>13885</v>
      </c>
      <c r="E458" s="302">
        <v>-45000</v>
      </c>
    </row>
    <row r="459" spans="1:5" x14ac:dyDescent="0.25">
      <c r="A459" s="630">
        <v>45483</v>
      </c>
      <c r="B459" s="292" t="s">
        <v>445</v>
      </c>
      <c r="C459" s="454"/>
      <c r="D459" s="292" t="s">
        <v>13885</v>
      </c>
      <c r="E459" s="302">
        <v>-100000</v>
      </c>
    </row>
    <row r="460" spans="1:5" x14ac:dyDescent="0.25">
      <c r="A460" s="630">
        <v>45484</v>
      </c>
      <c r="B460" s="292" t="s">
        <v>8573</v>
      </c>
      <c r="C460" s="454"/>
      <c r="D460" s="292" t="s">
        <v>9457</v>
      </c>
      <c r="E460" s="302">
        <v>150000</v>
      </c>
    </row>
    <row r="461" spans="1:5" x14ac:dyDescent="0.25">
      <c r="A461" s="630">
        <v>45486</v>
      </c>
      <c r="B461" s="292" t="s">
        <v>445</v>
      </c>
      <c r="C461" s="454"/>
      <c r="D461" s="292" t="s">
        <v>13885</v>
      </c>
      <c r="E461" s="302">
        <v>-50000</v>
      </c>
    </row>
    <row r="462" spans="1:5" x14ac:dyDescent="0.25">
      <c r="A462" s="630">
        <v>45486</v>
      </c>
      <c r="B462" s="292" t="s">
        <v>9895</v>
      </c>
      <c r="C462" s="454"/>
      <c r="D462" s="292" t="s">
        <v>3920</v>
      </c>
      <c r="E462" s="302">
        <v>61674</v>
      </c>
    </row>
    <row r="463" spans="1:5" x14ac:dyDescent="0.25">
      <c r="A463" s="630">
        <v>45491</v>
      </c>
      <c r="B463" s="292" t="s">
        <v>156</v>
      </c>
      <c r="C463" s="454"/>
      <c r="D463" s="292" t="s">
        <v>3920</v>
      </c>
      <c r="E463" s="302">
        <v>2630</v>
      </c>
    </row>
    <row r="464" spans="1:5" x14ac:dyDescent="0.25">
      <c r="A464" s="630">
        <v>45497</v>
      </c>
      <c r="B464" s="292" t="s">
        <v>156</v>
      </c>
      <c r="C464" s="454"/>
      <c r="D464" s="292" t="s">
        <v>3920</v>
      </c>
      <c r="E464" s="302">
        <v>3370</v>
      </c>
    </row>
    <row r="465" spans="1:5" x14ac:dyDescent="0.25">
      <c r="A465" s="630">
        <v>45502</v>
      </c>
      <c r="B465" s="627" t="s">
        <v>445</v>
      </c>
      <c r="C465" s="484"/>
      <c r="D465" s="292" t="s">
        <v>3920</v>
      </c>
      <c r="E465" s="485">
        <v>-50000</v>
      </c>
    </row>
    <row r="466" spans="1:5" x14ac:dyDescent="0.25">
      <c r="A466" s="630">
        <v>45504</v>
      </c>
      <c r="B466" s="292" t="s">
        <v>5162</v>
      </c>
      <c r="C466" s="454"/>
      <c r="D466" s="292" t="s">
        <v>3920</v>
      </c>
      <c r="E466" s="302">
        <v>13500</v>
      </c>
    </row>
    <row r="467" spans="1:5" x14ac:dyDescent="0.25">
      <c r="A467" s="630">
        <v>45511</v>
      </c>
      <c r="B467" s="292" t="s">
        <v>156</v>
      </c>
      <c r="C467" s="454"/>
      <c r="D467" s="292" t="s">
        <v>3920</v>
      </c>
      <c r="E467" s="302">
        <v>4800</v>
      </c>
    </row>
    <row r="468" spans="1:5" x14ac:dyDescent="0.25">
      <c r="A468" s="626">
        <v>45513</v>
      </c>
      <c r="B468" s="627" t="s">
        <v>445</v>
      </c>
      <c r="C468" s="484"/>
      <c r="D468" s="627" t="s">
        <v>13885</v>
      </c>
      <c r="E468" s="485">
        <v>-70000</v>
      </c>
    </row>
    <row r="469" spans="1:5" x14ac:dyDescent="0.25">
      <c r="A469" s="626">
        <v>45519</v>
      </c>
      <c r="B469" s="627" t="s">
        <v>156</v>
      </c>
      <c r="C469" s="484"/>
      <c r="D469" s="627" t="s">
        <v>3920</v>
      </c>
      <c r="E469" s="485">
        <v>5650</v>
      </c>
    </row>
    <row r="470" spans="1:5" x14ac:dyDescent="0.25">
      <c r="A470" s="626">
        <v>45525</v>
      </c>
      <c r="B470" s="292" t="s">
        <v>8928</v>
      </c>
      <c r="C470" s="454"/>
      <c r="D470" s="627" t="s">
        <v>3920</v>
      </c>
      <c r="E470" s="302">
        <v>20622</v>
      </c>
    </row>
    <row r="471" spans="1:5" x14ac:dyDescent="0.25">
      <c r="A471" s="630">
        <v>45525</v>
      </c>
      <c r="B471" s="292" t="s">
        <v>8928</v>
      </c>
      <c r="C471" s="454"/>
      <c r="D471" s="627" t="s">
        <v>3920</v>
      </c>
      <c r="E471" s="302">
        <v>11650</v>
      </c>
    </row>
    <row r="472" spans="1:5" x14ac:dyDescent="0.25">
      <c r="A472" s="630">
        <v>45525</v>
      </c>
      <c r="B472" s="292" t="s">
        <v>8928</v>
      </c>
      <c r="C472" s="454"/>
      <c r="D472" s="627" t="s">
        <v>3920</v>
      </c>
      <c r="E472" s="302">
        <v>2750</v>
      </c>
    </row>
    <row r="473" spans="1:5" x14ac:dyDescent="0.25">
      <c r="A473" s="630">
        <v>45525</v>
      </c>
      <c r="B473" s="292" t="s">
        <v>8928</v>
      </c>
      <c r="C473" s="484"/>
      <c r="D473" s="627" t="s">
        <v>14252</v>
      </c>
      <c r="E473" s="485">
        <v>-15000</v>
      </c>
    </row>
    <row r="474" spans="1:5" x14ac:dyDescent="0.25">
      <c r="A474" s="630">
        <v>45525</v>
      </c>
      <c r="B474" s="292" t="s">
        <v>8928</v>
      </c>
      <c r="C474" s="484"/>
      <c r="D474" s="627"/>
      <c r="E474" s="485">
        <v>-25</v>
      </c>
    </row>
    <row r="475" spans="1:5" x14ac:dyDescent="0.25">
      <c r="A475" s="630">
        <v>45527</v>
      </c>
      <c r="B475" s="292" t="s">
        <v>156</v>
      </c>
      <c r="C475" s="454"/>
      <c r="D475" s="627" t="s">
        <v>3920</v>
      </c>
      <c r="E475" s="302">
        <v>5960</v>
      </c>
    </row>
    <row r="476" spans="1:5" x14ac:dyDescent="0.25">
      <c r="A476" s="630">
        <v>45528</v>
      </c>
      <c r="B476" s="292" t="s">
        <v>445</v>
      </c>
      <c r="C476" s="454"/>
      <c r="D476" s="292" t="s">
        <v>12416</v>
      </c>
      <c r="E476" s="302">
        <v>-15000</v>
      </c>
    </row>
    <row r="477" spans="1:5" x14ac:dyDescent="0.25">
      <c r="A477" s="630">
        <v>45532</v>
      </c>
      <c r="B477" s="627" t="s">
        <v>5162</v>
      </c>
      <c r="C477" s="484"/>
      <c r="D477" s="627" t="s">
        <v>14300</v>
      </c>
      <c r="E477" s="485">
        <v>-3000</v>
      </c>
    </row>
    <row r="478" spans="1:5" x14ac:dyDescent="0.25">
      <c r="A478" s="630">
        <v>45533</v>
      </c>
      <c r="B478" s="292" t="s">
        <v>9895</v>
      </c>
      <c r="C478" s="454"/>
      <c r="D478" s="292" t="s">
        <v>3920</v>
      </c>
      <c r="E478" s="302">
        <v>23740</v>
      </c>
    </row>
    <row r="479" spans="1:5" x14ac:dyDescent="0.25">
      <c r="A479" s="630">
        <v>45533</v>
      </c>
      <c r="B479" s="292" t="s">
        <v>5162</v>
      </c>
      <c r="C479" s="454"/>
      <c r="D479" s="627" t="s">
        <v>9089</v>
      </c>
      <c r="E479" s="302">
        <v>-2000</v>
      </c>
    </row>
    <row r="480" spans="1:5" x14ac:dyDescent="0.25">
      <c r="A480" s="630">
        <v>45534</v>
      </c>
      <c r="B480" s="292" t="s">
        <v>445</v>
      </c>
      <c r="C480" s="454"/>
      <c r="D480" s="292" t="s">
        <v>11465</v>
      </c>
      <c r="E480" s="302">
        <v>114000</v>
      </c>
    </row>
    <row r="481" spans="1:5" x14ac:dyDescent="0.25">
      <c r="A481" s="630">
        <v>45534</v>
      </c>
      <c r="B481" s="292" t="s">
        <v>445</v>
      </c>
      <c r="C481" s="454"/>
      <c r="D481" s="292" t="s">
        <v>3920</v>
      </c>
      <c r="E481" s="302">
        <v>55800</v>
      </c>
    </row>
    <row r="482" spans="1:5" x14ac:dyDescent="0.25">
      <c r="A482" s="630">
        <v>45534</v>
      </c>
      <c r="B482" s="292" t="s">
        <v>445</v>
      </c>
      <c r="C482" s="454"/>
      <c r="D482" s="292" t="s">
        <v>3920</v>
      </c>
      <c r="E482" s="302">
        <v>61815</v>
      </c>
    </row>
    <row r="483" spans="1:5" x14ac:dyDescent="0.25">
      <c r="A483" s="630">
        <v>45534</v>
      </c>
      <c r="B483" s="292" t="s">
        <v>445</v>
      </c>
      <c r="C483" s="454"/>
      <c r="D483" s="292" t="s">
        <v>3920</v>
      </c>
      <c r="E483" s="302">
        <v>86380</v>
      </c>
    </row>
    <row r="484" spans="1:5" x14ac:dyDescent="0.25">
      <c r="A484" s="630">
        <v>45534</v>
      </c>
      <c r="B484" s="292" t="s">
        <v>445</v>
      </c>
      <c r="C484" s="454"/>
      <c r="D484" s="292" t="s">
        <v>3920</v>
      </c>
      <c r="E484" s="302">
        <v>107855</v>
      </c>
    </row>
    <row r="485" spans="1:5" x14ac:dyDescent="0.25">
      <c r="A485" s="630">
        <v>45534</v>
      </c>
      <c r="B485" s="292" t="s">
        <v>445</v>
      </c>
      <c r="C485" s="454"/>
      <c r="D485" s="292" t="s">
        <v>3920</v>
      </c>
      <c r="E485" s="302">
        <v>67705</v>
      </c>
    </row>
    <row r="486" spans="1:5" x14ac:dyDescent="0.25">
      <c r="A486" s="630">
        <v>45534</v>
      </c>
      <c r="B486" s="292" t="s">
        <v>445</v>
      </c>
      <c r="C486" s="454"/>
      <c r="D486" s="292" t="s">
        <v>3920</v>
      </c>
      <c r="E486" s="302">
        <v>19000</v>
      </c>
    </row>
    <row r="487" spans="1:5" x14ac:dyDescent="0.25">
      <c r="A487" s="630">
        <v>45534</v>
      </c>
      <c r="B487" s="292" t="s">
        <v>445</v>
      </c>
      <c r="C487" s="484"/>
      <c r="D487" s="292" t="s">
        <v>3920</v>
      </c>
      <c r="E487" s="485">
        <v>25020</v>
      </c>
    </row>
    <row r="488" spans="1:5" x14ac:dyDescent="0.25">
      <c r="A488" s="630">
        <v>45534</v>
      </c>
      <c r="B488" s="292" t="s">
        <v>445</v>
      </c>
      <c r="C488" s="484"/>
      <c r="D488" s="292" t="s">
        <v>3920</v>
      </c>
      <c r="E488" s="485">
        <v>33750</v>
      </c>
    </row>
    <row r="489" spans="1:5" x14ac:dyDescent="0.25">
      <c r="A489" s="630">
        <v>45537</v>
      </c>
      <c r="B489" s="292" t="s">
        <v>445</v>
      </c>
      <c r="C489" s="454"/>
      <c r="D489" s="292" t="s">
        <v>12416</v>
      </c>
      <c r="E489" s="302">
        <v>-70000</v>
      </c>
    </row>
    <row r="490" spans="1:5" x14ac:dyDescent="0.25">
      <c r="A490" s="630">
        <v>45537</v>
      </c>
      <c r="B490" s="292" t="s">
        <v>5162</v>
      </c>
      <c r="C490" s="454"/>
      <c r="D490" s="292" t="s">
        <v>12416</v>
      </c>
      <c r="E490" s="302">
        <v>-1000</v>
      </c>
    </row>
    <row r="491" spans="1:5" x14ac:dyDescent="0.25">
      <c r="A491" s="630">
        <v>45538</v>
      </c>
      <c r="B491" s="292" t="s">
        <v>8928</v>
      </c>
      <c r="C491" s="454"/>
      <c r="D491" s="292" t="s">
        <v>12952</v>
      </c>
      <c r="E491" s="302">
        <v>22000</v>
      </c>
    </row>
    <row r="492" spans="1:5" x14ac:dyDescent="0.25">
      <c r="A492" s="630">
        <v>45538</v>
      </c>
      <c r="B492" s="627" t="s">
        <v>5162</v>
      </c>
      <c r="C492" s="484"/>
      <c r="D492" s="292" t="s">
        <v>12952</v>
      </c>
      <c r="E492" s="485">
        <v>25880</v>
      </c>
    </row>
    <row r="493" spans="1:5" x14ac:dyDescent="0.25">
      <c r="A493" s="630">
        <v>45546</v>
      </c>
      <c r="B493" s="627" t="s">
        <v>9897</v>
      </c>
      <c r="C493" s="484"/>
      <c r="D493" s="627" t="s">
        <v>14421</v>
      </c>
      <c r="E493" s="485">
        <v>4870</v>
      </c>
    </row>
    <row r="494" spans="1:5" x14ac:dyDescent="0.25">
      <c r="A494" s="630">
        <v>45551</v>
      </c>
      <c r="B494" s="627" t="s">
        <v>156</v>
      </c>
      <c r="C494" s="484"/>
      <c r="D494" s="627" t="s">
        <v>3920</v>
      </c>
      <c r="E494" s="485">
        <v>5320</v>
      </c>
    </row>
    <row r="495" spans="1:5" x14ac:dyDescent="0.25">
      <c r="A495" s="630">
        <v>45551</v>
      </c>
      <c r="B495" s="627" t="s">
        <v>8573</v>
      </c>
      <c r="C495" s="484"/>
      <c r="D495" s="627" t="s">
        <v>3920</v>
      </c>
      <c r="E495" s="485">
        <v>8610</v>
      </c>
    </row>
    <row r="496" spans="1:5" x14ac:dyDescent="0.25">
      <c r="A496" s="630">
        <v>45551</v>
      </c>
      <c r="B496" s="627" t="s">
        <v>8573</v>
      </c>
      <c r="C496" s="454"/>
      <c r="D496" s="292" t="s">
        <v>14453</v>
      </c>
      <c r="E496" s="302">
        <v>20000</v>
      </c>
    </row>
    <row r="497" spans="1:5" x14ac:dyDescent="0.25">
      <c r="A497" s="630">
        <v>45551</v>
      </c>
      <c r="B497" s="627" t="s">
        <v>8573</v>
      </c>
      <c r="C497" s="454"/>
      <c r="D497" s="292" t="s">
        <v>14453</v>
      </c>
      <c r="E497" s="302">
        <v>85000</v>
      </c>
    </row>
    <row r="498" spans="1:5" x14ac:dyDescent="0.25">
      <c r="A498" s="630">
        <v>45551</v>
      </c>
      <c r="B498" s="627" t="s">
        <v>8573</v>
      </c>
      <c r="C498" s="484"/>
      <c r="D498" s="292" t="s">
        <v>14453</v>
      </c>
      <c r="E498" s="485">
        <v>35000</v>
      </c>
    </row>
    <row r="499" spans="1:5" x14ac:dyDescent="0.25">
      <c r="A499" s="630">
        <v>45553</v>
      </c>
      <c r="B499" s="627" t="s">
        <v>9895</v>
      </c>
      <c r="C499" s="484"/>
      <c r="D499" s="627" t="s">
        <v>3920</v>
      </c>
      <c r="E499" s="485">
        <v>29460</v>
      </c>
    </row>
    <row r="500" spans="1:5" x14ac:dyDescent="0.25">
      <c r="A500" s="630">
        <v>45553</v>
      </c>
      <c r="B500" s="627" t="s">
        <v>9895</v>
      </c>
      <c r="C500" s="454"/>
      <c r="D500" s="292" t="s">
        <v>3920</v>
      </c>
      <c r="E500" s="302">
        <v>-142</v>
      </c>
    </row>
    <row r="501" spans="1:5" x14ac:dyDescent="0.25">
      <c r="A501" s="630">
        <v>45554</v>
      </c>
      <c r="B501" s="292" t="s">
        <v>8573</v>
      </c>
      <c r="C501" s="454"/>
      <c r="D501" s="292" t="s">
        <v>3920</v>
      </c>
      <c r="E501" s="302">
        <v>18300</v>
      </c>
    </row>
    <row r="502" spans="1:5" x14ac:dyDescent="0.25">
      <c r="A502" s="630">
        <v>45555</v>
      </c>
      <c r="B502" s="627" t="s">
        <v>8928</v>
      </c>
      <c r="C502" s="484"/>
      <c r="D502" s="292" t="s">
        <v>3920</v>
      </c>
      <c r="E502" s="485">
        <v>9500</v>
      </c>
    </row>
    <row r="503" spans="1:5" x14ac:dyDescent="0.25">
      <c r="A503" s="630">
        <v>45555</v>
      </c>
      <c r="B503" s="627" t="s">
        <v>8573</v>
      </c>
      <c r="C503" s="484"/>
      <c r="D503" s="627" t="s">
        <v>14453</v>
      </c>
      <c r="E503" s="485">
        <v>15000</v>
      </c>
    </row>
    <row r="504" spans="1:5" x14ac:dyDescent="0.25">
      <c r="A504" s="630">
        <v>45556</v>
      </c>
      <c r="B504" s="292" t="s">
        <v>156</v>
      </c>
      <c r="C504" s="454"/>
      <c r="D504" s="292" t="s">
        <v>3920</v>
      </c>
      <c r="E504" s="302">
        <v>14115</v>
      </c>
    </row>
    <row r="505" spans="1:5" x14ac:dyDescent="0.25">
      <c r="A505" s="630">
        <v>45559</v>
      </c>
      <c r="B505" s="292" t="s">
        <v>8573</v>
      </c>
      <c r="C505" s="454"/>
      <c r="D505" s="292" t="s">
        <v>14532</v>
      </c>
      <c r="E505" s="302">
        <v>-100000</v>
      </c>
    </row>
    <row r="506" spans="1:5" x14ac:dyDescent="0.25">
      <c r="A506" s="630">
        <v>45560</v>
      </c>
      <c r="B506" s="292" t="s">
        <v>8573</v>
      </c>
      <c r="C506" s="454"/>
      <c r="D506" s="292" t="s">
        <v>3920</v>
      </c>
      <c r="E506" s="302">
        <v>84500</v>
      </c>
    </row>
    <row r="507" spans="1:5" x14ac:dyDescent="0.25">
      <c r="A507" s="630">
        <v>45560</v>
      </c>
      <c r="B507" s="292" t="s">
        <v>8573</v>
      </c>
      <c r="C507" s="454"/>
      <c r="D507" s="292" t="s">
        <v>14533</v>
      </c>
      <c r="E507" s="302">
        <v>1500</v>
      </c>
    </row>
    <row r="508" spans="1:5" x14ac:dyDescent="0.25">
      <c r="A508" s="630">
        <v>45561</v>
      </c>
      <c r="B508" s="292" t="s">
        <v>8573</v>
      </c>
      <c r="C508" s="454"/>
      <c r="D508" s="292" t="s">
        <v>3920</v>
      </c>
      <c r="E508" s="302">
        <v>21070</v>
      </c>
    </row>
    <row r="509" spans="1:5" x14ac:dyDescent="0.25">
      <c r="A509" s="630">
        <v>45565</v>
      </c>
      <c r="B509" s="292" t="s">
        <v>9895</v>
      </c>
      <c r="C509" s="454"/>
      <c r="D509" s="292" t="s">
        <v>3920</v>
      </c>
      <c r="E509" s="302">
        <v>39525</v>
      </c>
    </row>
    <row r="510" spans="1:5" x14ac:dyDescent="0.25">
      <c r="A510" s="630">
        <v>45576</v>
      </c>
      <c r="B510" s="627" t="s">
        <v>8573</v>
      </c>
      <c r="C510" s="484"/>
      <c r="D510" s="627" t="s">
        <v>14453</v>
      </c>
      <c r="E510" s="485">
        <v>50000</v>
      </c>
    </row>
    <row r="511" spans="1:5" x14ac:dyDescent="0.25">
      <c r="A511" s="626">
        <v>45579</v>
      </c>
      <c r="B511" s="627" t="s">
        <v>8928</v>
      </c>
      <c r="C511" s="484"/>
      <c r="D511" s="627" t="s">
        <v>3920</v>
      </c>
      <c r="E511" s="485">
        <v>21000</v>
      </c>
    </row>
    <row r="512" spans="1:5" x14ac:dyDescent="0.25">
      <c r="A512" s="626">
        <v>45582</v>
      </c>
      <c r="B512" s="292" t="s">
        <v>8573</v>
      </c>
      <c r="C512" s="454"/>
      <c r="D512" s="292" t="s">
        <v>3920</v>
      </c>
      <c r="E512" s="302">
        <v>20480</v>
      </c>
    </row>
    <row r="513" spans="1:5" x14ac:dyDescent="0.25">
      <c r="A513" s="626">
        <v>45587</v>
      </c>
      <c r="B513" s="292" t="s">
        <v>156</v>
      </c>
      <c r="C513" s="454"/>
      <c r="D513" s="292" t="s">
        <v>3920</v>
      </c>
      <c r="E513" s="302">
        <v>6860</v>
      </c>
    </row>
    <row r="514" spans="1:5" x14ac:dyDescent="0.25">
      <c r="A514" s="626">
        <v>45587</v>
      </c>
      <c r="B514" s="292" t="s">
        <v>156</v>
      </c>
      <c r="C514" s="454"/>
      <c r="D514" s="292" t="s">
        <v>325</v>
      </c>
      <c r="E514" s="302">
        <v>25000</v>
      </c>
    </row>
    <row r="515" spans="1:5" x14ac:dyDescent="0.25">
      <c r="A515" s="626">
        <v>45587</v>
      </c>
      <c r="B515" s="627" t="s">
        <v>8573</v>
      </c>
      <c r="C515" s="484"/>
      <c r="D515" s="627" t="s">
        <v>3920</v>
      </c>
      <c r="E515" s="485">
        <v>7200</v>
      </c>
    </row>
    <row r="516" spans="1:5" x14ac:dyDescent="0.25">
      <c r="A516" s="630">
        <v>45590</v>
      </c>
      <c r="B516" s="292" t="s">
        <v>156</v>
      </c>
      <c r="C516" s="454"/>
      <c r="D516" s="292" t="s">
        <v>3920</v>
      </c>
      <c r="E516" s="302">
        <v>14100</v>
      </c>
    </row>
    <row r="517" spans="1:5" x14ac:dyDescent="0.25">
      <c r="A517" s="630">
        <v>45590</v>
      </c>
      <c r="B517" s="292" t="s">
        <v>156</v>
      </c>
      <c r="C517" s="454"/>
      <c r="D517" s="292" t="s">
        <v>14532</v>
      </c>
      <c r="E517" s="302">
        <v>-25000</v>
      </c>
    </row>
    <row r="518" spans="1:5" x14ac:dyDescent="0.25">
      <c r="A518" s="630">
        <v>45591</v>
      </c>
      <c r="B518" s="627" t="s">
        <v>5162</v>
      </c>
      <c r="C518" s="484"/>
      <c r="D518" s="627" t="s">
        <v>3920</v>
      </c>
      <c r="E518" s="485">
        <v>37450</v>
      </c>
    </row>
    <row r="519" spans="1:5" x14ac:dyDescent="0.25">
      <c r="A519" s="630">
        <v>45594</v>
      </c>
      <c r="B519" s="627" t="s">
        <v>5162</v>
      </c>
      <c r="C519" s="484"/>
      <c r="D519" s="627" t="s">
        <v>12416</v>
      </c>
      <c r="E519" s="485">
        <v>-7000</v>
      </c>
    </row>
    <row r="520" spans="1:5" x14ac:dyDescent="0.25">
      <c r="A520" s="630">
        <v>45597</v>
      </c>
      <c r="B520" s="292" t="s">
        <v>8573</v>
      </c>
      <c r="C520" s="454"/>
      <c r="D520" s="292" t="s">
        <v>3920</v>
      </c>
      <c r="E520" s="302">
        <v>21000</v>
      </c>
    </row>
    <row r="521" spans="1:5" x14ac:dyDescent="0.25">
      <c r="A521" s="630">
        <v>45597</v>
      </c>
      <c r="B521" s="292" t="s">
        <v>156</v>
      </c>
      <c r="C521" s="454"/>
      <c r="D521" s="292" t="s">
        <v>3920</v>
      </c>
      <c r="E521" s="302">
        <v>8870</v>
      </c>
    </row>
    <row r="522" spans="1:5" x14ac:dyDescent="0.25">
      <c r="A522" s="630">
        <v>45597</v>
      </c>
      <c r="B522" s="292" t="s">
        <v>156</v>
      </c>
      <c r="C522" s="454"/>
      <c r="D522" s="292" t="s">
        <v>14532</v>
      </c>
      <c r="E522" s="302">
        <v>-15000</v>
      </c>
    </row>
    <row r="523" spans="1:5" x14ac:dyDescent="0.25">
      <c r="A523" s="630">
        <v>45597</v>
      </c>
      <c r="B523" s="627" t="s">
        <v>5162</v>
      </c>
      <c r="C523" s="484"/>
      <c r="D523" s="627" t="s">
        <v>3920</v>
      </c>
      <c r="E523" s="485">
        <v>18320</v>
      </c>
    </row>
    <row r="524" spans="1:5" x14ac:dyDescent="0.25">
      <c r="A524" s="630">
        <v>45597</v>
      </c>
      <c r="B524" s="627" t="s">
        <v>5162</v>
      </c>
      <c r="C524" s="454"/>
      <c r="D524" s="292" t="s">
        <v>8534</v>
      </c>
      <c r="E524" s="302">
        <v>2000</v>
      </c>
    </row>
    <row r="525" spans="1:5" x14ac:dyDescent="0.25">
      <c r="A525" s="630">
        <v>45598</v>
      </c>
      <c r="B525" s="292" t="s">
        <v>8928</v>
      </c>
      <c r="C525" s="454"/>
      <c r="D525" s="292" t="s">
        <v>14825</v>
      </c>
      <c r="E525" s="302">
        <v>-2000</v>
      </c>
    </row>
    <row r="526" spans="1:5" x14ac:dyDescent="0.25">
      <c r="A526" s="630">
        <v>45598</v>
      </c>
      <c r="B526" s="292" t="s">
        <v>9895</v>
      </c>
      <c r="C526" s="454"/>
      <c r="D526" s="292" t="s">
        <v>14826</v>
      </c>
      <c r="E526" s="302">
        <v>-5000</v>
      </c>
    </row>
    <row r="527" spans="1:5" x14ac:dyDescent="0.25">
      <c r="A527" s="630">
        <v>45604</v>
      </c>
      <c r="B527" s="292" t="s">
        <v>9895</v>
      </c>
      <c r="C527" s="484"/>
      <c r="D527" s="627" t="s">
        <v>3920</v>
      </c>
      <c r="E527" s="485">
        <v>63140</v>
      </c>
    </row>
    <row r="528" spans="1:5" x14ac:dyDescent="0.25">
      <c r="A528" s="630">
        <v>45604</v>
      </c>
      <c r="B528" s="292" t="s">
        <v>9895</v>
      </c>
      <c r="C528" s="484"/>
      <c r="D528" s="627" t="s">
        <v>3920</v>
      </c>
      <c r="E528" s="485">
        <v>76560</v>
      </c>
    </row>
    <row r="529" spans="1:9" x14ac:dyDescent="0.25">
      <c r="A529" s="630">
        <v>45609</v>
      </c>
      <c r="B529" s="292" t="s">
        <v>156</v>
      </c>
      <c r="C529" s="454"/>
      <c r="D529" s="627" t="s">
        <v>3920</v>
      </c>
      <c r="E529" s="302">
        <v>13145</v>
      </c>
    </row>
    <row r="530" spans="1:9" x14ac:dyDescent="0.25">
      <c r="A530" s="630">
        <v>45609</v>
      </c>
      <c r="B530" s="292" t="s">
        <v>156</v>
      </c>
      <c r="C530" s="454"/>
      <c r="D530" s="292" t="s">
        <v>14920</v>
      </c>
      <c r="E530" s="302">
        <v>10000</v>
      </c>
    </row>
    <row r="531" spans="1:9" x14ac:dyDescent="0.25">
      <c r="A531" s="630">
        <v>45609</v>
      </c>
      <c r="B531" s="292" t="s">
        <v>156</v>
      </c>
      <c r="C531" s="454"/>
      <c r="D531" s="292" t="s">
        <v>14921</v>
      </c>
      <c r="E531" s="302">
        <v>5000</v>
      </c>
    </row>
    <row r="532" spans="1:9" x14ac:dyDescent="0.25">
      <c r="A532" s="630">
        <v>45609</v>
      </c>
      <c r="B532" s="292" t="s">
        <v>156</v>
      </c>
      <c r="C532" s="454"/>
      <c r="D532" s="292" t="s">
        <v>14922</v>
      </c>
      <c r="E532" s="302">
        <v>3000</v>
      </c>
      <c r="G532" s="277">
        <f>Table1[[#This Row],[Invoices submitted]]+E531+E530+E529</f>
        <v>31145</v>
      </c>
    </row>
    <row r="533" spans="1:9" x14ac:dyDescent="0.25">
      <c r="A533" s="630">
        <v>45611</v>
      </c>
      <c r="B533" s="292" t="s">
        <v>5162</v>
      </c>
      <c r="C533" s="454"/>
      <c r="D533" s="686" t="s">
        <v>3920</v>
      </c>
      <c r="E533" s="302">
        <v>17000</v>
      </c>
      <c r="G533">
        <v>11000</v>
      </c>
      <c r="I533">
        <v>-10000</v>
      </c>
    </row>
    <row r="534" spans="1:9" x14ac:dyDescent="0.25">
      <c r="A534" s="630">
        <v>45610</v>
      </c>
      <c r="B534" s="292" t="s">
        <v>156</v>
      </c>
      <c r="C534" s="454"/>
      <c r="D534" s="292" t="s">
        <v>14532</v>
      </c>
      <c r="E534" s="302">
        <v>-50000</v>
      </c>
      <c r="I534">
        <v>50000</v>
      </c>
    </row>
    <row r="535" spans="1:9" x14ac:dyDescent="0.25">
      <c r="A535" s="630">
        <v>45617</v>
      </c>
      <c r="B535" s="292" t="s">
        <v>445</v>
      </c>
      <c r="C535" s="454"/>
      <c r="D535" s="292" t="s">
        <v>3920</v>
      </c>
      <c r="E535" s="302">
        <v>2260</v>
      </c>
      <c r="I535">
        <f>I534+I533</f>
        <v>40000</v>
      </c>
    </row>
    <row r="536" spans="1:9" x14ac:dyDescent="0.25">
      <c r="A536" s="630">
        <v>45617</v>
      </c>
      <c r="B536" s="292" t="s">
        <v>445</v>
      </c>
      <c r="C536" s="454"/>
      <c r="D536" s="292" t="s">
        <v>3920</v>
      </c>
      <c r="E536" s="302">
        <v>4400</v>
      </c>
      <c r="I536">
        <v>28000</v>
      </c>
    </row>
    <row r="537" spans="1:9" x14ac:dyDescent="0.25">
      <c r="A537" s="630">
        <v>45617</v>
      </c>
      <c r="B537" s="292" t="s">
        <v>445</v>
      </c>
      <c r="C537" s="454"/>
      <c r="D537" s="292" t="s">
        <v>3920</v>
      </c>
      <c r="E537" s="302">
        <v>12270</v>
      </c>
      <c r="I537">
        <f>I535-I536</f>
        <v>12000</v>
      </c>
    </row>
    <row r="538" spans="1:9" x14ac:dyDescent="0.25">
      <c r="A538" s="630">
        <v>45617</v>
      </c>
      <c r="B538" s="292" t="s">
        <v>445</v>
      </c>
      <c r="C538" s="454"/>
      <c r="D538" s="292" t="s">
        <v>3920</v>
      </c>
      <c r="E538" s="302">
        <v>9770</v>
      </c>
      <c r="I538">
        <v>10000</v>
      </c>
    </row>
    <row r="539" spans="1:9" x14ac:dyDescent="0.25">
      <c r="A539" s="630">
        <v>45617</v>
      </c>
      <c r="B539" s="292" t="s">
        <v>445</v>
      </c>
      <c r="C539" s="454"/>
      <c r="D539" s="292" t="s">
        <v>3920</v>
      </c>
      <c r="E539" s="302">
        <v>18668</v>
      </c>
      <c r="I539">
        <f>I538+I537</f>
        <v>22000</v>
      </c>
    </row>
    <row r="540" spans="1:9" x14ac:dyDescent="0.25">
      <c r="A540" s="630">
        <v>45617</v>
      </c>
      <c r="B540" s="292" t="s">
        <v>445</v>
      </c>
      <c r="C540" s="454"/>
      <c r="D540" s="292" t="s">
        <v>3920</v>
      </c>
      <c r="E540" s="302">
        <v>51500</v>
      </c>
    </row>
    <row r="541" spans="1:9" x14ac:dyDescent="0.25">
      <c r="A541" s="630">
        <v>45617</v>
      </c>
      <c r="B541" s="292" t="s">
        <v>445</v>
      </c>
      <c r="C541" s="454"/>
      <c r="D541" s="292" t="s">
        <v>3920</v>
      </c>
      <c r="E541" s="302">
        <v>62940</v>
      </c>
    </row>
    <row r="542" spans="1:9" x14ac:dyDescent="0.25">
      <c r="A542" s="630">
        <v>45619</v>
      </c>
      <c r="B542" s="292" t="s">
        <v>445</v>
      </c>
      <c r="C542" s="454"/>
      <c r="D542" s="292" t="s">
        <v>12416</v>
      </c>
      <c r="E542" s="302">
        <v>-3000</v>
      </c>
    </row>
    <row r="543" spans="1:9" x14ac:dyDescent="0.25">
      <c r="A543" s="630">
        <v>45623</v>
      </c>
      <c r="B543" s="292" t="s">
        <v>156</v>
      </c>
      <c r="C543" s="454"/>
      <c r="D543" s="292" t="s">
        <v>3920</v>
      </c>
      <c r="E543" s="302">
        <v>13531</v>
      </c>
    </row>
    <row r="544" spans="1:9" x14ac:dyDescent="0.25">
      <c r="A544" s="630">
        <v>45623</v>
      </c>
      <c r="B544" s="292" t="s">
        <v>156</v>
      </c>
      <c r="C544" s="454"/>
      <c r="D544" s="292" t="s">
        <v>15005</v>
      </c>
      <c r="E544" s="302">
        <v>10000</v>
      </c>
    </row>
    <row r="545" spans="1:15" x14ac:dyDescent="0.25">
      <c r="A545" s="630">
        <v>45623</v>
      </c>
      <c r="B545" s="292" t="s">
        <v>156</v>
      </c>
      <c r="C545" s="454"/>
      <c r="D545" s="292" t="s">
        <v>14922</v>
      </c>
      <c r="E545" s="302">
        <v>3000</v>
      </c>
    </row>
    <row r="546" spans="1:15" x14ac:dyDescent="0.25">
      <c r="A546" s="630">
        <v>45623</v>
      </c>
      <c r="B546" s="292" t="s">
        <v>156</v>
      </c>
      <c r="C546" s="454"/>
      <c r="D546" s="292" t="s">
        <v>14921</v>
      </c>
      <c r="E546" s="302">
        <v>2000</v>
      </c>
      <c r="G546" s="277">
        <f>Table1[[#This Row],[Invoices submitted]]+E545+E544+E543</f>
        <v>28531</v>
      </c>
    </row>
    <row r="547" spans="1:15" x14ac:dyDescent="0.25">
      <c r="A547" s="630">
        <v>45623</v>
      </c>
      <c r="B547" s="292" t="s">
        <v>8573</v>
      </c>
      <c r="C547" s="454"/>
      <c r="D547" s="292" t="s">
        <v>3920</v>
      </c>
      <c r="E547" s="302">
        <v>8480</v>
      </c>
    </row>
    <row r="548" spans="1:15" x14ac:dyDescent="0.25">
      <c r="A548" s="630">
        <v>45626</v>
      </c>
      <c r="B548" s="292" t="s">
        <v>9895</v>
      </c>
      <c r="C548" s="454"/>
      <c r="D548" s="292" t="s">
        <v>3920</v>
      </c>
      <c r="E548" s="302">
        <v>30800</v>
      </c>
    </row>
    <row r="549" spans="1:15" x14ac:dyDescent="0.25">
      <c r="A549" s="630">
        <v>45628</v>
      </c>
      <c r="B549" s="292" t="s">
        <v>445</v>
      </c>
      <c r="C549" s="454"/>
      <c r="D549" s="292" t="s">
        <v>12416</v>
      </c>
      <c r="E549" s="302">
        <v>-5000</v>
      </c>
    </row>
    <row r="550" spans="1:15" x14ac:dyDescent="0.25">
      <c r="A550" s="630">
        <v>45630</v>
      </c>
      <c r="B550" s="292" t="s">
        <v>8573</v>
      </c>
      <c r="C550" s="454"/>
      <c r="D550" s="292" t="s">
        <v>9457</v>
      </c>
      <c r="E550" s="302">
        <v>60000</v>
      </c>
    </row>
    <row r="551" spans="1:15" x14ac:dyDescent="0.25">
      <c r="A551" s="630">
        <v>45630</v>
      </c>
      <c r="B551" s="292" t="s">
        <v>8573</v>
      </c>
      <c r="C551" s="454"/>
      <c r="D551" s="292" t="s">
        <v>3920</v>
      </c>
      <c r="E551" s="302">
        <v>21850</v>
      </c>
    </row>
    <row r="552" spans="1:15" x14ac:dyDescent="0.25">
      <c r="A552" s="630">
        <v>45639</v>
      </c>
      <c r="B552" s="292" t="s">
        <v>9895</v>
      </c>
      <c r="C552" s="454"/>
      <c r="D552" s="292" t="s">
        <v>3920</v>
      </c>
      <c r="E552" s="302">
        <v>71195</v>
      </c>
    </row>
    <row r="553" spans="1:15" x14ac:dyDescent="0.25">
      <c r="A553" s="630">
        <v>45639</v>
      </c>
      <c r="B553" s="292" t="s">
        <v>8928</v>
      </c>
      <c r="C553" s="454"/>
      <c r="D553" s="292" t="s">
        <v>3920</v>
      </c>
      <c r="E553" s="302">
        <v>2100</v>
      </c>
    </row>
    <row r="554" spans="1:15" x14ac:dyDescent="0.25">
      <c r="A554" s="630">
        <v>45639</v>
      </c>
      <c r="B554" s="292" t="s">
        <v>8928</v>
      </c>
      <c r="C554" s="454"/>
      <c r="D554" s="292" t="s">
        <v>3920</v>
      </c>
      <c r="E554" s="302">
        <v>23000</v>
      </c>
    </row>
    <row r="555" spans="1:15" x14ac:dyDescent="0.25">
      <c r="A555" s="630">
        <v>45639</v>
      </c>
      <c r="B555" s="292" t="s">
        <v>8928</v>
      </c>
      <c r="C555" s="454"/>
      <c r="D555" s="292" t="s">
        <v>12416</v>
      </c>
      <c r="E555" s="302">
        <v>-15000</v>
      </c>
    </row>
    <row r="556" spans="1:15" ht="30.75" customHeight="1" x14ac:dyDescent="0.25">
      <c r="A556" s="630">
        <v>45642</v>
      </c>
      <c r="B556" s="292" t="s">
        <v>9895</v>
      </c>
      <c r="C556" s="454"/>
      <c r="D556" s="292" t="s">
        <v>12416</v>
      </c>
      <c r="E556" s="302">
        <v>-10000</v>
      </c>
    </row>
    <row r="557" spans="1:15" x14ac:dyDescent="0.25">
      <c r="A557" s="630">
        <v>45642</v>
      </c>
      <c r="B557" s="292" t="s">
        <v>9895</v>
      </c>
      <c r="C557" s="454"/>
      <c r="D557" s="292" t="s">
        <v>15149</v>
      </c>
      <c r="E557" s="302">
        <v>-50000</v>
      </c>
    </row>
    <row r="558" spans="1:15" x14ac:dyDescent="0.25">
      <c r="A558" s="630">
        <v>45644</v>
      </c>
      <c r="B558" s="292" t="s">
        <v>5162</v>
      </c>
      <c r="C558" s="454"/>
      <c r="D558" s="292" t="s">
        <v>3920</v>
      </c>
      <c r="E558" s="302">
        <v>17300</v>
      </c>
    </row>
    <row r="559" spans="1:15" x14ac:dyDescent="0.25">
      <c r="A559" s="630">
        <v>45649</v>
      </c>
      <c r="B559" s="292" t="s">
        <v>445</v>
      </c>
      <c r="C559" s="454"/>
      <c r="D559" s="292" t="s">
        <v>12416</v>
      </c>
      <c r="E559" s="302">
        <v>-20000</v>
      </c>
      <c r="O559">
        <v>-10000</v>
      </c>
    </row>
    <row r="560" spans="1:15" x14ac:dyDescent="0.25">
      <c r="A560" s="630">
        <v>45650</v>
      </c>
      <c r="B560" s="292" t="s">
        <v>8928</v>
      </c>
      <c r="C560" s="454"/>
      <c r="D560" s="292" t="s">
        <v>3920</v>
      </c>
      <c r="E560" s="302">
        <v>34000</v>
      </c>
      <c r="O560">
        <v>28000</v>
      </c>
    </row>
    <row r="561" spans="1:15" x14ac:dyDescent="0.25">
      <c r="A561" s="630">
        <v>45656</v>
      </c>
      <c r="B561" s="292" t="s">
        <v>9897</v>
      </c>
      <c r="C561" s="454"/>
      <c r="D561" s="292" t="s">
        <v>10021</v>
      </c>
      <c r="E561" s="302">
        <v>-32000</v>
      </c>
      <c r="O561">
        <v>38000</v>
      </c>
    </row>
    <row r="562" spans="1:15" x14ac:dyDescent="0.25">
      <c r="A562" s="630">
        <v>45656</v>
      </c>
      <c r="B562" s="292" t="s">
        <v>9897</v>
      </c>
      <c r="C562" s="454"/>
      <c r="D562" s="292" t="s">
        <v>4385</v>
      </c>
      <c r="E562" s="302">
        <v>32850</v>
      </c>
      <c r="O562">
        <v>50000</v>
      </c>
    </row>
    <row r="563" spans="1:15" x14ac:dyDescent="0.25">
      <c r="A563" s="630">
        <v>45656</v>
      </c>
      <c r="B563" s="292" t="s">
        <v>9897</v>
      </c>
      <c r="C563" s="454"/>
      <c r="D563" s="292" t="s">
        <v>4385</v>
      </c>
      <c r="E563" s="302">
        <v>11030</v>
      </c>
    </row>
    <row r="564" spans="1:15" x14ac:dyDescent="0.25">
      <c r="A564" s="630">
        <v>45656</v>
      </c>
      <c r="B564" s="292" t="s">
        <v>9897</v>
      </c>
      <c r="C564" s="454"/>
      <c r="D564" s="292" t="s">
        <v>12343</v>
      </c>
      <c r="E564" s="302">
        <v>-5000</v>
      </c>
    </row>
    <row r="565" spans="1:15" x14ac:dyDescent="0.25">
      <c r="A565" s="630">
        <v>45656</v>
      </c>
      <c r="B565" s="292" t="s">
        <v>8573</v>
      </c>
      <c r="C565" s="454"/>
      <c r="D565" s="292" t="s">
        <v>3920</v>
      </c>
      <c r="E565" s="302">
        <v>25400</v>
      </c>
    </row>
    <row r="566" spans="1:15" x14ac:dyDescent="0.25">
      <c r="A566" s="630">
        <v>45656</v>
      </c>
      <c r="B566" s="292" t="s">
        <v>8573</v>
      </c>
      <c r="C566" s="454"/>
      <c r="D566" s="292" t="s">
        <v>3920</v>
      </c>
      <c r="E566" s="302">
        <v>55250</v>
      </c>
    </row>
    <row r="567" spans="1:15" x14ac:dyDescent="0.25">
      <c r="A567" s="630">
        <v>45658</v>
      </c>
      <c r="B567" s="292" t="s">
        <v>9895</v>
      </c>
      <c r="C567" s="454"/>
      <c r="D567" s="292" t="s">
        <v>3920</v>
      </c>
      <c r="E567" s="302">
        <v>39290</v>
      </c>
    </row>
    <row r="568" spans="1:15" x14ac:dyDescent="0.25">
      <c r="A568" s="630">
        <v>45661</v>
      </c>
      <c r="B568" s="292" t="s">
        <v>8573</v>
      </c>
      <c r="C568" s="454"/>
      <c r="D568" s="292" t="s">
        <v>15266</v>
      </c>
      <c r="E568" s="302">
        <v>2000</v>
      </c>
    </row>
    <row r="569" spans="1:15" x14ac:dyDescent="0.25">
      <c r="A569" s="630">
        <v>45661</v>
      </c>
      <c r="B569" s="292" t="s">
        <v>8573</v>
      </c>
      <c r="C569" s="454"/>
      <c r="D569" s="292" t="s">
        <v>15267</v>
      </c>
      <c r="E569" s="302">
        <v>1000</v>
      </c>
    </row>
    <row r="570" spans="1:15" x14ac:dyDescent="0.25">
      <c r="A570" s="630">
        <v>45664</v>
      </c>
      <c r="B570" s="292" t="s">
        <v>5162</v>
      </c>
      <c r="C570" s="454"/>
      <c r="D570" s="292" t="s">
        <v>3920</v>
      </c>
      <c r="E570" s="302">
        <v>19890</v>
      </c>
    </row>
    <row r="571" spans="1:15" x14ac:dyDescent="0.25">
      <c r="A571" s="630">
        <v>45664</v>
      </c>
      <c r="B571" s="292" t="s">
        <v>156</v>
      </c>
      <c r="C571" s="454"/>
      <c r="D571" s="292" t="s">
        <v>3920</v>
      </c>
      <c r="E571" s="302">
        <v>16710</v>
      </c>
    </row>
    <row r="572" spans="1:15" x14ac:dyDescent="0.25">
      <c r="A572" s="630">
        <v>45666</v>
      </c>
      <c r="B572" s="292" t="s">
        <v>8573</v>
      </c>
      <c r="C572" s="454"/>
      <c r="D572" s="292" t="s">
        <v>15326</v>
      </c>
      <c r="E572" s="302">
        <v>-105000</v>
      </c>
    </row>
    <row r="573" spans="1:15" x14ac:dyDescent="0.25">
      <c r="A573" s="630">
        <v>45666</v>
      </c>
      <c r="B573" s="292" t="s">
        <v>156</v>
      </c>
      <c r="C573" s="454"/>
      <c r="D573" s="292" t="s">
        <v>3920</v>
      </c>
      <c r="E573" s="302">
        <v>14495</v>
      </c>
    </row>
    <row r="574" spans="1:15" x14ac:dyDescent="0.25">
      <c r="A574" s="630">
        <v>45666</v>
      </c>
      <c r="B574" s="292" t="s">
        <v>156</v>
      </c>
      <c r="C574" s="454"/>
      <c r="D574" s="292" t="s">
        <v>13094</v>
      </c>
      <c r="E574" s="302">
        <v>10000</v>
      </c>
    </row>
    <row r="575" spans="1:15" x14ac:dyDescent="0.25">
      <c r="A575" s="630">
        <v>45672</v>
      </c>
      <c r="B575" s="292" t="s">
        <v>8573</v>
      </c>
      <c r="C575" s="454"/>
      <c r="D575" s="292" t="s">
        <v>12952</v>
      </c>
      <c r="E575" s="302">
        <v>21340</v>
      </c>
    </row>
    <row r="576" spans="1:15" x14ac:dyDescent="0.25">
      <c r="A576" s="630">
        <v>45672</v>
      </c>
      <c r="B576" s="292" t="s">
        <v>8573</v>
      </c>
      <c r="C576" s="454"/>
      <c r="D576" s="292" t="s">
        <v>12952</v>
      </c>
      <c r="E576" s="302">
        <v>36780</v>
      </c>
    </row>
    <row r="577" spans="1:5" x14ac:dyDescent="0.25">
      <c r="A577" s="630">
        <v>45672</v>
      </c>
      <c r="B577" s="292" t="s">
        <v>8573</v>
      </c>
      <c r="C577" s="454"/>
      <c r="D577" s="292" t="s">
        <v>12952</v>
      </c>
      <c r="E577" s="302">
        <v>59670</v>
      </c>
    </row>
    <row r="578" spans="1:5" x14ac:dyDescent="0.25">
      <c r="A578" s="630">
        <v>45672</v>
      </c>
      <c r="B578" s="292" t="s">
        <v>8573</v>
      </c>
      <c r="C578" s="454"/>
      <c r="D578" s="292" t="s">
        <v>12952</v>
      </c>
      <c r="E578" s="302">
        <v>40000</v>
      </c>
    </row>
    <row r="579" spans="1:5" x14ac:dyDescent="0.25">
      <c r="A579" s="630">
        <v>45672</v>
      </c>
      <c r="B579" s="292" t="s">
        <v>8573</v>
      </c>
      <c r="C579" s="454"/>
      <c r="D579" s="292" t="s">
        <v>10805</v>
      </c>
      <c r="E579" s="703">
        <v>100000</v>
      </c>
    </row>
    <row r="580" spans="1:5" x14ac:dyDescent="0.25">
      <c r="A580" s="630">
        <v>45677</v>
      </c>
      <c r="B580" s="292" t="s">
        <v>9897</v>
      </c>
      <c r="C580" s="454"/>
      <c r="D580" s="292" t="s">
        <v>3920</v>
      </c>
      <c r="E580" s="302">
        <v>31900</v>
      </c>
    </row>
    <row r="581" spans="1:5" x14ac:dyDescent="0.25">
      <c r="A581" s="630">
        <v>45681</v>
      </c>
      <c r="B581" s="292" t="s">
        <v>156</v>
      </c>
      <c r="C581" s="454"/>
      <c r="D581" s="292" t="s">
        <v>3920</v>
      </c>
      <c r="E581" s="302">
        <v>4690</v>
      </c>
    </row>
    <row r="582" spans="1:5" x14ac:dyDescent="0.25">
      <c r="A582" s="630">
        <v>45682</v>
      </c>
      <c r="B582" s="292" t="s">
        <v>445</v>
      </c>
      <c r="C582" s="454"/>
      <c r="D582" s="292" t="s">
        <v>15414</v>
      </c>
      <c r="E582" s="302">
        <v>1090</v>
      </c>
    </row>
    <row r="583" spans="1:5" x14ac:dyDescent="0.25">
      <c r="A583" s="630">
        <v>45682</v>
      </c>
      <c r="B583" s="292" t="s">
        <v>445</v>
      </c>
      <c r="C583" s="454"/>
      <c r="D583" s="292" t="s">
        <v>15415</v>
      </c>
      <c r="E583" s="302">
        <v>19620</v>
      </c>
    </row>
    <row r="584" spans="1:5" x14ac:dyDescent="0.25">
      <c r="A584" s="630">
        <v>45682</v>
      </c>
      <c r="B584" s="292" t="s">
        <v>445</v>
      </c>
      <c r="C584" s="454"/>
      <c r="D584" s="292" t="s">
        <v>15416</v>
      </c>
      <c r="E584" s="302">
        <v>13760</v>
      </c>
    </row>
    <row r="585" spans="1:5" x14ac:dyDescent="0.25">
      <c r="A585" s="630">
        <v>45682</v>
      </c>
      <c r="B585" s="292" t="s">
        <v>445</v>
      </c>
      <c r="C585" s="454"/>
      <c r="D585" s="292" t="s">
        <v>15415</v>
      </c>
      <c r="E585" s="302">
        <v>36650</v>
      </c>
    </row>
    <row r="586" spans="1:5" x14ac:dyDescent="0.25">
      <c r="A586" s="630">
        <v>45682</v>
      </c>
      <c r="B586" s="292" t="s">
        <v>445</v>
      </c>
      <c r="C586" s="454"/>
      <c r="D586" s="292" t="s">
        <v>15416</v>
      </c>
      <c r="E586" s="302">
        <v>22550</v>
      </c>
    </row>
    <row r="587" spans="1:5" x14ac:dyDescent="0.25">
      <c r="A587" s="630">
        <v>45682</v>
      </c>
      <c r="B587" s="292" t="s">
        <v>445</v>
      </c>
      <c r="C587" s="454"/>
      <c r="D587" s="292" t="s">
        <v>15416</v>
      </c>
      <c r="E587" s="302">
        <v>20500</v>
      </c>
    </row>
    <row r="588" spans="1:5" x14ac:dyDescent="0.25">
      <c r="A588" s="630">
        <v>45682</v>
      </c>
      <c r="B588" s="292" t="s">
        <v>445</v>
      </c>
      <c r="C588" s="484"/>
      <c r="D588" s="627" t="s">
        <v>15417</v>
      </c>
      <c r="E588" s="485">
        <v>10000</v>
      </c>
    </row>
    <row r="589" spans="1:5" x14ac:dyDescent="0.25">
      <c r="A589" s="630">
        <v>45696</v>
      </c>
      <c r="B589" s="292" t="s">
        <v>9895</v>
      </c>
      <c r="C589" s="454"/>
      <c r="D589" s="292" t="s">
        <v>3920</v>
      </c>
      <c r="E589" s="302">
        <v>35380</v>
      </c>
    </row>
    <row r="590" spans="1:5" x14ac:dyDescent="0.25">
      <c r="A590" s="630">
        <v>45696</v>
      </c>
      <c r="B590" s="292" t="s">
        <v>8573</v>
      </c>
      <c r="C590" s="454"/>
      <c r="D590" s="292" t="s">
        <v>15509</v>
      </c>
      <c r="E590" s="302">
        <v>-100000</v>
      </c>
    </row>
    <row r="591" spans="1:5" x14ac:dyDescent="0.25">
      <c r="A591" s="630">
        <v>45696</v>
      </c>
      <c r="B591" s="292" t="s">
        <v>8573</v>
      </c>
      <c r="C591" s="454"/>
      <c r="D591" s="292" t="s">
        <v>15598</v>
      </c>
      <c r="E591" s="302">
        <v>28000</v>
      </c>
    </row>
    <row r="592" spans="1:5" x14ac:dyDescent="0.25">
      <c r="A592" s="630">
        <v>45696</v>
      </c>
      <c r="B592" s="292" t="s">
        <v>5162</v>
      </c>
      <c r="C592" s="454"/>
      <c r="D592" s="292" t="s">
        <v>3920</v>
      </c>
      <c r="E592" s="302">
        <v>11480</v>
      </c>
    </row>
    <row r="593" spans="1:5" x14ac:dyDescent="0.25">
      <c r="A593" s="630">
        <v>45709</v>
      </c>
      <c r="B593" s="292" t="s">
        <v>8573</v>
      </c>
      <c r="C593" s="454"/>
      <c r="D593" s="292" t="s">
        <v>9457</v>
      </c>
      <c r="E593" s="302">
        <v>72000</v>
      </c>
    </row>
    <row r="594" spans="1:5" x14ac:dyDescent="0.25">
      <c r="A594" s="630">
        <v>45709</v>
      </c>
      <c r="B594" s="292" t="s">
        <v>8573</v>
      </c>
      <c r="C594" s="484"/>
      <c r="D594" s="292" t="s">
        <v>9457</v>
      </c>
      <c r="E594" s="485">
        <v>5000</v>
      </c>
    </row>
    <row r="595" spans="1:5" x14ac:dyDescent="0.25">
      <c r="A595" s="630">
        <v>45726</v>
      </c>
      <c r="B595" s="627" t="s">
        <v>156</v>
      </c>
      <c r="C595" s="484"/>
      <c r="D595" s="627" t="s">
        <v>3920</v>
      </c>
      <c r="E595" s="485">
        <v>20550</v>
      </c>
    </row>
    <row r="596" spans="1:5" x14ac:dyDescent="0.25">
      <c r="A596" s="630">
        <v>45728</v>
      </c>
      <c r="B596" s="627" t="s">
        <v>8573</v>
      </c>
      <c r="C596" s="484"/>
      <c r="D596" s="627" t="s">
        <v>3920</v>
      </c>
      <c r="E596" s="485">
        <v>9900</v>
      </c>
    </row>
    <row r="597" spans="1:5" x14ac:dyDescent="0.25">
      <c r="A597" s="630">
        <v>45733</v>
      </c>
      <c r="B597" s="292" t="s">
        <v>156</v>
      </c>
      <c r="C597" s="454"/>
      <c r="D597" s="627" t="s">
        <v>3920</v>
      </c>
      <c r="E597" s="302">
        <v>6550</v>
      </c>
    </row>
    <row r="598" spans="1:5" x14ac:dyDescent="0.25">
      <c r="A598" s="630">
        <v>45728</v>
      </c>
      <c r="B598" s="627" t="s">
        <v>445</v>
      </c>
      <c r="C598" s="484"/>
      <c r="D598" s="627" t="s">
        <v>15740</v>
      </c>
      <c r="E598" s="485">
        <v>-200000</v>
      </c>
    </row>
    <row r="599" spans="1:5" x14ac:dyDescent="0.25">
      <c r="A599" s="630">
        <v>45730</v>
      </c>
      <c r="B599" s="627" t="s">
        <v>445</v>
      </c>
      <c r="C599" s="454"/>
      <c r="D599" s="627" t="s">
        <v>15740</v>
      </c>
      <c r="E599" s="302">
        <v>-200000</v>
      </c>
    </row>
    <row r="600" spans="1:5" x14ac:dyDescent="0.25">
      <c r="A600" s="630">
        <v>45751</v>
      </c>
      <c r="B600" s="292" t="s">
        <v>445</v>
      </c>
      <c r="C600" s="454"/>
      <c r="D600" s="292" t="s">
        <v>15740</v>
      </c>
      <c r="E600" s="302">
        <v>-100000</v>
      </c>
    </row>
    <row r="601" spans="1:5" x14ac:dyDescent="0.25">
      <c r="A601" s="630">
        <v>45761</v>
      </c>
      <c r="B601" s="292" t="s">
        <v>8573</v>
      </c>
      <c r="C601" s="454"/>
      <c r="D601" s="292" t="s">
        <v>15901</v>
      </c>
      <c r="E601" s="302">
        <v>-100000</v>
      </c>
    </row>
    <row r="602" spans="1:5" x14ac:dyDescent="0.25">
      <c r="A602" s="630">
        <v>45763</v>
      </c>
      <c r="B602" s="292" t="s">
        <v>9895</v>
      </c>
      <c r="C602" s="454"/>
      <c r="D602" s="292" t="s">
        <v>3920</v>
      </c>
      <c r="E602" s="302">
        <v>15380</v>
      </c>
    </row>
    <row r="603" spans="1:5" x14ac:dyDescent="0.25">
      <c r="A603" s="630">
        <v>45763</v>
      </c>
      <c r="B603" s="292" t="s">
        <v>9895</v>
      </c>
      <c r="C603" s="454"/>
      <c r="D603" s="292"/>
      <c r="E603" s="302">
        <v>-10000</v>
      </c>
    </row>
    <row r="604" spans="1:5" x14ac:dyDescent="0.25">
      <c r="A604" s="630">
        <v>45765</v>
      </c>
      <c r="B604" s="292" t="s">
        <v>445</v>
      </c>
      <c r="C604" s="454"/>
      <c r="D604" s="627" t="s">
        <v>15942</v>
      </c>
      <c r="E604" s="302">
        <v>53550</v>
      </c>
    </row>
    <row r="605" spans="1:5" x14ac:dyDescent="0.25">
      <c r="A605" s="630">
        <v>45765</v>
      </c>
      <c r="B605" s="292" t="s">
        <v>445</v>
      </c>
      <c r="C605" s="484"/>
      <c r="D605" s="627" t="s">
        <v>15942</v>
      </c>
      <c r="E605" s="485">
        <v>111905</v>
      </c>
    </row>
    <row r="606" spans="1:5" x14ac:dyDescent="0.25">
      <c r="A606" s="630">
        <v>45765</v>
      </c>
      <c r="B606" s="292" t="s">
        <v>445</v>
      </c>
      <c r="C606" s="484"/>
      <c r="D606" s="627" t="s">
        <v>15942</v>
      </c>
      <c r="E606" s="485">
        <v>149350</v>
      </c>
    </row>
    <row r="607" spans="1:5" x14ac:dyDescent="0.25">
      <c r="A607" s="630">
        <v>45765</v>
      </c>
      <c r="B607" s="292" t="s">
        <v>445</v>
      </c>
      <c r="C607" s="484"/>
      <c r="D607" s="627" t="s">
        <v>15943</v>
      </c>
      <c r="E607" s="485">
        <v>7380</v>
      </c>
    </row>
    <row r="608" spans="1:5" x14ac:dyDescent="0.25">
      <c r="A608" s="630">
        <v>45765</v>
      </c>
      <c r="B608" s="292" t="s">
        <v>445</v>
      </c>
      <c r="C608" s="484"/>
      <c r="D608" s="627" t="s">
        <v>15942</v>
      </c>
      <c r="E608" s="485">
        <v>40290</v>
      </c>
    </row>
    <row r="609" spans="1:13" x14ac:dyDescent="0.25">
      <c r="A609" s="630">
        <v>45765</v>
      </c>
      <c r="B609" s="292" t="s">
        <v>445</v>
      </c>
      <c r="C609" s="484"/>
      <c r="D609" s="627" t="s">
        <v>15942</v>
      </c>
      <c r="E609" s="485">
        <v>21570</v>
      </c>
    </row>
    <row r="610" spans="1:13" x14ac:dyDescent="0.25">
      <c r="A610" s="630">
        <v>45765</v>
      </c>
      <c r="B610" s="292" t="s">
        <v>445</v>
      </c>
      <c r="C610" s="454"/>
      <c r="D610" s="627" t="s">
        <v>15942</v>
      </c>
      <c r="E610" s="302">
        <v>17550</v>
      </c>
    </row>
    <row r="611" spans="1:13" x14ac:dyDescent="0.25">
      <c r="A611" s="630">
        <v>45765</v>
      </c>
      <c r="B611" s="292" t="s">
        <v>445</v>
      </c>
      <c r="C611" s="454"/>
      <c r="D611" s="627" t="s">
        <v>15942</v>
      </c>
      <c r="E611" s="302">
        <v>25650</v>
      </c>
    </row>
    <row r="612" spans="1:13" x14ac:dyDescent="0.25">
      <c r="A612" s="630">
        <v>45765</v>
      </c>
      <c r="B612" s="292" t="s">
        <v>445</v>
      </c>
      <c r="C612" s="484"/>
      <c r="D612" s="627" t="s">
        <v>15942</v>
      </c>
      <c r="E612" s="485">
        <v>11000</v>
      </c>
    </row>
    <row r="613" spans="1:13" x14ac:dyDescent="0.25">
      <c r="A613" s="630">
        <v>45765</v>
      </c>
      <c r="B613" s="292" t="s">
        <v>445</v>
      </c>
      <c r="C613" s="454"/>
      <c r="D613" s="292" t="s">
        <v>15936</v>
      </c>
      <c r="E613" s="302">
        <v>5000</v>
      </c>
    </row>
    <row r="614" spans="1:13" ht="38.25" x14ac:dyDescent="0.25">
      <c r="A614" s="630">
        <v>45765</v>
      </c>
      <c r="B614" s="292" t="s">
        <v>445</v>
      </c>
      <c r="C614" s="454"/>
      <c r="D614" s="292" t="s">
        <v>15937</v>
      </c>
      <c r="E614" s="302">
        <v>5000</v>
      </c>
      <c r="G614" s="489" t="s">
        <v>10602</v>
      </c>
      <c r="H614" s="490" t="s">
        <v>10606</v>
      </c>
      <c r="I614" s="490" t="s">
        <v>10607</v>
      </c>
      <c r="J614" s="490" t="s">
        <v>10608</v>
      </c>
      <c r="K614" s="490" t="s">
        <v>9746</v>
      </c>
      <c r="L614" s="489" t="s">
        <v>9894</v>
      </c>
      <c r="M614" s="489" t="s">
        <v>2</v>
      </c>
    </row>
    <row r="615" spans="1:13" x14ac:dyDescent="0.25">
      <c r="A615" s="630">
        <v>45765</v>
      </c>
      <c r="B615" s="292" t="s">
        <v>445</v>
      </c>
      <c r="C615" s="454"/>
      <c r="D615" s="292" t="s">
        <v>15938</v>
      </c>
      <c r="E615" s="302">
        <v>3500</v>
      </c>
      <c r="G615" s="292" t="s">
        <v>9895</v>
      </c>
      <c r="H615" s="302">
        <f ca="1">SUMIF(Cash!$C$5355:$E$54994,staff!G615,Cash!$E$5355:$E$55014)+78740+15000+177050+32000+50000+50000+10000+200000+20000+15000+25000+15000</f>
        <v>3743821</v>
      </c>
      <c r="I615" s="302">
        <f ca="1">SUMIF('Bilal bhai'!$B$542:$D$5560,staff!G615,'Bilal bhai'!$D$542:$D$5590)+100000</f>
        <v>100000</v>
      </c>
      <c r="J615" s="302">
        <f ca="1">SUMIF('Nadeem bhai'!$B$1030:$D$1099,staff!G615,'Nadeem bhai'!$D$1030:$D$1099)+25000+30000+70000+40000</f>
        <v>248000</v>
      </c>
      <c r="K615" s="302">
        <f ca="1">J615+I615+H615</f>
        <v>4091821</v>
      </c>
      <c r="L615" s="302">
        <f t="shared" ref="L615:L622" ca="1" si="0">SUMIF($B$2:$E$1999,G615,$E$2:$E$1999)</f>
        <v>3998521</v>
      </c>
      <c r="M615" s="302">
        <f ca="1">K615-L615</f>
        <v>93300</v>
      </c>
    </row>
    <row r="616" spans="1:13" x14ac:dyDescent="0.25">
      <c r="A616" s="630">
        <v>45765</v>
      </c>
      <c r="B616" s="292" t="s">
        <v>445</v>
      </c>
      <c r="C616" s="454"/>
      <c r="D616" s="292" t="s">
        <v>15939</v>
      </c>
      <c r="E616" s="302">
        <v>1000</v>
      </c>
      <c r="G616" s="292" t="s">
        <v>13050</v>
      </c>
      <c r="H616" s="302">
        <f ca="1">SUMIF(Cash!$C$5355:$E$54994,staff!G616,Cash!$E$5355:$E$55014)</f>
        <v>30000</v>
      </c>
      <c r="I616" s="302">
        <f ca="1">SUMIF('Bilal bhai'!$B$542:$D$5560,staff!G616,'Bilal bhai'!$D$542:$D$5590)</f>
        <v>0</v>
      </c>
      <c r="J616" s="302">
        <f ca="1">SUMIF('Nadeem bhai'!$B$1030:$D$1099,staff!G616,'Nadeem bhai'!$D$1030:$D$1099)</f>
        <v>0</v>
      </c>
      <c r="K616" s="302"/>
      <c r="L616" s="302">
        <f t="shared" ca="1" si="0"/>
        <v>154200</v>
      </c>
      <c r="M616" s="302">
        <f ca="1">K616-L616+50000+102200+5000</f>
        <v>3000</v>
      </c>
    </row>
    <row r="617" spans="1:13" x14ac:dyDescent="0.25">
      <c r="A617" s="630">
        <v>45765</v>
      </c>
      <c r="B617" s="292" t="s">
        <v>445</v>
      </c>
      <c r="C617" s="454"/>
      <c r="D617" s="292" t="s">
        <v>15940</v>
      </c>
      <c r="E617" s="302">
        <v>50000</v>
      </c>
      <c r="G617" s="292" t="s">
        <v>9897</v>
      </c>
      <c r="H617" s="302">
        <f ca="1">SUMIF(Cash!$C$5355:$E$54995,staff!G617,Cash!$E$5355:$E$55015)+3787+9000+5000+10000+5000+5000</f>
        <v>603467</v>
      </c>
      <c r="I617" s="302">
        <f ca="1">SUMIF('Bilal bhai'!$B$542:$D$5560,staff!G617,'Bilal bhai'!$D$542:$D$5590)</f>
        <v>0</v>
      </c>
      <c r="J617" s="302">
        <f ca="1">SUMIF('Nadeem bhai'!$B$1030:$D$1099,staff!G617,'Nadeem bhai'!$D$1030:$D$1099)</f>
        <v>0</v>
      </c>
      <c r="K617" s="302">
        <f t="shared" ref="K617:K625" ca="1" si="1">J617+I617+H617</f>
        <v>603467</v>
      </c>
      <c r="L617" s="302">
        <f t="shared" ca="1" si="0"/>
        <v>603467</v>
      </c>
      <c r="M617" s="302">
        <f t="shared" ref="M617:M622" ca="1" si="2">K617-L617</f>
        <v>0</v>
      </c>
    </row>
    <row r="618" spans="1:13" x14ac:dyDescent="0.25">
      <c r="A618" s="630">
        <v>45765</v>
      </c>
      <c r="B618" s="292" t="s">
        <v>445</v>
      </c>
      <c r="C618" s="454"/>
      <c r="D618" s="292" t="s">
        <v>15941</v>
      </c>
      <c r="E618" s="302">
        <v>100000</v>
      </c>
      <c r="G618" s="292" t="s">
        <v>8928</v>
      </c>
      <c r="H618" s="302">
        <f ca="1">SUMIF(Cash!$C$5444:$E$54995,staff!G618,Cash!$E$5444:$E$54995)+19000+1000+2000+3000</f>
        <v>346500</v>
      </c>
      <c r="I618" s="302">
        <f ca="1">SUMIF('Bilal bhai'!$B$542:$D$5560,staff!G618,'Bilal bhai'!$D$542:$D$5590)</f>
        <v>0</v>
      </c>
      <c r="J618" s="302">
        <f ca="1">SUMIF('Nadeem bhai'!$B$1030:$D$1099,staff!G618,'Nadeem bhai'!$D$1030:$D$1099)</f>
        <v>0</v>
      </c>
      <c r="K618" s="302">
        <f t="shared" ca="1" si="1"/>
        <v>346500</v>
      </c>
      <c r="L618" s="302">
        <f t="shared" ca="1" si="0"/>
        <v>341000</v>
      </c>
      <c r="M618" s="302">
        <f ca="1">K618-L618</f>
        <v>5500</v>
      </c>
    </row>
    <row r="619" spans="1:13" x14ac:dyDescent="0.25">
      <c r="A619" s="630">
        <v>45769</v>
      </c>
      <c r="B619" s="292" t="s">
        <v>8573</v>
      </c>
      <c r="C619" s="454"/>
      <c r="D619" s="292" t="s">
        <v>16017</v>
      </c>
      <c r="E619" s="302">
        <v>-140000</v>
      </c>
      <c r="G619" s="292" t="s">
        <v>445</v>
      </c>
      <c r="H619" s="302">
        <f ca="1">SUMIF(Cash!$C$5355:$E$54995,staff!G619,Cash!$E$5355:$E$55015)+36480+9000+10000+5000+25000+5000+60000+80000+2000+117850+113800+100000+25000+300000+100000+100000+100000+25000+10000</f>
        <v>2575690</v>
      </c>
      <c r="I619" s="302">
        <f ca="1">SUMIF('Bilal bhai'!$B$542:$D$5560,staff!G619,'Bilal bhai'!$D$542:$D$5590)</f>
        <v>0</v>
      </c>
      <c r="J619" s="302">
        <f>5000+40000</f>
        <v>45000</v>
      </c>
      <c r="K619" s="302">
        <f t="shared" ca="1" si="1"/>
        <v>2620690</v>
      </c>
      <c r="L619" s="302">
        <f t="shared" ca="1" si="0"/>
        <v>2213396</v>
      </c>
      <c r="M619" s="302">
        <f ca="1">K619-L619</f>
        <v>407294</v>
      </c>
    </row>
    <row r="620" spans="1:13" x14ac:dyDescent="0.25">
      <c r="A620" s="630">
        <v>45773</v>
      </c>
      <c r="B620" s="292" t="s">
        <v>8573</v>
      </c>
      <c r="C620" s="454"/>
      <c r="D620" s="292" t="s">
        <v>16014</v>
      </c>
      <c r="E620" s="302">
        <v>53010</v>
      </c>
      <c r="G620" s="292" t="s">
        <v>156</v>
      </c>
      <c r="H620" s="302">
        <f ca="1">SUMIF(Cash!$C$5355:$E$54995,staff!G620,Cash!$E$5355:$E$55015)+3680</f>
        <v>541280</v>
      </c>
      <c r="I620" s="302">
        <f ca="1">SUMIF('Bilal bhai'!$B$542:$D$5560,staff!G620,'Bilal bhai'!$D$542:$D$5590)</f>
        <v>3000</v>
      </c>
      <c r="J620" s="302">
        <f ca="1">SUMIF('Nadeem bhai'!$B$1030:$D$1099,staff!G620,'Nadeem bhai'!$D$1030:$D$1099)</f>
        <v>0</v>
      </c>
      <c r="K620" s="302">
        <f t="shared" ca="1" si="1"/>
        <v>544280</v>
      </c>
      <c r="L620" s="302">
        <f t="shared" ca="1" si="0"/>
        <v>527089</v>
      </c>
      <c r="M620" s="302">
        <f t="shared" ca="1" si="2"/>
        <v>17191</v>
      </c>
    </row>
    <row r="621" spans="1:13" x14ac:dyDescent="0.25">
      <c r="A621" s="630">
        <v>45773</v>
      </c>
      <c r="B621" s="292" t="s">
        <v>8573</v>
      </c>
      <c r="C621" s="454"/>
      <c r="D621" s="292" t="s">
        <v>16015</v>
      </c>
      <c r="E621" s="302">
        <v>40210</v>
      </c>
      <c r="G621" s="292" t="s">
        <v>8573</v>
      </c>
      <c r="H621" s="302">
        <f ca="1">SUMIF(Cash!$C$5355:$E$54995,staff!G621,Cash!$E$5355:$E$55015)+12950+40000+5000+5000</f>
        <v>1704220</v>
      </c>
      <c r="I621" s="302">
        <f ca="1">SUMIF('Bilal bhai'!$B$542:$D$5560,staff!G621,'Bilal bhai'!$D$542:$D$5590)</f>
        <v>55000</v>
      </c>
      <c r="J621" s="302">
        <f ca="1">SUMIF('Nadeem bhai'!$B$1030:$D$1099,staff!G621,'Nadeem bhai'!$D$1030:$D$1099)</f>
        <v>0</v>
      </c>
      <c r="K621" s="302">
        <f t="shared" ca="1" si="1"/>
        <v>1759220</v>
      </c>
      <c r="L621" s="302">
        <f t="shared" ca="1" si="0"/>
        <v>1739579</v>
      </c>
      <c r="M621" s="302">
        <f t="shared" ca="1" si="2"/>
        <v>19641</v>
      </c>
    </row>
    <row r="622" spans="1:13" x14ac:dyDescent="0.25">
      <c r="A622" s="630">
        <v>45773</v>
      </c>
      <c r="B622" s="292" t="s">
        <v>8573</v>
      </c>
      <c r="C622" s="454"/>
      <c r="D622" s="292" t="s">
        <v>16016</v>
      </c>
      <c r="E622" s="302">
        <v>6780</v>
      </c>
      <c r="G622" s="292" t="s">
        <v>629</v>
      </c>
      <c r="H622" s="302">
        <f ca="1">SUMIF(Cash!$C$6286:$E$54995,staff!G622,Cash!$E$6286:$E$55015)</f>
        <v>78000</v>
      </c>
      <c r="I622" s="302"/>
      <c r="J622" s="302">
        <f ca="1">SUMIF('Nadeem bhai'!$B$1030:$D$1099,staff!G622,'Nadeem bhai'!$D$1030:$D$1099)</f>
        <v>0</v>
      </c>
      <c r="K622" s="302">
        <f t="shared" ca="1" si="1"/>
        <v>78000</v>
      </c>
      <c r="L622" s="302">
        <f t="shared" ca="1" si="0"/>
        <v>74420</v>
      </c>
      <c r="M622" s="302">
        <f t="shared" ca="1" si="2"/>
        <v>3580</v>
      </c>
    </row>
    <row r="623" spans="1:13" x14ac:dyDescent="0.25">
      <c r="A623" s="630">
        <v>45773</v>
      </c>
      <c r="B623" s="292" t="s">
        <v>5162</v>
      </c>
      <c r="C623" s="454"/>
      <c r="D623" s="292" t="s">
        <v>16020</v>
      </c>
      <c r="E623" s="302">
        <v>2000</v>
      </c>
      <c r="G623" s="292" t="s">
        <v>9990</v>
      </c>
      <c r="H623" s="302"/>
      <c r="I623" s="302"/>
      <c r="J623" s="302"/>
      <c r="K623" s="302"/>
      <c r="L623" s="302"/>
      <c r="M623" s="302">
        <v>13500</v>
      </c>
    </row>
    <row r="624" spans="1:13" x14ac:dyDescent="0.25">
      <c r="A624" s="630">
        <v>45777</v>
      </c>
      <c r="B624" s="292" t="s">
        <v>8573</v>
      </c>
      <c r="C624" s="454"/>
      <c r="D624" s="292" t="s">
        <v>9457</v>
      </c>
      <c r="E624" s="302">
        <v>5000</v>
      </c>
      <c r="G624" s="292" t="s">
        <v>11571</v>
      </c>
      <c r="H624" s="302">
        <f ca="1">SUMIF(Cash!$C$6317:$E$54995,staff!G624,Cash!$E$6317:$E$55015)-5000-1000+5000+5000+5000+2000+1000</f>
        <v>441000</v>
      </c>
      <c r="I624" s="302"/>
      <c r="J624" s="302">
        <f ca="1">SUMIF('Nadeem bhai'!$B$1030:$D$1099,staff!G624,'Nadeem bhai'!$D$1030:$D$1099)+5000+5000+5000+15000+1000</f>
        <v>31000</v>
      </c>
      <c r="K624" s="302">
        <f t="shared" ca="1" si="1"/>
        <v>472000</v>
      </c>
      <c r="L624" s="302">
        <f ca="1">SUMIF($B$2:$E$1999,G624,$E$2:$E$1999)</f>
        <v>465100</v>
      </c>
      <c r="M624" s="302">
        <f ca="1">K624-L624</f>
        <v>6900</v>
      </c>
    </row>
    <row r="625" spans="1:13" x14ac:dyDescent="0.25">
      <c r="A625" s="630">
        <v>45783</v>
      </c>
      <c r="B625" s="292" t="s">
        <v>8573</v>
      </c>
      <c r="C625" s="454"/>
      <c r="D625" s="292" t="s">
        <v>9457</v>
      </c>
      <c r="E625" s="302">
        <v>50000</v>
      </c>
      <c r="G625" s="574" t="s">
        <v>3554</v>
      </c>
      <c r="H625" s="302"/>
      <c r="I625" s="302"/>
      <c r="J625" s="302">
        <f ca="1">SUMIF('Nadeem bhai'!$B$1030:$D$1099,staff!G625,'Nadeem bhai'!$D$1030:$D$1099)</f>
        <v>0</v>
      </c>
      <c r="K625" s="302">
        <f t="shared" ca="1" si="1"/>
        <v>0</v>
      </c>
      <c r="L625" s="302"/>
      <c r="M625" s="302">
        <v>10000</v>
      </c>
    </row>
    <row r="626" spans="1:13" x14ac:dyDescent="0.25">
      <c r="A626" s="630">
        <v>45792</v>
      </c>
      <c r="B626" s="292" t="s">
        <v>5162</v>
      </c>
      <c r="C626" s="454"/>
      <c r="D626" s="292" t="s">
        <v>3920</v>
      </c>
      <c r="E626" s="302">
        <v>8600</v>
      </c>
      <c r="G626" s="931" t="s">
        <v>10604</v>
      </c>
      <c r="H626" s="932"/>
      <c r="I626" s="932"/>
      <c r="J626" s="932"/>
      <c r="K626" s="932"/>
      <c r="L626" s="933"/>
      <c r="M626" s="496">
        <f ca="1">SUM(M615:M625)</f>
        <v>579906</v>
      </c>
    </row>
    <row r="627" spans="1:13" s="354" customFormat="1" ht="63" x14ac:dyDescent="0.25">
      <c r="A627" s="630">
        <v>45796</v>
      </c>
      <c r="B627" s="900" t="s">
        <v>8573</v>
      </c>
      <c r="C627" s="484"/>
      <c r="D627" s="285" t="s">
        <v>16261</v>
      </c>
      <c r="E627" s="901">
        <v>100750</v>
      </c>
      <c r="G627"/>
      <c r="H627"/>
      <c r="I627"/>
      <c r="J627"/>
      <c r="K627"/>
      <c r="L627"/>
      <c r="M627"/>
    </row>
    <row r="628" spans="1:13" ht="47.25" x14ac:dyDescent="0.25">
      <c r="A628" s="630">
        <v>45796</v>
      </c>
      <c r="B628" s="900" t="s">
        <v>8573</v>
      </c>
      <c r="C628" s="484"/>
      <c r="D628" s="285" t="s">
        <v>16260</v>
      </c>
      <c r="E628" s="485">
        <v>32420</v>
      </c>
    </row>
    <row r="629" spans="1:13" ht="15.75" x14ac:dyDescent="0.25">
      <c r="A629" s="630">
        <v>45798</v>
      </c>
      <c r="B629" s="306" t="s">
        <v>9895</v>
      </c>
      <c r="C629" s="454"/>
      <c r="D629" s="285" t="s">
        <v>3920</v>
      </c>
      <c r="E629" s="302">
        <v>12430</v>
      </c>
    </row>
    <row r="630" spans="1:13" ht="15.75" x14ac:dyDescent="0.25">
      <c r="A630" s="630">
        <v>45800</v>
      </c>
      <c r="B630" s="306" t="s">
        <v>445</v>
      </c>
      <c r="C630" s="454"/>
      <c r="D630" s="285" t="s">
        <v>16324</v>
      </c>
      <c r="E630" s="302">
        <v>-80000</v>
      </c>
    </row>
    <row r="639" spans="1:13" x14ac:dyDescent="0.25">
      <c r="G639" s="277"/>
    </row>
    <row r="641" spans="7:13" x14ac:dyDescent="0.25">
      <c r="G641" s="277"/>
    </row>
    <row r="644" spans="7:13" x14ac:dyDescent="0.25">
      <c r="G644" s="354"/>
      <c r="H644" s="354"/>
      <c r="I644" s="354"/>
      <c r="J644" s="354"/>
      <c r="K644" s="354"/>
      <c r="L644" s="354"/>
      <c r="M644" s="354"/>
    </row>
  </sheetData>
  <mergeCells count="1">
    <mergeCell ref="G626:L626"/>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682"/>
  <sheetViews>
    <sheetView showGridLines="0" tabSelected="1" zoomScaleNormal="100" zoomScaleSheetLayoutView="110" workbookViewId="0">
      <pane ySplit="1" topLeftCell="A12438" activePane="bottomLeft" state="frozen"/>
      <selection activeCell="D6707" sqref="D6707"/>
      <selection pane="bottomLeft" activeCell="E12461" sqref="E12461"/>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31.42578125"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2" t="s">
        <v>1</v>
      </c>
      <c r="B1" s="553" t="s">
        <v>9867</v>
      </c>
      <c r="C1" s="553" t="s">
        <v>337</v>
      </c>
      <c r="D1" s="553" t="s">
        <v>3</v>
      </c>
      <c r="E1" s="554" t="s">
        <v>336</v>
      </c>
      <c r="F1" s="554" t="s">
        <v>357</v>
      </c>
      <c r="G1" s="555" t="s">
        <v>356</v>
      </c>
      <c r="H1" s="390" t="s">
        <v>9568</v>
      </c>
    </row>
    <row r="2" spans="1:8" x14ac:dyDescent="0.3">
      <c r="A2" s="45">
        <v>43832</v>
      </c>
      <c r="B2" s="559"/>
      <c r="C2" s="536" t="s">
        <v>4329</v>
      </c>
      <c r="D2" s="536"/>
      <c r="E2" s="536"/>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59"/>
      <c r="C18" s="536" t="s">
        <v>5672</v>
      </c>
      <c r="D18" s="536"/>
      <c r="E18" s="536"/>
      <c r="F18" s="43">
        <v>750000</v>
      </c>
      <c r="G18" s="361"/>
      <c r="H18" s="388" t="s">
        <v>9567</v>
      </c>
      <c r="L18" s="52"/>
      <c r="M18" s="52"/>
    </row>
    <row r="19" spans="1:13" x14ac:dyDescent="0.3">
      <c r="A19" s="45">
        <v>43837</v>
      </c>
      <c r="B19" s="559"/>
      <c r="C19" s="536" t="s">
        <v>5672</v>
      </c>
      <c r="D19" s="536"/>
      <c r="E19" s="536"/>
      <c r="F19" s="43">
        <v>200000</v>
      </c>
      <c r="G19" s="361"/>
      <c r="H19" s="388" t="s">
        <v>9567</v>
      </c>
      <c r="L19" s="52"/>
      <c r="M19" s="52"/>
    </row>
    <row r="20" spans="1:13" x14ac:dyDescent="0.3">
      <c r="A20" s="45">
        <v>43837</v>
      </c>
      <c r="B20" s="559"/>
      <c r="C20" s="536" t="s">
        <v>5672</v>
      </c>
      <c r="D20" s="536"/>
      <c r="E20" s="536"/>
      <c r="F20" s="43">
        <v>496000</v>
      </c>
      <c r="G20" s="361"/>
      <c r="H20" s="388" t="s">
        <v>9567</v>
      </c>
      <c r="L20" s="52"/>
      <c r="M20" s="52"/>
    </row>
    <row r="21" spans="1:13" x14ac:dyDescent="0.3">
      <c r="A21" s="45">
        <v>43837</v>
      </c>
      <c r="B21" s="559"/>
      <c r="C21" s="536" t="s">
        <v>4329</v>
      </c>
      <c r="D21" s="536"/>
      <c r="E21" s="536"/>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59"/>
      <c r="C37" s="536" t="s">
        <v>5717</v>
      </c>
      <c r="D37" s="536"/>
      <c r="E37" s="536"/>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59"/>
      <c r="C41" s="536" t="s">
        <v>5672</v>
      </c>
      <c r="D41" s="536"/>
      <c r="E41" s="536"/>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59"/>
      <c r="C46" s="536" t="s">
        <v>5672</v>
      </c>
      <c r="D46" s="536"/>
      <c r="E46" s="536"/>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59"/>
      <c r="C64" s="536" t="s">
        <v>2960</v>
      </c>
      <c r="D64" s="536"/>
      <c r="E64" s="536"/>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59"/>
      <c r="C67" s="536" t="s">
        <v>2960</v>
      </c>
      <c r="D67" s="536"/>
      <c r="E67" s="536"/>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59"/>
      <c r="C70" s="536" t="s">
        <v>5745</v>
      </c>
      <c r="D70" s="536"/>
      <c r="E70" s="536"/>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59"/>
      <c r="C77" s="536" t="s">
        <v>2960</v>
      </c>
      <c r="D77" s="536"/>
      <c r="E77" s="536"/>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59"/>
      <c r="C84" s="536" t="s">
        <v>4329</v>
      </c>
      <c r="D84" s="536"/>
      <c r="E84" s="536"/>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59"/>
      <c r="C96" s="536" t="s">
        <v>5755</v>
      </c>
      <c r="D96" s="536"/>
      <c r="E96" s="536"/>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59"/>
      <c r="C126" s="536" t="s">
        <v>2960</v>
      </c>
      <c r="D126" s="536"/>
      <c r="E126" s="536"/>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59"/>
      <c r="C129" s="536" t="s">
        <v>5786</v>
      </c>
      <c r="D129" s="536"/>
      <c r="E129" s="536"/>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59"/>
      <c r="C132" s="536" t="s">
        <v>5786</v>
      </c>
      <c r="D132" s="536"/>
      <c r="E132" s="536"/>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59"/>
      <c r="C163" s="536" t="s">
        <v>5809</v>
      </c>
      <c r="D163" s="536"/>
      <c r="E163" s="536"/>
      <c r="F163" s="43">
        <v>500000</v>
      </c>
      <c r="G163" s="361"/>
      <c r="H163" s="388" t="s">
        <v>9567</v>
      </c>
    </row>
    <row r="164" spans="1:8" x14ac:dyDescent="0.3">
      <c r="A164" s="45">
        <v>43875</v>
      </c>
      <c r="B164" s="559"/>
      <c r="C164" s="536" t="s">
        <v>5836</v>
      </c>
      <c r="D164" s="536"/>
      <c r="E164" s="536"/>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59"/>
      <c r="C172" s="536" t="s">
        <v>5818</v>
      </c>
      <c r="D172" s="536"/>
      <c r="E172" s="536"/>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59"/>
      <c r="C195" s="536" t="s">
        <v>5809</v>
      </c>
      <c r="D195" s="536"/>
      <c r="E195" s="536"/>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59"/>
      <c r="C208" s="536" t="s">
        <v>5809</v>
      </c>
      <c r="D208" s="536"/>
      <c r="E208" s="536"/>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59"/>
      <c r="C218" s="536" t="s">
        <v>5809</v>
      </c>
      <c r="D218" s="536"/>
      <c r="E218" s="536"/>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59"/>
      <c r="C224" s="536" t="s">
        <v>5809</v>
      </c>
      <c r="D224" s="536"/>
      <c r="E224" s="536"/>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59"/>
      <c r="C229" s="536" t="s">
        <v>5809</v>
      </c>
      <c r="D229" s="536"/>
      <c r="E229" s="536"/>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59"/>
      <c r="C234" s="536" t="s">
        <v>5809</v>
      </c>
      <c r="D234" s="536"/>
      <c r="E234" s="536"/>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59"/>
      <c r="C243" s="536" t="s">
        <v>5809</v>
      </c>
      <c r="D243" s="536"/>
      <c r="E243" s="536"/>
      <c r="F243" s="43">
        <v>35000</v>
      </c>
      <c r="G243" s="361"/>
      <c r="H243" s="388" t="s">
        <v>9567</v>
      </c>
    </row>
    <row r="244" spans="1:8" ht="15" customHeight="1" x14ac:dyDescent="0.3">
      <c r="A244" s="45">
        <v>43888</v>
      </c>
      <c r="B244" s="559"/>
      <c r="C244" s="536" t="s">
        <v>5809</v>
      </c>
      <c r="D244" s="536"/>
      <c r="E244" s="536"/>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59"/>
      <c r="C246" s="536" t="s">
        <v>5809</v>
      </c>
      <c r="D246" s="536"/>
      <c r="E246" s="536"/>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59"/>
      <c r="C258" s="536" t="s">
        <v>5906</v>
      </c>
      <c r="D258" s="536"/>
      <c r="E258" s="536"/>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59"/>
      <c r="C305" s="536" t="s">
        <v>5921</v>
      </c>
      <c r="D305" s="536"/>
      <c r="E305" s="536"/>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59"/>
      <c r="C309" s="536" t="s">
        <v>5926</v>
      </c>
      <c r="D309" s="536"/>
      <c r="E309" s="536"/>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59"/>
      <c r="C334" s="536" t="s">
        <v>5952</v>
      </c>
      <c r="D334" s="536"/>
      <c r="E334" s="536"/>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59"/>
      <c r="C352" s="536" t="s">
        <v>5980</v>
      </c>
      <c r="D352" s="536"/>
      <c r="E352" s="536"/>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59"/>
      <c r="C368" s="536" t="s">
        <v>5986</v>
      </c>
      <c r="D368" s="536"/>
      <c r="E368" s="536"/>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59"/>
      <c r="C371" s="536" t="s">
        <v>2960</v>
      </c>
      <c r="D371" s="536"/>
      <c r="E371" s="536"/>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59"/>
      <c r="C374" s="536" t="s">
        <v>3444</v>
      </c>
      <c r="D374" s="536"/>
      <c r="E374" s="536"/>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59"/>
      <c r="C377" s="536" t="s">
        <v>2960</v>
      </c>
      <c r="D377" s="536"/>
      <c r="E377" s="536"/>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59"/>
      <c r="C381" s="536" t="s">
        <v>2960</v>
      </c>
      <c r="D381" s="536"/>
      <c r="E381" s="536"/>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59"/>
      <c r="C388" s="536" t="s">
        <v>2960</v>
      </c>
      <c r="D388" s="536"/>
      <c r="E388" s="536"/>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59"/>
      <c r="C392" s="536" t="s">
        <v>6000</v>
      </c>
      <c r="D392" s="536"/>
      <c r="E392" s="536"/>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59"/>
      <c r="C394" s="536" t="s">
        <v>2960</v>
      </c>
      <c r="D394" s="536"/>
      <c r="E394" s="536"/>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59"/>
      <c r="C398" s="536" t="s">
        <v>2960</v>
      </c>
      <c r="D398" s="536"/>
      <c r="E398" s="536"/>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59"/>
      <c r="C401" s="536" t="s">
        <v>2960</v>
      </c>
      <c r="D401" s="536"/>
      <c r="E401" s="536"/>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59"/>
      <c r="C411" s="536" t="s">
        <v>2960</v>
      </c>
      <c r="D411" s="536"/>
      <c r="E411" s="536"/>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59"/>
      <c r="C422" s="536" t="s">
        <v>2960</v>
      </c>
      <c r="D422" s="536"/>
      <c r="E422" s="536"/>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59"/>
      <c r="C427" s="536" t="s">
        <v>2960</v>
      </c>
      <c r="D427" s="536"/>
      <c r="E427" s="536"/>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59"/>
      <c r="C430" s="536" t="s">
        <v>2960</v>
      </c>
      <c r="D430" s="536"/>
      <c r="E430" s="536"/>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59"/>
      <c r="C440" s="536" t="s">
        <v>6039</v>
      </c>
      <c r="D440" s="536"/>
      <c r="E440" s="536"/>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59"/>
      <c r="C451" s="536" t="s">
        <v>6000</v>
      </c>
      <c r="D451" s="536"/>
      <c r="E451" s="536"/>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59"/>
      <c r="C455" s="536" t="s">
        <v>6055</v>
      </c>
      <c r="D455" s="536"/>
      <c r="E455" s="536"/>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59"/>
      <c r="C464" s="536" t="s">
        <v>6000</v>
      </c>
      <c r="D464" s="536"/>
      <c r="E464" s="536"/>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59"/>
      <c r="C469" s="536" t="s">
        <v>6055</v>
      </c>
      <c r="D469" s="536"/>
      <c r="E469" s="536"/>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59"/>
      <c r="C476" s="536" t="s">
        <v>6069</v>
      </c>
      <c r="D476" s="536"/>
      <c r="E476" s="536"/>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59"/>
      <c r="C482" s="536" t="s">
        <v>6079</v>
      </c>
      <c r="D482" s="536"/>
      <c r="E482" s="536"/>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59"/>
      <c r="C484" s="536" t="s">
        <v>6055</v>
      </c>
      <c r="D484" s="536"/>
      <c r="E484" s="536"/>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59"/>
      <c r="C486" s="536" t="s">
        <v>6000</v>
      </c>
      <c r="D486" s="536"/>
      <c r="E486" s="536"/>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59"/>
      <c r="C490" s="536" t="s">
        <v>6090</v>
      </c>
      <c r="D490" s="536"/>
      <c r="E490" s="536"/>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59"/>
      <c r="C494" s="536" t="s">
        <v>6095</v>
      </c>
      <c r="D494" s="536"/>
      <c r="E494" s="536"/>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59"/>
      <c r="C499" s="536" t="s">
        <v>6098</v>
      </c>
      <c r="D499" s="536"/>
      <c r="E499" s="536"/>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59"/>
      <c r="C514" s="536" t="s">
        <v>6055</v>
      </c>
      <c r="D514" s="536"/>
      <c r="E514" s="536"/>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59"/>
      <c r="C519" s="536" t="s">
        <v>6055</v>
      </c>
      <c r="D519" s="536"/>
      <c r="E519" s="536"/>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59"/>
      <c r="C530" s="536" t="s">
        <v>6162</v>
      </c>
      <c r="D530" s="536"/>
      <c r="E530" s="536"/>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59"/>
      <c r="C533" s="536" t="s">
        <v>6055</v>
      </c>
      <c r="D533" s="536"/>
      <c r="E533" s="536"/>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59"/>
      <c r="C543" s="536" t="s">
        <v>6137</v>
      </c>
      <c r="D543" s="536"/>
      <c r="E543" s="536"/>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59"/>
      <c r="C546" s="536" t="s">
        <v>6166</v>
      </c>
      <c r="D546" s="536"/>
      <c r="E546" s="536"/>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59"/>
      <c r="C549" s="536" t="s">
        <v>6166</v>
      </c>
      <c r="D549" s="536"/>
      <c r="E549" s="536"/>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59"/>
      <c r="C563" s="536" t="s">
        <v>6157</v>
      </c>
      <c r="D563" s="536"/>
      <c r="E563" s="536"/>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59"/>
      <c r="C584" s="536" t="s">
        <v>6187</v>
      </c>
      <c r="D584" s="536"/>
      <c r="E584" s="536"/>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59"/>
      <c r="C596" s="536" t="s">
        <v>6196</v>
      </c>
      <c r="D596" s="536"/>
      <c r="E596" s="536"/>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59"/>
      <c r="C606" s="536" t="s">
        <v>6204</v>
      </c>
      <c r="D606" s="536"/>
      <c r="E606" s="536"/>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59"/>
      <c r="C608" s="536" t="s">
        <v>6207</v>
      </c>
      <c r="D608" s="536"/>
      <c r="E608" s="536"/>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59"/>
      <c r="C615" s="536" t="s">
        <v>6210</v>
      </c>
      <c r="D615" s="536"/>
      <c r="E615" s="536"/>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59"/>
      <c r="C633" s="536" t="s">
        <v>6210</v>
      </c>
      <c r="D633" s="536"/>
      <c r="E633" s="536"/>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59"/>
      <c r="C635" s="536" t="s">
        <v>6210</v>
      </c>
      <c r="D635" s="536"/>
      <c r="E635" s="536"/>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59"/>
      <c r="C645" s="536" t="s">
        <v>6210</v>
      </c>
      <c r="D645" s="536"/>
      <c r="E645" s="536"/>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59"/>
      <c r="C651" s="536" t="s">
        <v>6210</v>
      </c>
      <c r="D651" s="536"/>
      <c r="E651" s="536"/>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59"/>
      <c r="C660" s="536" t="s">
        <v>6241</v>
      </c>
      <c r="D660" s="536"/>
      <c r="E660" s="536"/>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59"/>
      <c r="C671" s="536" t="s">
        <v>6249</v>
      </c>
      <c r="D671" s="536"/>
      <c r="E671" s="536"/>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59"/>
      <c r="C678" s="536" t="s">
        <v>6260</v>
      </c>
      <c r="D678" s="536"/>
      <c r="E678" s="536"/>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59"/>
      <c r="C686" s="536" t="s">
        <v>6257</v>
      </c>
      <c r="D686" s="536"/>
      <c r="E686" s="536"/>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59"/>
      <c r="C695" s="536" t="s">
        <v>6276</v>
      </c>
      <c r="D695" s="536"/>
      <c r="E695" s="536"/>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59"/>
      <c r="C711" s="536" t="s">
        <v>6257</v>
      </c>
      <c r="D711" s="536"/>
      <c r="E711" s="536"/>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59"/>
      <c r="C730" s="536" t="s">
        <v>6257</v>
      </c>
      <c r="D730" s="536"/>
      <c r="E730" s="536"/>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59"/>
      <c r="C747" s="536" t="s">
        <v>6257</v>
      </c>
      <c r="D747" s="536"/>
      <c r="E747" s="536"/>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59"/>
      <c r="C764" s="536" t="s">
        <v>6276</v>
      </c>
      <c r="D764" s="536"/>
      <c r="E764" s="536"/>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59"/>
      <c r="C778" s="536" t="s">
        <v>6339</v>
      </c>
      <c r="D778" s="536"/>
      <c r="E778" s="536"/>
      <c r="F778" s="43">
        <v>288750</v>
      </c>
      <c r="G778" s="361"/>
      <c r="H778" s="388" t="s">
        <v>9567</v>
      </c>
    </row>
    <row r="779" spans="1:8" x14ac:dyDescent="0.3">
      <c r="A779" s="45">
        <v>44053</v>
      </c>
      <c r="B779" s="559"/>
      <c r="C779" s="536" t="s">
        <v>6340</v>
      </c>
      <c r="D779" s="536"/>
      <c r="E779" s="536"/>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59"/>
      <c r="C784" s="536" t="s">
        <v>6257</v>
      </c>
      <c r="D784" s="536"/>
      <c r="E784" s="536"/>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59"/>
      <c r="C807" s="536" t="s">
        <v>6357</v>
      </c>
      <c r="D807" s="536"/>
      <c r="E807" s="536"/>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59"/>
      <c r="C832" s="536" t="s">
        <v>6257</v>
      </c>
      <c r="D832" s="536"/>
      <c r="E832" s="536"/>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59"/>
      <c r="C842" s="536" t="s">
        <v>6249</v>
      </c>
      <c r="D842" s="536"/>
      <c r="E842" s="536"/>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59"/>
      <c r="C850" s="536" t="s">
        <v>6409</v>
      </c>
      <c r="D850" s="536"/>
      <c r="E850" s="536"/>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59"/>
      <c r="C854" s="536" t="s">
        <v>6408</v>
      </c>
      <c r="D854" s="536"/>
      <c r="E854" s="536"/>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59"/>
      <c r="C886" s="536" t="s">
        <v>6407</v>
      </c>
      <c r="D886" s="536"/>
      <c r="E886" s="536"/>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59"/>
      <c r="C892" s="536" t="s">
        <v>6423</v>
      </c>
      <c r="D892" s="536"/>
      <c r="E892" s="536"/>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59"/>
      <c r="C913" s="536" t="s">
        <v>6438</v>
      </c>
      <c r="D913" s="536"/>
      <c r="E913" s="536"/>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59"/>
      <c r="C916" s="536" t="s">
        <v>5653</v>
      </c>
      <c r="D916" s="536"/>
      <c r="E916" s="536"/>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59"/>
      <c r="C925" s="536" t="s">
        <v>6438</v>
      </c>
      <c r="D925" s="536"/>
      <c r="E925" s="536"/>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59"/>
      <c r="C929" s="536" t="s">
        <v>6407</v>
      </c>
      <c r="D929" s="536"/>
      <c r="E929" s="536"/>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59"/>
      <c r="C954" s="536" t="s">
        <v>5653</v>
      </c>
      <c r="D954" s="536"/>
      <c r="E954" s="536"/>
      <c r="F954" s="43">
        <v>50000</v>
      </c>
      <c r="G954" s="361"/>
      <c r="H954" s="388" t="s">
        <v>9567</v>
      </c>
    </row>
    <row r="955" spans="1:14" x14ac:dyDescent="0.3">
      <c r="A955" s="45">
        <v>44095</v>
      </c>
      <c r="B955" s="559"/>
      <c r="C955" s="536" t="s">
        <v>5653</v>
      </c>
      <c r="D955" s="536"/>
      <c r="E955" s="536"/>
      <c r="F955" s="43">
        <v>25000</v>
      </c>
      <c r="G955" s="361"/>
      <c r="H955" s="388" t="s">
        <v>9567</v>
      </c>
    </row>
    <row r="956" spans="1:14" x14ac:dyDescent="0.3">
      <c r="A956" s="45">
        <v>44095</v>
      </c>
      <c r="B956" s="559"/>
      <c r="C956" s="536" t="s">
        <v>5653</v>
      </c>
      <c r="D956" s="536"/>
      <c r="E956" s="536"/>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59"/>
      <c r="C963" s="536" t="s">
        <v>5653</v>
      </c>
      <c r="D963" s="536"/>
      <c r="E963" s="536"/>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59"/>
      <c r="C977" s="536" t="s">
        <v>6490</v>
      </c>
      <c r="D977" s="536"/>
      <c r="E977" s="536"/>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59"/>
      <c r="C979" s="536" t="s">
        <v>5653</v>
      </c>
      <c r="D979" s="536"/>
      <c r="E979" s="536"/>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59"/>
      <c r="C987" s="536" t="s">
        <v>3444</v>
      </c>
      <c r="D987" s="536"/>
      <c r="E987" s="536"/>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59"/>
      <c r="C999" s="536" t="s">
        <v>6503</v>
      </c>
      <c r="D999" s="536"/>
      <c r="E999" s="536"/>
      <c r="F999" s="43">
        <v>20000</v>
      </c>
      <c r="G999" s="361"/>
      <c r="H999" s="388" t="s">
        <v>9567</v>
      </c>
    </row>
    <row r="1000" spans="1:9" x14ac:dyDescent="0.3">
      <c r="A1000" s="45">
        <v>44102</v>
      </c>
      <c r="B1000" s="559"/>
      <c r="C1000" s="536" t="s">
        <v>6503</v>
      </c>
      <c r="D1000" s="536"/>
      <c r="E1000" s="536"/>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59"/>
      <c r="C1003" s="536" t="s">
        <v>5653</v>
      </c>
      <c r="D1003" s="536"/>
      <c r="E1003" s="536"/>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59"/>
      <c r="C1016" s="536" t="s">
        <v>5653</v>
      </c>
      <c r="D1016" s="536"/>
      <c r="E1016" s="536"/>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59"/>
      <c r="C1031" s="536" t="s">
        <v>5653</v>
      </c>
      <c r="D1031" s="536"/>
      <c r="E1031" s="536"/>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59"/>
      <c r="C1058" s="536" t="s">
        <v>5653</v>
      </c>
      <c r="D1058" s="536"/>
      <c r="E1058" s="536"/>
      <c r="F1058" s="43">
        <v>299000</v>
      </c>
      <c r="G1058" s="361"/>
      <c r="H1058" s="388" t="s">
        <v>9567</v>
      </c>
    </row>
    <row r="1059" spans="1:8" x14ac:dyDescent="0.3">
      <c r="A1059" s="45">
        <v>44112</v>
      </c>
      <c r="B1059" s="559"/>
      <c r="C1059" s="536" t="s">
        <v>5653</v>
      </c>
      <c r="D1059" s="536"/>
      <c r="E1059" s="536"/>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59"/>
      <c r="C1081" s="536" t="s">
        <v>5653</v>
      </c>
      <c r="D1081" s="536"/>
      <c r="E1081" s="536"/>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0"/>
      <c r="C1084" s="537" t="s">
        <v>6566</v>
      </c>
      <c r="D1084" s="538"/>
      <c r="E1084" s="539"/>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59"/>
      <c r="C1091" s="536" t="s">
        <v>6575</v>
      </c>
      <c r="D1091" s="536"/>
      <c r="E1091" s="536"/>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59"/>
      <c r="C1101" s="536" t="s">
        <v>6582</v>
      </c>
      <c r="D1101" s="536"/>
      <c r="E1101" s="536"/>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59"/>
      <c r="C1147" s="536" t="s">
        <v>3444</v>
      </c>
      <c r="D1147" s="536"/>
      <c r="E1147" s="536"/>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59"/>
      <c r="C1162" s="536" t="s">
        <v>5653</v>
      </c>
      <c r="D1162" s="536"/>
      <c r="E1162" s="536"/>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59"/>
      <c r="C1186" s="536" t="s">
        <v>5653</v>
      </c>
      <c r="D1186" s="536"/>
      <c r="E1186" s="536"/>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59"/>
      <c r="C1204" s="536" t="s">
        <v>6672</v>
      </c>
      <c r="D1204" s="536"/>
      <c r="E1204" s="536"/>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59"/>
      <c r="C1211" s="536" t="s">
        <v>2960</v>
      </c>
      <c r="D1211" s="536"/>
      <c r="E1211" s="536"/>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59"/>
      <c r="C1220" s="536" t="s">
        <v>2960</v>
      </c>
      <c r="D1220" s="536"/>
      <c r="E1220" s="536"/>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59"/>
      <c r="C1223" s="536" t="s">
        <v>2960</v>
      </c>
      <c r="D1223" s="536"/>
      <c r="E1223" s="536"/>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59"/>
      <c r="C1229" s="536" t="s">
        <v>6688</v>
      </c>
      <c r="D1229" s="536"/>
      <c r="E1229" s="536"/>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59"/>
      <c r="C1239" s="536" t="s">
        <v>6688</v>
      </c>
      <c r="D1239" s="536"/>
      <c r="E1239" s="536"/>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59"/>
      <c r="C1250" s="536" t="s">
        <v>2960</v>
      </c>
      <c r="D1250" s="536"/>
      <c r="E1250" s="536"/>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59"/>
      <c r="C1268" s="536" t="s">
        <v>6688</v>
      </c>
      <c r="D1268" s="536"/>
      <c r="E1268" s="536"/>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59"/>
      <c r="C1280" s="536" t="s">
        <v>6688</v>
      </c>
      <c r="D1280" s="536"/>
      <c r="E1280" s="536"/>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59"/>
      <c r="C1297" s="536" t="s">
        <v>5653</v>
      </c>
      <c r="D1297" s="536"/>
      <c r="E1297" s="536"/>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59"/>
      <c r="C1306" s="536" t="s">
        <v>5653</v>
      </c>
      <c r="D1306" s="536"/>
      <c r="E1306" s="536"/>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59"/>
      <c r="C1322" s="536" t="s">
        <v>4106</v>
      </c>
      <c r="D1322" s="536"/>
      <c r="E1322" s="536"/>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59"/>
      <c r="C1340" s="536" t="s">
        <v>5653</v>
      </c>
      <c r="D1340" s="536"/>
      <c r="E1340" s="536"/>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59"/>
      <c r="C1344" s="536" t="s">
        <v>5653</v>
      </c>
      <c r="D1344" s="536"/>
      <c r="E1344" s="536"/>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59"/>
      <c r="C1346" s="536" t="s">
        <v>4106</v>
      </c>
      <c r="D1346" s="536"/>
      <c r="E1346" s="536"/>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59"/>
      <c r="C1361" s="536" t="s">
        <v>6786</v>
      </c>
      <c r="D1361" s="536"/>
      <c r="E1361" s="536"/>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59"/>
      <c r="C1373" s="536" t="s">
        <v>6800</v>
      </c>
      <c r="D1373" s="536"/>
      <c r="E1373" s="536"/>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59"/>
      <c r="C1383" s="536" t="s">
        <v>6802</v>
      </c>
      <c r="D1383" s="536"/>
      <c r="E1383" s="536"/>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59"/>
      <c r="C1397" s="536" t="s">
        <v>4106</v>
      </c>
      <c r="D1397" s="536"/>
      <c r="E1397" s="536"/>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59"/>
      <c r="C1408" s="536" t="s">
        <v>6823</v>
      </c>
      <c r="D1408" s="536"/>
      <c r="E1408" s="536"/>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59"/>
      <c r="C1415" s="536" t="s">
        <v>4415</v>
      </c>
      <c r="D1415" s="536"/>
      <c r="E1415" s="536"/>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59"/>
      <c r="C1431" s="536" t="s">
        <v>4415</v>
      </c>
      <c r="D1431" s="536"/>
      <c r="E1431" s="536"/>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59"/>
      <c r="C1446" s="536" t="s">
        <v>4415</v>
      </c>
      <c r="D1446" s="536"/>
      <c r="E1446" s="536"/>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59"/>
      <c r="C1452" s="536" t="s">
        <v>4415</v>
      </c>
      <c r="D1452" s="536"/>
      <c r="E1452" s="536"/>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59"/>
      <c r="C1459" s="536" t="s">
        <v>6858</v>
      </c>
      <c r="D1459" s="536"/>
      <c r="E1459" s="536"/>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59"/>
      <c r="C1508" s="536" t="s">
        <v>4415</v>
      </c>
      <c r="D1508" s="536"/>
      <c r="E1508" s="536"/>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59"/>
      <c r="C1515" s="536" t="s">
        <v>4415</v>
      </c>
      <c r="D1515" s="536"/>
      <c r="E1515" s="536"/>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59"/>
      <c r="C1540" s="536" t="s">
        <v>4415</v>
      </c>
      <c r="D1540" s="536"/>
      <c r="E1540" s="536"/>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59"/>
      <c r="C1546" s="536" t="s">
        <v>4415</v>
      </c>
      <c r="D1546" s="536"/>
      <c r="E1546" s="536"/>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59"/>
      <c r="C1550" s="536" t="s">
        <v>4415</v>
      </c>
      <c r="D1550" s="536"/>
      <c r="E1550" s="536"/>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59"/>
      <c r="C1569" s="536" t="s">
        <v>4415</v>
      </c>
      <c r="D1569" s="536"/>
      <c r="E1569" s="536"/>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59"/>
      <c r="C1576" s="536" t="s">
        <v>3444</v>
      </c>
      <c r="D1576" s="536"/>
      <c r="E1576" s="536"/>
      <c r="F1576" s="43">
        <v>100000</v>
      </c>
      <c r="G1576" s="361">
        <f t="shared" si="6"/>
        <v>102511</v>
      </c>
      <c r="H1576" s="388" t="s">
        <v>9567</v>
      </c>
    </row>
    <row r="1577" spans="1:8" x14ac:dyDescent="0.3">
      <c r="A1577" s="45">
        <v>43839</v>
      </c>
      <c r="B1577" s="559"/>
      <c r="C1577" s="536" t="s">
        <v>3444</v>
      </c>
      <c r="D1577" s="536"/>
      <c r="E1577" s="536"/>
      <c r="F1577" s="43">
        <v>35000</v>
      </c>
      <c r="G1577" s="361">
        <f t="shared" si="6"/>
        <v>137511</v>
      </c>
      <c r="H1577" s="388" t="s">
        <v>9567</v>
      </c>
    </row>
    <row r="1578" spans="1:8" x14ac:dyDescent="0.3">
      <c r="A1578" s="45">
        <v>43839</v>
      </c>
      <c r="B1578" s="559"/>
      <c r="C1578" s="536" t="s">
        <v>4415</v>
      </c>
      <c r="D1578" s="536"/>
      <c r="E1578" s="536"/>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59"/>
      <c r="C1594" s="536" t="s">
        <v>3444</v>
      </c>
      <c r="D1594" s="536"/>
      <c r="E1594" s="536"/>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59"/>
      <c r="C1604" s="536" t="s">
        <v>3444</v>
      </c>
      <c r="D1604" s="536"/>
      <c r="E1604" s="536"/>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59"/>
      <c r="C1611" s="536" t="s">
        <v>3444</v>
      </c>
      <c r="D1611" s="536"/>
      <c r="E1611" s="536"/>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59"/>
      <c r="C1617" s="536" t="s">
        <v>3444</v>
      </c>
      <c r="D1617" s="536"/>
      <c r="E1617" s="536"/>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59"/>
      <c r="C1640" s="536" t="s">
        <v>5379</v>
      </c>
      <c r="D1640" s="536"/>
      <c r="E1640" s="536"/>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0"/>
      <c r="C1650" s="537" t="s">
        <v>5431</v>
      </c>
      <c r="D1650" s="538"/>
      <c r="E1650" s="539"/>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0"/>
      <c r="C1657" s="537" t="s">
        <v>5379</v>
      </c>
      <c r="D1657" s="538"/>
      <c r="E1657" s="539"/>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0"/>
      <c r="C1685" s="537" t="s">
        <v>7048</v>
      </c>
      <c r="D1685" s="538"/>
      <c r="E1685" s="539"/>
      <c r="F1685" s="43">
        <v>100000</v>
      </c>
      <c r="G1685" s="361">
        <f t="shared" si="10"/>
        <v>109464</v>
      </c>
      <c r="H1685" s="388" t="s">
        <v>9567</v>
      </c>
    </row>
    <row r="1686" spans="1:8" x14ac:dyDescent="0.3">
      <c r="A1686" s="45">
        <v>44256</v>
      </c>
      <c r="B1686" s="560"/>
      <c r="C1686" s="537" t="s">
        <v>7048</v>
      </c>
      <c r="D1686" s="538"/>
      <c r="E1686" s="539"/>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0"/>
      <c r="C1702" s="537" t="s">
        <v>7088</v>
      </c>
      <c r="D1702" s="538"/>
      <c r="E1702" s="539"/>
      <c r="F1702" s="43">
        <v>100000</v>
      </c>
      <c r="G1702" s="361">
        <f>G1701+F1702-E1702</f>
        <v>108416</v>
      </c>
      <c r="H1702" s="388" t="s">
        <v>9567</v>
      </c>
    </row>
    <row r="1703" spans="1:8" x14ac:dyDescent="0.3">
      <c r="A1703" s="45">
        <v>44258</v>
      </c>
      <c r="B1703" s="560"/>
      <c r="C1703" s="537" t="s">
        <v>7088</v>
      </c>
      <c r="D1703" s="538"/>
      <c r="E1703" s="539"/>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0"/>
      <c r="C1713" s="537" t="s">
        <v>7100</v>
      </c>
      <c r="D1713" s="538"/>
      <c r="E1713" s="539"/>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0"/>
      <c r="C1723" s="537" t="s">
        <v>4415</v>
      </c>
      <c r="D1723" s="538"/>
      <c r="E1723" s="539"/>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0"/>
      <c r="C1729" s="537" t="s">
        <v>7048</v>
      </c>
      <c r="D1729" s="538"/>
      <c r="E1729" s="539"/>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0"/>
      <c r="C1731" s="537" t="s">
        <v>7106</v>
      </c>
      <c r="D1731" s="538"/>
      <c r="E1731" s="539"/>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0"/>
      <c r="C1746" s="537" t="s">
        <v>7048</v>
      </c>
      <c r="D1746" s="538"/>
      <c r="E1746" s="539"/>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0"/>
      <c r="C1754" s="537" t="s">
        <v>4415</v>
      </c>
      <c r="D1754" s="538"/>
      <c r="E1754" s="539"/>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0"/>
      <c r="C1771" s="537" t="s">
        <v>7048</v>
      </c>
      <c r="D1771" s="538"/>
      <c r="E1771" s="539"/>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0"/>
      <c r="C1773" s="537" t="s">
        <v>7048</v>
      </c>
      <c r="D1773" s="538"/>
      <c r="E1773" s="539"/>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0"/>
      <c r="C1775" s="537" t="s">
        <v>4415</v>
      </c>
      <c r="D1775" s="538"/>
      <c r="E1775" s="539"/>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0"/>
      <c r="C1783" s="537" t="s">
        <v>4415</v>
      </c>
      <c r="D1783" s="538"/>
      <c r="E1783" s="539"/>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0"/>
      <c r="C1790" s="537" t="s">
        <v>7161</v>
      </c>
      <c r="D1790" s="538"/>
      <c r="E1790" s="539"/>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0"/>
      <c r="C1804" s="537" t="s">
        <v>861</v>
      </c>
      <c r="D1804" s="538"/>
      <c r="E1804" s="539"/>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0"/>
      <c r="C1812" s="537" t="s">
        <v>7195</v>
      </c>
      <c r="D1812" s="538"/>
      <c r="E1812" s="539"/>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0"/>
      <c r="C1819" s="537" t="s">
        <v>7196</v>
      </c>
      <c r="D1819" s="538"/>
      <c r="E1819" s="539"/>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0"/>
      <c r="C1829" s="537" t="s">
        <v>7088</v>
      </c>
      <c r="D1829" s="538"/>
      <c r="E1829" s="539"/>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0"/>
      <c r="C1845" s="537" t="s">
        <v>3444</v>
      </c>
      <c r="D1845" s="538"/>
      <c r="E1845" s="539"/>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0"/>
      <c r="C1858" s="537" t="s">
        <v>3444</v>
      </c>
      <c r="D1858" s="538"/>
      <c r="E1858" s="539"/>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0"/>
      <c r="C1876" s="537" t="s">
        <v>861</v>
      </c>
      <c r="D1876" s="538"/>
      <c r="E1876" s="539"/>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0"/>
      <c r="C1889" s="537" t="s">
        <v>5431</v>
      </c>
      <c r="D1889" s="538"/>
      <c r="E1889" s="539"/>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0"/>
      <c r="C1893" s="537" t="s">
        <v>5431</v>
      </c>
      <c r="D1893" s="538"/>
      <c r="E1893" s="539"/>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0"/>
      <c r="C1907" s="537" t="s">
        <v>7261</v>
      </c>
      <c r="D1907" s="538"/>
      <c r="E1907" s="539"/>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0"/>
      <c r="C1914" s="537" t="s">
        <v>4415</v>
      </c>
      <c r="D1914" s="538"/>
      <c r="E1914" s="539"/>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0"/>
      <c r="C1921" s="537" t="s">
        <v>4415</v>
      </c>
      <c r="D1921" s="538"/>
      <c r="E1921" s="539"/>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0"/>
      <c r="C1936" s="537" t="s">
        <v>4329</v>
      </c>
      <c r="D1936" s="538"/>
      <c r="E1936" s="539"/>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0"/>
      <c r="C1945" s="537" t="s">
        <v>5431</v>
      </c>
      <c r="D1945" s="538"/>
      <c r="E1945" s="539"/>
      <c r="F1945" s="43">
        <v>70000</v>
      </c>
      <c r="G1945" s="361">
        <f t="shared" si="15"/>
        <v>76563</v>
      </c>
      <c r="H1945" s="388" t="s">
        <v>9567</v>
      </c>
    </row>
    <row r="1946" spans="1:8" x14ac:dyDescent="0.3">
      <c r="A1946" s="45">
        <v>44298</v>
      </c>
      <c r="B1946" s="560"/>
      <c r="C1946" s="537" t="s">
        <v>5431</v>
      </c>
      <c r="D1946" s="538"/>
      <c r="E1946" s="539"/>
      <c r="F1946" s="43">
        <v>45000</v>
      </c>
      <c r="G1946" s="361">
        <f t="shared" si="15"/>
        <v>121563</v>
      </c>
      <c r="H1946" s="388" t="s">
        <v>9567</v>
      </c>
    </row>
    <row r="1947" spans="1:8" x14ac:dyDescent="0.3">
      <c r="A1947" s="45">
        <v>44298</v>
      </c>
      <c r="B1947" s="560"/>
      <c r="C1947" s="537" t="s">
        <v>5431</v>
      </c>
      <c r="D1947" s="538"/>
      <c r="E1947" s="539"/>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0"/>
      <c r="C1952" s="537" t="s">
        <v>7310</v>
      </c>
      <c r="D1952" s="538"/>
      <c r="E1952" s="539"/>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0"/>
      <c r="C1959" s="537" t="s">
        <v>5431</v>
      </c>
      <c r="D1959" s="538"/>
      <c r="E1959" s="539"/>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0"/>
      <c r="C1968" s="537" t="s">
        <v>3444</v>
      </c>
      <c r="D1968" s="538"/>
      <c r="E1968" s="539"/>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59"/>
      <c r="C1973" s="536" t="s">
        <v>5431</v>
      </c>
      <c r="D1973" s="536"/>
      <c r="E1973" s="536"/>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59"/>
      <c r="C1984" s="536" t="s">
        <v>5431</v>
      </c>
      <c r="D1984" s="536"/>
      <c r="E1984" s="536"/>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59"/>
      <c r="C1993" s="536" t="s">
        <v>7343</v>
      </c>
      <c r="D1993" s="536"/>
      <c r="E1993" s="536"/>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59"/>
      <c r="C1997" s="536" t="s">
        <v>7348</v>
      </c>
      <c r="D1997" s="536"/>
      <c r="E1997" s="536"/>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59"/>
      <c r="C1999" s="536" t="s">
        <v>5431</v>
      </c>
      <c r="D1999" s="536"/>
      <c r="E1999" s="536"/>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59"/>
      <c r="C2010" s="536" t="s">
        <v>5431</v>
      </c>
      <c r="D2010" s="536"/>
      <c r="E2010" s="536"/>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59"/>
      <c r="C2016" s="536" t="s">
        <v>5431</v>
      </c>
      <c r="D2016" s="536"/>
      <c r="E2016" s="536"/>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59"/>
      <c r="C2020" s="536" t="s">
        <v>5431</v>
      </c>
      <c r="D2020" s="536"/>
      <c r="E2020" s="536"/>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59"/>
      <c r="C2024" s="536" t="s">
        <v>7374</v>
      </c>
      <c r="D2024" s="536"/>
      <c r="E2024" s="536"/>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59"/>
      <c r="C2050" s="536" t="s">
        <v>4329</v>
      </c>
      <c r="D2050" s="536"/>
      <c r="E2050" s="536"/>
      <c r="F2050" s="43">
        <v>500000</v>
      </c>
      <c r="G2050" s="361">
        <f>G2049+F2050-E2050</f>
        <v>503165</v>
      </c>
      <c r="H2050" s="388" t="s">
        <v>9567</v>
      </c>
    </row>
    <row r="2051" spans="1:8" x14ac:dyDescent="0.3">
      <c r="A2051" s="45">
        <v>44321</v>
      </c>
      <c r="B2051" s="559"/>
      <c r="C2051" s="536" t="s">
        <v>861</v>
      </c>
      <c r="D2051" s="536"/>
      <c r="E2051" s="536"/>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59"/>
      <c r="C2063" s="536" t="s">
        <v>7422</v>
      </c>
      <c r="D2063" s="536"/>
      <c r="E2063" s="536"/>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59"/>
      <c r="C2075" s="536" t="s">
        <v>4415</v>
      </c>
      <c r="D2075" s="536"/>
      <c r="E2075" s="536"/>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59"/>
      <c r="C2078" s="536" t="s">
        <v>4415</v>
      </c>
      <c r="D2078" s="536"/>
      <c r="E2078" s="536"/>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59"/>
      <c r="C2090" s="536" t="s">
        <v>861</v>
      </c>
      <c r="D2090" s="536"/>
      <c r="E2090" s="536"/>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59"/>
      <c r="C2097" s="536" t="s">
        <v>7440</v>
      </c>
      <c r="D2097" s="536"/>
      <c r="E2097" s="536"/>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59"/>
      <c r="C2107" s="536" t="s">
        <v>7440</v>
      </c>
      <c r="D2107" s="536"/>
      <c r="E2107" s="536"/>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59"/>
      <c r="C2111" s="536" t="s">
        <v>7440</v>
      </c>
      <c r="D2111" s="536"/>
      <c r="E2111" s="536"/>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59"/>
      <c r="C2115" s="536" t="s">
        <v>7440</v>
      </c>
      <c r="D2115" s="536"/>
      <c r="E2115" s="536"/>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59"/>
      <c r="C2120" s="536" t="s">
        <v>7440</v>
      </c>
      <c r="D2120" s="536"/>
      <c r="E2120" s="536"/>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59"/>
      <c r="C2129" s="536" t="s">
        <v>7440</v>
      </c>
      <c r="D2129" s="536"/>
      <c r="E2129" s="536"/>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59"/>
      <c r="C2149" s="536" t="s">
        <v>7440</v>
      </c>
      <c r="D2149" s="536"/>
      <c r="E2149" s="536"/>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59"/>
      <c r="C2158" s="536" t="s">
        <v>7440</v>
      </c>
      <c r="D2158" s="536"/>
      <c r="E2158" s="536"/>
      <c r="F2158" s="43">
        <v>720000</v>
      </c>
      <c r="G2158" s="361">
        <f t="shared" si="19"/>
        <v>743869</v>
      </c>
      <c r="H2158" s="388" t="s">
        <v>9567</v>
      </c>
    </row>
    <row r="2159" spans="1:9" x14ac:dyDescent="0.3">
      <c r="A2159" s="45">
        <v>44349</v>
      </c>
      <c r="B2159" s="559"/>
      <c r="C2159" s="536" t="s">
        <v>7048</v>
      </c>
      <c r="D2159" s="536"/>
      <c r="E2159" s="536"/>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59"/>
      <c r="C2179" s="536" t="s">
        <v>7088</v>
      </c>
      <c r="D2179" s="536"/>
      <c r="E2179" s="536"/>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59"/>
      <c r="C2185" s="536" t="s">
        <v>7088</v>
      </c>
      <c r="D2185" s="536"/>
      <c r="E2185" s="536"/>
      <c r="F2185" s="43">
        <v>250000</v>
      </c>
      <c r="G2185" s="361">
        <f t="shared" si="20"/>
        <v>373893</v>
      </c>
      <c r="H2185" s="388" t="s">
        <v>9567</v>
      </c>
      <c r="I2185" s="254"/>
    </row>
    <row r="2186" spans="1:13" x14ac:dyDescent="0.3">
      <c r="A2186" s="45">
        <v>44356</v>
      </c>
      <c r="B2186" s="559"/>
      <c r="C2186" s="536" t="s">
        <v>7088</v>
      </c>
      <c r="D2186" s="536"/>
      <c r="E2186" s="536"/>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59"/>
      <c r="C2193" s="536" t="s">
        <v>7536</v>
      </c>
      <c r="D2193" s="536"/>
      <c r="E2193" s="536"/>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59"/>
      <c r="C2196" s="536" t="s">
        <v>861</v>
      </c>
      <c r="D2196" s="536"/>
      <c r="E2196" s="536"/>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59"/>
      <c r="C2206" s="536" t="s">
        <v>861</v>
      </c>
      <c r="D2206" s="536"/>
      <c r="E2206" s="536"/>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59"/>
      <c r="C2230" s="536" t="s">
        <v>4362</v>
      </c>
      <c r="D2230" s="536"/>
      <c r="E2230" s="536"/>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59"/>
      <c r="C2233" s="536" t="s">
        <v>7348</v>
      </c>
      <c r="D2233" s="536"/>
      <c r="E2233" s="536"/>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59"/>
      <c r="C2235" s="536" t="s">
        <v>861</v>
      </c>
      <c r="D2235" s="536"/>
      <c r="E2235" s="536"/>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59"/>
      <c r="C2244" s="536" t="s">
        <v>7577</v>
      </c>
      <c r="D2244" s="536"/>
      <c r="E2244" s="536"/>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0"/>
      <c r="J2245" s="540"/>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59"/>
      <c r="C2248" s="536" t="s">
        <v>7440</v>
      </c>
      <c r="D2248" s="536"/>
      <c r="E2248" s="536"/>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59"/>
      <c r="C2254" s="536" t="s">
        <v>7048</v>
      </c>
      <c r="D2254" s="536"/>
      <c r="E2254" s="536"/>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59"/>
      <c r="C2266" s="536" t="s">
        <v>4106</v>
      </c>
      <c r="D2266" s="536"/>
      <c r="E2266" s="536"/>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59"/>
      <c r="C2276" s="536" t="s">
        <v>4106</v>
      </c>
      <c r="D2276" s="536"/>
      <c r="E2276" s="536"/>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59"/>
      <c r="C2289" s="536" t="s">
        <v>7048</v>
      </c>
      <c r="D2289" s="536"/>
      <c r="E2289" s="536"/>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59"/>
      <c r="C2297" s="536" t="s">
        <v>7617</v>
      </c>
      <c r="D2297" s="536"/>
      <c r="E2297" s="536"/>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59"/>
      <c r="C2301" s="536" t="s">
        <v>7048</v>
      </c>
      <c r="D2301" s="536"/>
      <c r="E2301" s="536"/>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59"/>
      <c r="C2308" s="536" t="s">
        <v>7440</v>
      </c>
      <c r="D2308" s="536"/>
      <c r="E2308" s="536"/>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59"/>
      <c r="C2316" s="536" t="s">
        <v>7440</v>
      </c>
      <c r="D2316" s="536"/>
      <c r="E2316" s="536"/>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59"/>
      <c r="C2319" s="536" t="s">
        <v>7650</v>
      </c>
      <c r="D2319" s="536"/>
      <c r="E2319" s="536"/>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59"/>
      <c r="C2330" s="536" t="s">
        <v>861</v>
      </c>
      <c r="D2330" s="536"/>
      <c r="E2330" s="536"/>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59"/>
      <c r="C2367" s="536" t="s">
        <v>7440</v>
      </c>
      <c r="D2367" s="536"/>
      <c r="E2367" s="536"/>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59"/>
      <c r="C2380" s="536" t="s">
        <v>7440</v>
      </c>
      <c r="D2380" s="536"/>
      <c r="E2380" s="536"/>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59"/>
      <c r="C2390" s="536" t="s">
        <v>7440</v>
      </c>
      <c r="D2390" s="536"/>
      <c r="E2390" s="536"/>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59"/>
      <c r="C2400" s="536" t="s">
        <v>7440</v>
      </c>
      <c r="D2400" s="536"/>
      <c r="E2400" s="536"/>
      <c r="F2400" s="43">
        <v>10100</v>
      </c>
      <c r="G2400" s="361">
        <f t="shared" ref="G2400:G2417" si="26">G2399+F2400-E2400</f>
        <v>33807</v>
      </c>
      <c r="H2400" s="388" t="s">
        <v>9567</v>
      </c>
      <c r="M2400" s="93"/>
    </row>
    <row r="2401" spans="1:13" x14ac:dyDescent="0.3">
      <c r="A2401" s="45">
        <v>44385</v>
      </c>
      <c r="B2401" s="559"/>
      <c r="C2401" s="536" t="s">
        <v>7440</v>
      </c>
      <c r="D2401" s="536"/>
      <c r="E2401" s="536"/>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59"/>
      <c r="C2419" s="536" t="s">
        <v>7734</v>
      </c>
      <c r="D2419" s="536"/>
      <c r="E2419" s="536"/>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59"/>
      <c r="C2423" s="536" t="s">
        <v>4106</v>
      </c>
      <c r="D2423" s="536"/>
      <c r="E2423" s="536"/>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59"/>
      <c r="C2435" s="536" t="s">
        <v>7440</v>
      </c>
      <c r="D2435" s="536"/>
      <c r="E2435" s="536"/>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59"/>
      <c r="C2466" s="536" t="s">
        <v>7793</v>
      </c>
      <c r="D2466" s="536"/>
      <c r="E2466" s="536"/>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59"/>
      <c r="C2488" s="536" t="s">
        <v>4106</v>
      </c>
      <c r="D2488" s="536"/>
      <c r="E2488" s="536"/>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59"/>
      <c r="C2502" s="536" t="s">
        <v>4106</v>
      </c>
      <c r="D2502" s="536"/>
      <c r="E2502" s="536"/>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59"/>
      <c r="C2521" s="536" t="s">
        <v>7440</v>
      </c>
      <c r="D2521" s="536"/>
      <c r="E2521" s="536"/>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59"/>
      <c r="C2544" s="536" t="s">
        <v>7440</v>
      </c>
      <c r="D2544" s="536"/>
      <c r="E2544" s="536"/>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59"/>
      <c r="C2547" s="536" t="s">
        <v>7440</v>
      </c>
      <c r="D2547" s="536"/>
      <c r="E2547" s="536"/>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59"/>
      <c r="C2551" s="536" t="s">
        <v>4106</v>
      </c>
      <c r="D2551" s="536"/>
      <c r="E2551" s="536"/>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59"/>
      <c r="C2560" s="536" t="s">
        <v>7877</v>
      </c>
      <c r="D2560" s="536"/>
      <c r="E2560" s="536"/>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59"/>
      <c r="C2565" s="536" t="s">
        <v>4406</v>
      </c>
      <c r="D2565" s="536"/>
      <c r="E2565" s="536"/>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59"/>
      <c r="C2576" s="536" t="s">
        <v>7734</v>
      </c>
      <c r="D2576" s="536"/>
      <c r="E2576" s="536"/>
      <c r="F2576" s="43">
        <v>46210</v>
      </c>
      <c r="G2576" s="361">
        <f t="shared" si="31"/>
        <v>157181.66129032261</v>
      </c>
      <c r="H2576" s="388" t="s">
        <v>9567</v>
      </c>
      <c r="M2576" s="93"/>
    </row>
    <row r="2577" spans="1:13" x14ac:dyDescent="0.3">
      <c r="A2577" s="45">
        <v>44418</v>
      </c>
      <c r="B2577" s="559"/>
      <c r="C2577" s="536" t="s">
        <v>7891</v>
      </c>
      <c r="D2577" s="536"/>
      <c r="E2577" s="536"/>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59"/>
      <c r="C2584" s="536" t="s">
        <v>7734</v>
      </c>
      <c r="D2584" s="536"/>
      <c r="E2584" s="536"/>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59"/>
      <c r="C2591" s="536" t="s">
        <v>7891</v>
      </c>
      <c r="D2591" s="536"/>
      <c r="E2591" s="536"/>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59"/>
      <c r="C2606" s="536" t="s">
        <v>7891</v>
      </c>
      <c r="D2606" s="536"/>
      <c r="E2606" s="536"/>
      <c r="F2606" s="43">
        <v>100000</v>
      </c>
      <c r="G2606" s="361">
        <f>G2605+F2606-E2606</f>
        <v>107262.66129032261</v>
      </c>
      <c r="H2606" s="388" t="s">
        <v>9567</v>
      </c>
      <c r="M2606" s="93"/>
    </row>
    <row r="2607" spans="1:13" x14ac:dyDescent="0.3">
      <c r="A2607" s="45">
        <v>44425</v>
      </c>
      <c r="B2607" s="559"/>
      <c r="C2607" s="536" t="s">
        <v>7891</v>
      </c>
      <c r="D2607" s="536"/>
      <c r="E2607" s="536"/>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59"/>
      <c r="C2614" s="536" t="s">
        <v>7891</v>
      </c>
      <c r="D2614" s="536"/>
      <c r="E2614" s="536"/>
      <c r="F2614" s="43">
        <v>100000</v>
      </c>
      <c r="G2614" s="361">
        <f t="shared" si="31"/>
        <v>116924.66129032261</v>
      </c>
      <c r="H2614" s="388" t="s">
        <v>9567</v>
      </c>
      <c r="M2614" s="93"/>
    </row>
    <row r="2615" spans="1:13" x14ac:dyDescent="0.3">
      <c r="A2615" s="45">
        <v>44428</v>
      </c>
      <c r="B2615" s="559"/>
      <c r="C2615" s="536" t="s">
        <v>7891</v>
      </c>
      <c r="D2615" s="536"/>
      <c r="E2615" s="536"/>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59"/>
      <c r="C2626" s="536" t="s">
        <v>7891</v>
      </c>
      <c r="D2626" s="536"/>
      <c r="E2626" s="536"/>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59"/>
      <c r="C2650" s="536" t="s">
        <v>7951</v>
      </c>
      <c r="D2650" s="536"/>
      <c r="E2650" s="536"/>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59"/>
      <c r="C2652" s="536" t="s">
        <v>7953</v>
      </c>
      <c r="D2652" s="536"/>
      <c r="E2652" s="536"/>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59"/>
      <c r="C2654" s="536" t="s">
        <v>4106</v>
      </c>
      <c r="D2654" s="536"/>
      <c r="E2654" s="536"/>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59"/>
      <c r="C2662" s="536" t="s">
        <v>5431</v>
      </c>
      <c r="D2662" s="536"/>
      <c r="E2662" s="536"/>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59"/>
      <c r="C2683" s="536" t="s">
        <v>7977</v>
      </c>
      <c r="D2683" s="536"/>
      <c r="E2683" s="536"/>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59"/>
      <c r="C2694" s="536" t="s">
        <v>861</v>
      </c>
      <c r="D2694" s="536"/>
      <c r="E2694" s="536"/>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59"/>
      <c r="C2709" s="536" t="s">
        <v>4329</v>
      </c>
      <c r="D2709" s="536"/>
      <c r="E2709" s="536"/>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59"/>
      <c r="C2725" s="536" t="s">
        <v>8034</v>
      </c>
      <c r="D2725" s="536"/>
      <c r="E2725" s="536"/>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59"/>
      <c r="C2727" s="536" t="s">
        <v>8035</v>
      </c>
      <c r="D2727" s="536"/>
      <c r="E2727" s="536"/>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59"/>
      <c r="C2734" s="536" t="s">
        <v>4415</v>
      </c>
      <c r="D2734" s="536"/>
      <c r="E2734" s="536"/>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59"/>
      <c r="C2739" s="536" t="s">
        <v>8049</v>
      </c>
      <c r="D2739" s="536"/>
      <c r="E2739" s="536"/>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59"/>
      <c r="C2747" s="536" t="s">
        <v>861</v>
      </c>
      <c r="D2747" s="536"/>
      <c r="E2747" s="536"/>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59"/>
      <c r="C2759" s="536" t="s">
        <v>4415</v>
      </c>
      <c r="D2759" s="536"/>
      <c r="E2759" s="536"/>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59"/>
      <c r="C2771" s="536" t="s">
        <v>4106</v>
      </c>
      <c r="D2771" s="536"/>
      <c r="E2771" s="536"/>
      <c r="F2771" s="43">
        <v>100000</v>
      </c>
      <c r="G2771" s="361">
        <f t="shared" si="36"/>
        <v>111049.66129032266</v>
      </c>
      <c r="H2771" s="388" t="s">
        <v>9567</v>
      </c>
      <c r="M2771" s="93"/>
    </row>
    <row r="2772" spans="1:13" x14ac:dyDescent="0.3">
      <c r="A2772" s="45">
        <v>44473</v>
      </c>
      <c r="B2772" s="559"/>
      <c r="C2772" s="536" t="s">
        <v>4106</v>
      </c>
      <c r="D2772" s="536"/>
      <c r="E2772" s="536"/>
      <c r="F2772" s="43">
        <v>100000</v>
      </c>
      <c r="G2772" s="361">
        <f t="shared" si="36"/>
        <v>211049.66129032266</v>
      </c>
      <c r="H2772" s="388" t="s">
        <v>9567</v>
      </c>
      <c r="M2772" s="93"/>
    </row>
    <row r="2773" spans="1:13" x14ac:dyDescent="0.3">
      <c r="A2773" s="45">
        <v>44473</v>
      </c>
      <c r="B2773" s="559"/>
      <c r="C2773" s="536" t="s">
        <v>4106</v>
      </c>
      <c r="D2773" s="536"/>
      <c r="E2773" s="536"/>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59"/>
      <c r="C2776" s="536" t="s">
        <v>8072</v>
      </c>
      <c r="D2776" s="536"/>
      <c r="E2776" s="536"/>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59"/>
      <c r="C2795" s="536" t="s">
        <v>4106</v>
      </c>
      <c r="D2795" s="536"/>
      <c r="E2795" s="536"/>
      <c r="F2795" s="43">
        <v>150000</v>
      </c>
      <c r="G2795" s="361">
        <f t="shared" ref="G2795:G2813" si="37">G2794+F2795-E2795</f>
        <v>156347.66129032266</v>
      </c>
      <c r="H2795" s="388" t="s">
        <v>9567</v>
      </c>
      <c r="M2795" s="93"/>
    </row>
    <row r="2796" spans="1:13" x14ac:dyDescent="0.3">
      <c r="A2796" s="45">
        <v>44474</v>
      </c>
      <c r="B2796" s="559"/>
      <c r="C2796" s="536" t="s">
        <v>4415</v>
      </c>
      <c r="D2796" s="536"/>
      <c r="E2796" s="536"/>
      <c r="F2796" s="43">
        <v>350000</v>
      </c>
      <c r="G2796" s="361">
        <f t="shared" si="37"/>
        <v>506347.66129032266</v>
      </c>
      <c r="H2796" s="388" t="s">
        <v>9567</v>
      </c>
      <c r="M2796" s="93"/>
    </row>
    <row r="2797" spans="1:13" x14ac:dyDescent="0.3">
      <c r="A2797" s="45">
        <v>44474</v>
      </c>
      <c r="B2797" s="559"/>
      <c r="C2797" s="536" t="s">
        <v>4415</v>
      </c>
      <c r="D2797" s="536"/>
      <c r="E2797" s="536"/>
      <c r="F2797" s="43">
        <v>300000</v>
      </c>
      <c r="G2797" s="361">
        <f t="shared" si="37"/>
        <v>806347.66129032266</v>
      </c>
      <c r="H2797" s="388" t="s">
        <v>9567</v>
      </c>
      <c r="M2797" s="93"/>
    </row>
    <row r="2798" spans="1:13" x14ac:dyDescent="0.3">
      <c r="A2798" s="45">
        <v>44474</v>
      </c>
      <c r="B2798" s="559"/>
      <c r="C2798" s="536" t="s">
        <v>4415</v>
      </c>
      <c r="D2798" s="536"/>
      <c r="E2798" s="536"/>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59"/>
      <c r="C2810" s="536" t="s">
        <v>8093</v>
      </c>
      <c r="D2810" s="536"/>
      <c r="E2810" s="536"/>
      <c r="F2810" s="43">
        <v>62000</v>
      </c>
      <c r="G2810" s="361">
        <f t="shared" si="37"/>
        <v>93572.661290322663</v>
      </c>
      <c r="H2810" s="388" t="s">
        <v>9567</v>
      </c>
    </row>
    <row r="2811" spans="1:8" x14ac:dyDescent="0.3">
      <c r="A2811" s="45">
        <v>44474</v>
      </c>
      <c r="B2811" s="559"/>
      <c r="C2811" s="536" t="s">
        <v>8094</v>
      </c>
      <c r="D2811" s="536"/>
      <c r="E2811" s="536"/>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59"/>
      <c r="C2824" s="536" t="s">
        <v>4415</v>
      </c>
      <c r="D2824" s="536"/>
      <c r="E2824" s="536"/>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59"/>
      <c r="C2831" s="536" t="s">
        <v>8112</v>
      </c>
      <c r="D2831" s="536"/>
      <c r="E2831" s="536"/>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59"/>
      <c r="C2837" s="536" t="s">
        <v>4106</v>
      </c>
      <c r="D2837" s="536"/>
      <c r="E2837" s="536"/>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59"/>
      <c r="C2845" s="536" t="s">
        <v>4106</v>
      </c>
      <c r="D2845" s="536"/>
      <c r="E2845" s="536"/>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59"/>
      <c r="C2860" s="536" t="s">
        <v>8134</v>
      </c>
      <c r="D2860" s="536"/>
      <c r="E2860" s="536"/>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59"/>
      <c r="C2871" s="536" t="s">
        <v>8034</v>
      </c>
      <c r="D2871" s="536"/>
      <c r="E2871" s="536"/>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59"/>
      <c r="C2879" s="536" t="s">
        <v>3444</v>
      </c>
      <c r="D2879" s="536"/>
      <c r="E2879" s="536"/>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59"/>
      <c r="C2888" s="536" t="s">
        <v>4106</v>
      </c>
      <c r="D2888" s="536"/>
      <c r="E2888" s="536"/>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59"/>
      <c r="C2896" s="536" t="s">
        <v>4364</v>
      </c>
      <c r="D2896" s="536"/>
      <c r="E2896" s="536"/>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59"/>
      <c r="C2904" s="536" t="s">
        <v>4364</v>
      </c>
      <c r="D2904" s="536"/>
      <c r="E2904" s="536"/>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59"/>
      <c r="C2911" s="536" t="s">
        <v>4106</v>
      </c>
      <c r="D2911" s="536"/>
      <c r="E2911" s="536"/>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59"/>
      <c r="C2921" s="536" t="s">
        <v>4106</v>
      </c>
      <c r="D2921" s="536"/>
      <c r="E2921" s="536"/>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59"/>
      <c r="C2947" s="536" t="s">
        <v>7440</v>
      </c>
      <c r="D2947" s="536"/>
      <c r="E2947" s="536"/>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59"/>
      <c r="C2955" s="536" t="s">
        <v>4106</v>
      </c>
      <c r="D2955" s="536"/>
      <c r="E2955" s="536"/>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59"/>
      <c r="C2957" s="536" t="s">
        <v>3444</v>
      </c>
      <c r="D2957" s="536"/>
      <c r="E2957" s="536"/>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59"/>
      <c r="C2972" s="536" t="s">
        <v>4106</v>
      </c>
      <c r="D2972" s="536"/>
      <c r="E2972" s="536"/>
      <c r="F2972" s="43">
        <v>250000</v>
      </c>
      <c r="G2972" s="361">
        <f t="shared" si="43"/>
        <v>250502.66129032266</v>
      </c>
      <c r="H2972" s="388" t="s">
        <v>9567</v>
      </c>
      <c r="M2972" s="93"/>
    </row>
    <row r="2973" spans="1:13" x14ac:dyDescent="0.3">
      <c r="A2973" s="45">
        <v>44508</v>
      </c>
      <c r="B2973" s="559"/>
      <c r="C2973" s="536" t="s">
        <v>4106</v>
      </c>
      <c r="D2973" s="536"/>
      <c r="E2973" s="536"/>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59"/>
      <c r="C2985" s="536" t="s">
        <v>7440</v>
      </c>
      <c r="D2985" s="536"/>
      <c r="E2985" s="536"/>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59"/>
      <c r="C2987" s="536" t="s">
        <v>7440</v>
      </c>
      <c r="D2987" s="536"/>
      <c r="E2987" s="536"/>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59"/>
      <c r="C2997" s="536" t="s">
        <v>7440</v>
      </c>
      <c r="D2997" s="536"/>
      <c r="E2997" s="536"/>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59"/>
      <c r="C3003" s="536" t="s">
        <v>8272</v>
      </c>
      <c r="D3003" s="536"/>
      <c r="E3003" s="536"/>
      <c r="F3003" s="43">
        <v>4000</v>
      </c>
      <c r="G3003" s="361">
        <f t="shared" si="43"/>
        <v>121667.66129032266</v>
      </c>
      <c r="H3003" s="388" t="s">
        <v>9567</v>
      </c>
      <c r="M3003" s="93"/>
    </row>
    <row r="3004" spans="1:13" x14ac:dyDescent="0.3">
      <c r="A3004" s="45">
        <v>44513</v>
      </c>
      <c r="B3004" s="559"/>
      <c r="C3004" s="536" t="s">
        <v>8260</v>
      </c>
      <c r="D3004" s="536"/>
      <c r="E3004" s="536"/>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59"/>
      <c r="C3017" s="536" t="s">
        <v>7440</v>
      </c>
      <c r="D3017" s="536"/>
      <c r="E3017" s="536"/>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59"/>
      <c r="C3022" s="536" t="s">
        <v>8290</v>
      </c>
      <c r="D3022" s="536"/>
      <c r="E3022" s="536"/>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59"/>
      <c r="C3027" s="536" t="s">
        <v>7440</v>
      </c>
      <c r="D3027" s="536"/>
      <c r="E3027" s="536"/>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59"/>
      <c r="C3037" s="536" t="s">
        <v>7440</v>
      </c>
      <c r="D3037" s="536"/>
      <c r="E3037" s="536"/>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59"/>
      <c r="C3049" s="536" t="s">
        <v>7440</v>
      </c>
      <c r="D3049" s="536"/>
      <c r="E3049" s="536"/>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59"/>
      <c r="C3051" s="536" t="s">
        <v>8290</v>
      </c>
      <c r="D3051" s="536"/>
      <c r="E3051" s="536"/>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59"/>
      <c r="C3054" s="536" t="s">
        <v>4106</v>
      </c>
      <c r="D3054" s="536"/>
      <c r="E3054" s="536"/>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59"/>
      <c r="C3079" s="536" t="s">
        <v>7440</v>
      </c>
      <c r="D3079" s="536"/>
      <c r="E3079" s="536"/>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59"/>
      <c r="C3088" s="536" t="s">
        <v>4406</v>
      </c>
      <c r="D3088" s="536"/>
      <c r="E3088" s="536"/>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59"/>
      <c r="C3102" s="536" t="s">
        <v>8290</v>
      </c>
      <c r="D3102" s="536"/>
      <c r="E3102" s="536"/>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59"/>
      <c r="C3114" s="536" t="s">
        <v>7440</v>
      </c>
      <c r="D3114" s="536"/>
      <c r="E3114" s="536"/>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59"/>
      <c r="C3122" s="536" t="s">
        <v>8626</v>
      </c>
      <c r="D3122" s="536"/>
      <c r="E3122" s="536"/>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59"/>
      <c r="C3126" s="536" t="s">
        <v>4106</v>
      </c>
      <c r="D3126" s="536"/>
      <c r="E3126" s="536"/>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59"/>
      <c r="C3143" s="536" t="s">
        <v>4106</v>
      </c>
      <c r="D3143" s="536"/>
      <c r="E3143" s="536"/>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59"/>
      <c r="C3153" s="536" t="s">
        <v>7440</v>
      </c>
      <c r="D3153" s="536"/>
      <c r="E3153" s="536"/>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59"/>
      <c r="C3171" s="536" t="s">
        <v>8290</v>
      </c>
      <c r="D3171" s="536"/>
      <c r="E3171" s="536"/>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59"/>
      <c r="C3177" s="536" t="s">
        <v>4106</v>
      </c>
      <c r="D3177" s="536"/>
      <c r="E3177" s="536"/>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59"/>
      <c r="C3195" s="536" t="s">
        <v>4106</v>
      </c>
      <c r="D3195" s="536"/>
      <c r="E3195" s="536"/>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59"/>
      <c r="C3225" s="536" t="s">
        <v>4106</v>
      </c>
      <c r="D3225" s="536"/>
      <c r="E3225" s="536"/>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59"/>
      <c r="C3238" s="536" t="s">
        <v>8290</v>
      </c>
      <c r="D3238" s="536"/>
      <c r="E3238" s="536"/>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59"/>
      <c r="C3250" s="536" t="s">
        <v>4106</v>
      </c>
      <c r="D3250" s="536"/>
      <c r="E3250" s="536"/>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59"/>
      <c r="C3271" s="536" t="s">
        <v>4106</v>
      </c>
      <c r="D3271" s="536"/>
      <c r="E3271" s="536"/>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59"/>
      <c r="C3296" s="536" t="s">
        <v>4106</v>
      </c>
      <c r="D3296" s="536"/>
      <c r="E3296" s="536"/>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59"/>
      <c r="C3311" s="536" t="s">
        <v>8801</v>
      </c>
      <c r="D3311" s="536"/>
      <c r="E3311" s="536"/>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59"/>
      <c r="C3319" s="536" t="s">
        <v>7440</v>
      </c>
      <c r="D3319" s="536"/>
      <c r="E3319" s="536"/>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59"/>
      <c r="C3330" s="536" t="s">
        <v>7440</v>
      </c>
      <c r="D3330" s="536"/>
      <c r="E3330" s="536"/>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1"/>
      <c r="C3347" s="541" t="s">
        <v>4106</v>
      </c>
      <c r="D3347" s="542"/>
      <c r="E3347" s="543"/>
      <c r="F3347" s="249">
        <v>250000</v>
      </c>
      <c r="G3347" s="361">
        <f t="shared" si="57"/>
        <v>265979.66129032266</v>
      </c>
      <c r="H3347" s="388" t="s">
        <v>9567</v>
      </c>
      <c r="M3347" s="93"/>
    </row>
    <row r="3348" spans="1:13" x14ac:dyDescent="0.3">
      <c r="A3348" s="330">
        <v>44599</v>
      </c>
      <c r="B3348" s="561"/>
      <c r="C3348" s="541" t="s">
        <v>4106</v>
      </c>
      <c r="D3348" s="542"/>
      <c r="E3348" s="543"/>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1"/>
      <c r="C3357" s="541" t="s">
        <v>8837</v>
      </c>
      <c r="D3357" s="542"/>
      <c r="E3357" s="543"/>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1"/>
      <c r="C3360" s="541" t="s">
        <v>8839</v>
      </c>
      <c r="D3360" s="542"/>
      <c r="E3360" s="543"/>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1"/>
      <c r="C3363" s="541" t="s">
        <v>4106</v>
      </c>
      <c r="D3363" s="542"/>
      <c r="E3363" s="543"/>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1"/>
      <c r="C3374" s="541" t="s">
        <v>7440</v>
      </c>
      <c r="D3374" s="542"/>
      <c r="E3374" s="543"/>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1"/>
      <c r="C3382" s="541" t="s">
        <v>8856</v>
      </c>
      <c r="D3382" s="542"/>
      <c r="E3382" s="543"/>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1"/>
      <c r="C3387" s="541" t="s">
        <v>8290</v>
      </c>
      <c r="D3387" s="542"/>
      <c r="E3387" s="543"/>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1"/>
      <c r="C3389" s="541" t="s">
        <v>7440</v>
      </c>
      <c r="D3389" s="542"/>
      <c r="E3389" s="543"/>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1"/>
      <c r="C3394" s="541" t="s">
        <v>8290</v>
      </c>
      <c r="D3394" s="542"/>
      <c r="E3394" s="543"/>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1"/>
      <c r="C3397" s="541" t="s">
        <v>3444</v>
      </c>
      <c r="D3397" s="542"/>
      <c r="E3397" s="543"/>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1"/>
      <c r="C3413" s="541" t="s">
        <v>8290</v>
      </c>
      <c r="D3413" s="542"/>
      <c r="E3413" s="543"/>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1"/>
      <c r="C3419" s="541" t="s">
        <v>4106</v>
      </c>
      <c r="D3419" s="542"/>
      <c r="E3419" s="543"/>
      <c r="F3419" s="249">
        <v>300000</v>
      </c>
      <c r="G3419" s="361">
        <f t="shared" si="62"/>
        <v>301863.66129032266</v>
      </c>
      <c r="H3419" s="388" t="s">
        <v>9567</v>
      </c>
    </row>
    <row r="3420" spans="1:13" x14ac:dyDescent="0.3">
      <c r="A3420" s="45">
        <v>44620</v>
      </c>
      <c r="B3420" s="561"/>
      <c r="C3420" s="541" t="s">
        <v>4106</v>
      </c>
      <c r="D3420" s="542"/>
      <c r="E3420" s="543"/>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2"/>
      <c r="C3454" s="544" t="s">
        <v>7440</v>
      </c>
      <c r="D3454" s="545"/>
      <c r="E3454" s="546"/>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1"/>
      <c r="C3464" s="541" t="s">
        <v>4106</v>
      </c>
      <c r="D3464" s="542"/>
      <c r="E3464" s="543"/>
      <c r="F3464" s="43">
        <v>250000</v>
      </c>
      <c r="G3464" s="361">
        <f t="shared" si="66"/>
        <v>263832.66129032266</v>
      </c>
      <c r="H3464" s="388" t="s">
        <v>9567</v>
      </c>
    </row>
    <row r="3465" spans="1:8" x14ac:dyDescent="0.3">
      <c r="A3465" s="45">
        <v>44628</v>
      </c>
      <c r="B3465" s="561"/>
      <c r="C3465" s="541" t="s">
        <v>4106</v>
      </c>
      <c r="D3465" s="542"/>
      <c r="E3465" s="543"/>
      <c r="F3465" s="43">
        <v>250000</v>
      </c>
      <c r="G3465" s="361">
        <f t="shared" si="66"/>
        <v>513832.66129032266</v>
      </c>
      <c r="H3465" s="388" t="s">
        <v>9567</v>
      </c>
    </row>
    <row r="3466" spans="1:8" x14ac:dyDescent="0.3">
      <c r="A3466" s="45">
        <v>44628</v>
      </c>
      <c r="B3466" s="562"/>
      <c r="C3466" s="544" t="s">
        <v>7440</v>
      </c>
      <c r="D3466" s="545"/>
      <c r="E3466" s="546"/>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2"/>
      <c r="C3479" s="544" t="s">
        <v>8938</v>
      </c>
      <c r="D3479" s="545"/>
      <c r="E3479" s="546"/>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2"/>
      <c r="C3481" s="544" t="s">
        <v>8941</v>
      </c>
      <c r="D3481" s="545"/>
      <c r="E3481" s="546"/>
      <c r="F3481" s="335">
        <v>500</v>
      </c>
      <c r="G3481" s="361">
        <f t="shared" si="66"/>
        <v>28826.661290322663</v>
      </c>
      <c r="H3481" s="388" t="s">
        <v>9567</v>
      </c>
    </row>
    <row r="3482" spans="1:8" x14ac:dyDescent="0.3">
      <c r="A3482" s="45">
        <v>44630</v>
      </c>
      <c r="B3482" s="561"/>
      <c r="C3482" s="541" t="s">
        <v>4106</v>
      </c>
      <c r="D3482" s="542"/>
      <c r="E3482" s="543"/>
      <c r="F3482" s="43">
        <v>250000</v>
      </c>
      <c r="G3482" s="361">
        <f t="shared" si="66"/>
        <v>278826.66129032266</v>
      </c>
      <c r="H3482" s="388" t="s">
        <v>9567</v>
      </c>
    </row>
    <row r="3483" spans="1:8" x14ac:dyDescent="0.3">
      <c r="A3483" s="45">
        <v>44630</v>
      </c>
      <c r="B3483" s="561"/>
      <c r="C3483" s="541" t="s">
        <v>4106</v>
      </c>
      <c r="D3483" s="542"/>
      <c r="E3483" s="543"/>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2"/>
      <c r="C3504" s="544" t="s">
        <v>8974</v>
      </c>
      <c r="D3504" s="545"/>
      <c r="E3504" s="546"/>
      <c r="F3504" s="335">
        <v>10000</v>
      </c>
      <c r="G3504" s="361">
        <f t="shared" ref="G3504" si="67">G3503+F3504-E3504</f>
        <v>10247.661290322663</v>
      </c>
      <c r="H3504" s="388" t="s">
        <v>9567</v>
      </c>
    </row>
    <row r="3505" spans="1:8" x14ac:dyDescent="0.3">
      <c r="A3505" s="45">
        <v>44638</v>
      </c>
      <c r="B3505" s="562"/>
      <c r="C3505" s="544" t="s">
        <v>8974</v>
      </c>
      <c r="D3505" s="545"/>
      <c r="E3505" s="546"/>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2"/>
      <c r="C3516" s="544" t="s">
        <v>7440</v>
      </c>
      <c r="D3516" s="545"/>
      <c r="E3516" s="546"/>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2"/>
      <c r="C3521" s="544" t="s">
        <v>7440</v>
      </c>
      <c r="D3521" s="545"/>
      <c r="E3521" s="546"/>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59"/>
      <c r="C3531" s="536" t="s">
        <v>8974</v>
      </c>
      <c r="D3531" s="536"/>
      <c r="E3531" s="536"/>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59"/>
      <c r="C3535" s="536" t="s">
        <v>7440</v>
      </c>
      <c r="D3535" s="536"/>
      <c r="E3535" s="536"/>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59"/>
      <c r="C3545" s="536" t="s">
        <v>7440</v>
      </c>
      <c r="D3545" s="536"/>
      <c r="E3545" s="536"/>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59"/>
      <c r="C3557" s="536" t="s">
        <v>7440</v>
      </c>
      <c r="D3557" s="536"/>
      <c r="E3557" s="536"/>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59"/>
      <c r="C3571" s="536" t="s">
        <v>4106</v>
      </c>
      <c r="D3571" s="536"/>
      <c r="E3571" s="536"/>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59"/>
      <c r="C3585" s="536" t="s">
        <v>7440</v>
      </c>
      <c r="D3585" s="536"/>
      <c r="E3585" s="536"/>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59"/>
      <c r="C3590" s="536" t="s">
        <v>7440</v>
      </c>
      <c r="D3590" s="536"/>
      <c r="E3590" s="536"/>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59"/>
      <c r="C3598" s="536" t="s">
        <v>7440</v>
      </c>
      <c r="D3598" s="536"/>
      <c r="E3598" s="536"/>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59"/>
      <c r="C3609" s="536" t="s">
        <v>7440</v>
      </c>
      <c r="D3609" s="536"/>
      <c r="E3609" s="536"/>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59"/>
      <c r="C3616" s="536" t="s">
        <v>9067</v>
      </c>
      <c r="D3616" s="536"/>
      <c r="E3616" s="536"/>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59"/>
      <c r="C3621" s="536" t="s">
        <v>4106</v>
      </c>
      <c r="D3621" s="536"/>
      <c r="E3621" s="536"/>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59"/>
      <c r="C3630" s="536" t="s">
        <v>9067</v>
      </c>
      <c r="D3630" s="536"/>
      <c r="E3630" s="536"/>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59"/>
      <c r="C3633" s="536" t="s">
        <v>7440</v>
      </c>
      <c r="D3633" s="536"/>
      <c r="E3633" s="536"/>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59"/>
      <c r="C3640" s="536" t="s">
        <v>7440</v>
      </c>
      <c r="D3640" s="536"/>
      <c r="E3640" s="536"/>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59"/>
      <c r="C3645" s="536" t="s">
        <v>9094</v>
      </c>
      <c r="D3645" s="536"/>
      <c r="E3645" s="536"/>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59"/>
      <c r="C3662" s="536" t="s">
        <v>9111</v>
      </c>
      <c r="D3662" s="536"/>
      <c r="E3662" s="536"/>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3"/>
      <c r="C3668" s="547" t="s">
        <v>9123</v>
      </c>
      <c r="D3668" s="536"/>
      <c r="E3668" s="536"/>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3"/>
      <c r="C3672" s="547" t="s">
        <v>9122</v>
      </c>
      <c r="D3672" s="536"/>
      <c r="E3672" s="536"/>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59"/>
      <c r="C3679" s="536" t="s">
        <v>7440</v>
      </c>
      <c r="D3679" s="536"/>
      <c r="E3679" s="536"/>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59"/>
      <c r="C3690" s="536" t="s">
        <v>4106</v>
      </c>
      <c r="D3690" s="536"/>
      <c r="E3690" s="536"/>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59"/>
      <c r="C3701" s="536" t="s">
        <v>7440</v>
      </c>
      <c r="D3701" s="536"/>
      <c r="E3701" s="536"/>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59"/>
      <c r="C3723" s="536" t="s">
        <v>7440</v>
      </c>
      <c r="D3723" s="536"/>
      <c r="E3723" s="536"/>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59"/>
      <c r="C3732" s="536" t="s">
        <v>7440</v>
      </c>
      <c r="D3732" s="536"/>
      <c r="E3732" s="536"/>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59"/>
      <c r="C3737" s="536" t="s">
        <v>7440</v>
      </c>
      <c r="D3737" s="536"/>
      <c r="E3737" s="536"/>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59"/>
      <c r="C3746" s="536" t="s">
        <v>9181</v>
      </c>
      <c r="D3746" s="536"/>
      <c r="E3746" s="536"/>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59"/>
      <c r="C3750" s="536" t="s">
        <v>4106</v>
      </c>
      <c r="D3750" s="536"/>
      <c r="E3750" s="536"/>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59"/>
      <c r="C3760" s="536" t="s">
        <v>4106</v>
      </c>
      <c r="D3760" s="536"/>
      <c r="E3760" s="536"/>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59"/>
      <c r="C3769" s="536" t="s">
        <v>8974</v>
      </c>
      <c r="D3769" s="536"/>
      <c r="E3769" s="536"/>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59"/>
      <c r="C3771" s="536" t="s">
        <v>9202</v>
      </c>
      <c r="D3771" s="536"/>
      <c r="E3771" s="536"/>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59"/>
      <c r="C3780" s="536" t="s">
        <v>4106</v>
      </c>
      <c r="D3780" s="536"/>
      <c r="E3780" s="536"/>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59"/>
      <c r="C3791" s="536" t="s">
        <v>9224</v>
      </c>
      <c r="D3791" s="536"/>
      <c r="E3791" s="536"/>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59"/>
      <c r="C3793" s="536" t="s">
        <v>4106</v>
      </c>
      <c r="D3793" s="536"/>
      <c r="E3793" s="536"/>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59"/>
      <c r="C3801" s="536" t="s">
        <v>4106</v>
      </c>
      <c r="D3801" s="536"/>
      <c r="E3801" s="536"/>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59"/>
      <c r="C3818" s="536" t="s">
        <v>4106</v>
      </c>
      <c r="D3818" s="536"/>
      <c r="E3818" s="536"/>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59"/>
      <c r="C3822" s="536" t="s">
        <v>4106</v>
      </c>
      <c r="D3822" s="536"/>
      <c r="E3822" s="536"/>
      <c r="F3822" s="43">
        <v>500000</v>
      </c>
      <c r="G3822" s="48">
        <f t="shared" ref="G3822:G3825" si="89">G3821+F3822-E3822</f>
        <v>587162.66129032266</v>
      </c>
      <c r="H3822" s="388" t="s">
        <v>9567</v>
      </c>
    </row>
    <row r="3823" spans="1:8" x14ac:dyDescent="0.3">
      <c r="A3823" s="45">
        <v>44712</v>
      </c>
      <c r="B3823" s="559"/>
      <c r="C3823" s="536" t="s">
        <v>3444</v>
      </c>
      <c r="D3823" s="536"/>
      <c r="E3823" s="536"/>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59"/>
      <c r="C3849" s="536" t="s">
        <v>7440</v>
      </c>
      <c r="D3849" s="536"/>
      <c r="E3849" s="536"/>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59"/>
      <c r="C3862" s="536" t="s">
        <v>7440</v>
      </c>
      <c r="D3862" s="536"/>
      <c r="E3862" s="536"/>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59"/>
      <c r="C3869" s="536" t="s">
        <v>7440</v>
      </c>
      <c r="D3869" s="536"/>
      <c r="E3869" s="536"/>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59"/>
      <c r="C3875" s="536" t="s">
        <v>8290</v>
      </c>
      <c r="D3875" s="536"/>
      <c r="E3875" s="536"/>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59"/>
      <c r="C3880" s="536" t="s">
        <v>4106</v>
      </c>
      <c r="D3880" s="536"/>
      <c r="E3880" s="536"/>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59"/>
      <c r="C3895" s="536" t="s">
        <v>9310</v>
      </c>
      <c r="D3895" s="536"/>
      <c r="E3895" s="536"/>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59"/>
      <c r="C3931" s="536" t="s">
        <v>7440</v>
      </c>
      <c r="D3931" s="536"/>
      <c r="E3931" s="536"/>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59"/>
      <c r="C3935" s="536" t="s">
        <v>3444</v>
      </c>
      <c r="D3935" s="536"/>
      <c r="E3935" s="536"/>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59"/>
      <c r="C3944" s="536" t="s">
        <v>7440</v>
      </c>
      <c r="D3944" s="536"/>
      <c r="E3944" s="536"/>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59"/>
      <c r="C3959" s="536" t="s">
        <v>7440</v>
      </c>
      <c r="D3959" s="536"/>
      <c r="E3959" s="536"/>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59"/>
      <c r="C3978" s="536" t="s">
        <v>7440</v>
      </c>
      <c r="D3978" s="536"/>
      <c r="E3978" s="536"/>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59"/>
      <c r="C3986" s="536" t="s">
        <v>9403</v>
      </c>
      <c r="D3986" s="536"/>
      <c r="E3986" s="536"/>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59"/>
      <c r="C3999" s="536" t="s">
        <v>9403</v>
      </c>
      <c r="D3999" s="536"/>
      <c r="E3999" s="536"/>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59"/>
      <c r="C4008" s="536" t="s">
        <v>7440</v>
      </c>
      <c r="D4008" s="536"/>
      <c r="E4008" s="536"/>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59"/>
      <c r="C4025" s="536" t="s">
        <v>7440</v>
      </c>
      <c r="D4025" s="536"/>
      <c r="E4025" s="536"/>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59"/>
      <c r="C4034" s="536" t="s">
        <v>4106</v>
      </c>
      <c r="D4034" s="536"/>
      <c r="E4034" s="536"/>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59"/>
      <c r="C4040" s="536" t="s">
        <v>7440</v>
      </c>
      <c r="D4040" s="536"/>
      <c r="E4040" s="536"/>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59"/>
      <c r="C4051" s="536" t="s">
        <v>7440</v>
      </c>
      <c r="D4051" s="536"/>
      <c r="E4051" s="536"/>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59"/>
      <c r="C4056" s="536" t="s">
        <v>7440</v>
      </c>
      <c r="D4056" s="536"/>
      <c r="E4056" s="536"/>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59"/>
      <c r="C4059" s="536" t="s">
        <v>4362</v>
      </c>
      <c r="D4059" s="536"/>
      <c r="E4059" s="536"/>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59"/>
      <c r="C4061" s="536" t="s">
        <v>4106</v>
      </c>
      <c r="D4061" s="536"/>
      <c r="E4061" s="536"/>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59"/>
      <c r="C4082" s="536" t="s">
        <v>7440</v>
      </c>
      <c r="D4082" s="536"/>
      <c r="E4082" s="536"/>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59"/>
      <c r="C4118" s="536" t="s">
        <v>4106</v>
      </c>
      <c r="D4118" s="536"/>
      <c r="E4118" s="536"/>
      <c r="F4118" s="43">
        <v>100000</v>
      </c>
      <c r="G4118" s="48">
        <f t="shared" ref="G4118" si="105">G4117+F4118-E4118</f>
        <v>103519</v>
      </c>
      <c r="H4118" s="388" t="s">
        <v>9567</v>
      </c>
    </row>
    <row r="4119" spans="1:8" x14ac:dyDescent="0.3">
      <c r="A4119" s="45">
        <v>44783</v>
      </c>
      <c r="B4119" s="559"/>
      <c r="C4119" s="536" t="s">
        <v>4106</v>
      </c>
      <c r="D4119" s="536"/>
      <c r="E4119" s="536"/>
      <c r="F4119" s="43">
        <v>100000</v>
      </c>
      <c r="G4119" s="48">
        <f t="shared" ref="G4119:G4120" si="106">G4118+F4119-E4119</f>
        <v>203519</v>
      </c>
      <c r="H4119" s="388" t="s">
        <v>9567</v>
      </c>
    </row>
    <row r="4120" spans="1:8" x14ac:dyDescent="0.3">
      <c r="A4120" s="45">
        <v>44783</v>
      </c>
      <c r="B4120" s="559"/>
      <c r="C4120" s="536" t="s">
        <v>4106</v>
      </c>
      <c r="D4120" s="536"/>
      <c r="E4120" s="536"/>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59"/>
      <c r="C4128" s="536" t="s">
        <v>4106</v>
      </c>
      <c r="D4128" s="536"/>
      <c r="E4128" s="536"/>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59"/>
      <c r="C4148" s="536" t="s">
        <v>4106</v>
      </c>
      <c r="D4148" s="536"/>
      <c r="E4148" s="536"/>
      <c r="F4148" s="43">
        <v>50000</v>
      </c>
      <c r="G4148" s="48">
        <f t="shared" ref="G4148:G4149" si="109">G4147+F4148-E4148</f>
        <v>54225</v>
      </c>
      <c r="H4148" s="388" t="s">
        <v>9567</v>
      </c>
    </row>
    <row r="4149" spans="1:8" x14ac:dyDescent="0.3">
      <c r="A4149" s="45">
        <v>44788</v>
      </c>
      <c r="B4149" s="559"/>
      <c r="C4149" s="536" t="s">
        <v>4106</v>
      </c>
      <c r="D4149" s="536"/>
      <c r="E4149" s="536"/>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59"/>
      <c r="C4156" s="536" t="s">
        <v>4362</v>
      </c>
      <c r="D4156" s="536"/>
      <c r="E4156" s="536"/>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59"/>
      <c r="C4161" s="536" t="s">
        <v>4106</v>
      </c>
      <c r="D4161" s="536"/>
      <c r="E4161" s="536"/>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59"/>
      <c r="C4170" s="536" t="s">
        <v>4106</v>
      </c>
      <c r="D4170" s="536"/>
      <c r="E4170" s="536"/>
      <c r="F4170" s="43">
        <v>100000</v>
      </c>
      <c r="G4170" s="48">
        <f t="shared" si="107"/>
        <v>112465</v>
      </c>
      <c r="H4170" s="388" t="s">
        <v>9567</v>
      </c>
    </row>
    <row r="4171" spans="1:8" x14ac:dyDescent="0.3">
      <c r="A4171" s="45">
        <v>44792</v>
      </c>
      <c r="B4171" s="559"/>
      <c r="C4171" s="536" t="s">
        <v>4106</v>
      </c>
      <c r="D4171" s="536"/>
      <c r="E4171" s="536"/>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59"/>
      <c r="C4185" s="536" t="s">
        <v>4106</v>
      </c>
      <c r="D4185" s="536"/>
      <c r="E4185" s="536"/>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59"/>
      <c r="C4199" s="536" t="s">
        <v>4364</v>
      </c>
      <c r="D4199" s="536"/>
      <c r="E4199" s="536"/>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59"/>
      <c r="C4209" s="536" t="s">
        <v>4364</v>
      </c>
      <c r="D4209" s="536"/>
      <c r="E4209" s="536"/>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59"/>
      <c r="C4215" s="536" t="s">
        <v>4364</v>
      </c>
      <c r="D4215" s="536"/>
      <c r="E4215" s="536"/>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59"/>
      <c r="C4246" s="536" t="s">
        <v>4364</v>
      </c>
      <c r="D4246" s="536"/>
      <c r="E4246" s="536"/>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59"/>
      <c r="C4268" s="536" t="s">
        <v>4364</v>
      </c>
      <c r="D4268" s="536"/>
      <c r="E4268" s="536"/>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59"/>
      <c r="C4290" s="536" t="s">
        <v>4364</v>
      </c>
      <c r="D4290" s="536"/>
      <c r="E4290" s="536"/>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59"/>
      <c r="C4309" s="536" t="s">
        <v>4364</v>
      </c>
      <c r="D4309" s="536"/>
      <c r="E4309" s="536"/>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59"/>
      <c r="C4319" s="536" t="s">
        <v>4364</v>
      </c>
      <c r="D4319" s="536"/>
      <c r="E4319" s="536"/>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59"/>
      <c r="C4327" s="536" t="s">
        <v>6069</v>
      </c>
      <c r="D4327" s="536"/>
      <c r="E4327" s="536"/>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59"/>
      <c r="C4368" s="536" t="s">
        <v>4364</v>
      </c>
      <c r="D4368" s="536"/>
      <c r="E4368" s="536"/>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59"/>
      <c r="C4381" s="536" t="s">
        <v>4106</v>
      </c>
      <c r="D4381" s="536"/>
      <c r="E4381" s="536"/>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59"/>
      <c r="C4405" s="536" t="s">
        <v>8290</v>
      </c>
      <c r="D4405" s="536"/>
      <c r="E4405" s="536"/>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59"/>
      <c r="C4412" s="536" t="s">
        <v>4106</v>
      </c>
      <c r="D4412" s="536"/>
      <c r="E4412" s="536"/>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0"/>
      <c r="J4416" s="550"/>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59"/>
      <c r="C4428" s="536" t="s">
        <v>4106</v>
      </c>
      <c r="D4428" s="536"/>
      <c r="E4428" s="536"/>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4"/>
      <c r="C4450" s="548" t="s">
        <v>9823</v>
      </c>
      <c r="D4450" s="548"/>
      <c r="E4450" s="548"/>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12134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12134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59"/>
      <c r="C4476" s="536" t="s">
        <v>4106</v>
      </c>
      <c r="D4476" s="536"/>
      <c r="E4476" s="536"/>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12134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59"/>
      <c r="C4483" s="536" t="s">
        <v>9843</v>
      </c>
      <c r="D4483" s="536"/>
      <c r="E4483" s="536"/>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59"/>
      <c r="C4494" s="536" t="s">
        <v>4106</v>
      </c>
      <c r="D4494" s="536"/>
      <c r="E4494" s="536"/>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59"/>
      <c r="C4515" s="536" t="s">
        <v>9901</v>
      </c>
      <c r="D4515" s="536"/>
      <c r="E4515" s="536"/>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59"/>
      <c r="C4517" s="536" t="s">
        <v>6249</v>
      </c>
      <c r="D4517" s="536"/>
      <c r="E4517" s="536"/>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4"/>
      <c r="C4539" s="548" t="s">
        <v>9823</v>
      </c>
      <c r="D4539" s="548"/>
      <c r="E4539" s="548"/>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12134</v>
      </c>
      <c r="C4562" s="5" t="s">
        <v>1616</v>
      </c>
      <c r="D4562" s="5" t="s">
        <v>9941</v>
      </c>
      <c r="E4562" s="43">
        <v>3000</v>
      </c>
      <c r="F4562" s="43"/>
      <c r="G4562" s="361">
        <f t="shared" si="124"/>
        <v>10020</v>
      </c>
      <c r="H4562" s="388" t="s">
        <v>9567</v>
      </c>
    </row>
    <row r="4563" spans="1:8" x14ac:dyDescent="0.3">
      <c r="A4563" s="45">
        <v>44854</v>
      </c>
      <c r="B4563" s="396" t="s">
        <v>12134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5"/>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12134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6"/>
      <c r="C4592" s="549" t="s">
        <v>9968</v>
      </c>
      <c r="D4592" s="549"/>
      <c r="E4592" s="549"/>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59"/>
      <c r="C4594" s="536" t="s">
        <v>9823</v>
      </c>
      <c r="D4594" s="536"/>
      <c r="E4594" s="536"/>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12134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5"/>
      <c r="C4626" s="480" t="s">
        <v>9823</v>
      </c>
      <c r="D4626" s="480"/>
      <c r="E4626" s="480"/>
      <c r="F4626" s="43">
        <v>350000</v>
      </c>
      <c r="G4626" s="361">
        <f t="shared" si="125"/>
        <v>414024</v>
      </c>
      <c r="H4626" s="388" t="s">
        <v>9567</v>
      </c>
    </row>
    <row r="4627" spans="1:8" x14ac:dyDescent="0.3">
      <c r="A4627" s="45">
        <v>44862</v>
      </c>
      <c r="B4627" s="565"/>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5"/>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12134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5"/>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5"/>
      <c r="C4717" s="480" t="s">
        <v>10085</v>
      </c>
      <c r="D4717" s="480"/>
      <c r="E4717" s="480"/>
      <c r="F4717" s="43">
        <v>201000</v>
      </c>
      <c r="G4717" s="48">
        <f t="shared" si="128"/>
        <v>600469</v>
      </c>
      <c r="H4717" s="388" t="s">
        <v>9567</v>
      </c>
    </row>
    <row r="4718" spans="1:8" x14ac:dyDescent="0.3">
      <c r="A4718" s="45">
        <v>44873</v>
      </c>
      <c r="B4718" s="565"/>
      <c r="C4718" s="480" t="s">
        <v>10085</v>
      </c>
      <c r="D4718" s="480"/>
      <c r="E4718" s="480"/>
      <c r="F4718" s="43">
        <v>250000</v>
      </c>
      <c r="G4718" s="48">
        <f t="shared" si="128"/>
        <v>850469</v>
      </c>
      <c r="H4718" s="388" t="s">
        <v>9567</v>
      </c>
    </row>
    <row r="4719" spans="1:8" x14ac:dyDescent="0.3">
      <c r="A4719" s="45">
        <v>44873</v>
      </c>
      <c r="B4719" s="565"/>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5"/>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5"/>
      <c r="C4746" s="480" t="s">
        <v>4364</v>
      </c>
      <c r="D4746" s="480"/>
      <c r="E4746" s="480"/>
      <c r="F4746" s="43">
        <v>1000</v>
      </c>
      <c r="G4746" s="48">
        <f t="shared" si="129"/>
        <v>2803</v>
      </c>
      <c r="H4746" s="388" t="s">
        <v>9567</v>
      </c>
    </row>
    <row r="4747" spans="1:8" x14ac:dyDescent="0.3">
      <c r="A4747" s="45">
        <v>44879</v>
      </c>
      <c r="B4747" s="565"/>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5"/>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12134</v>
      </c>
      <c r="C4764" s="5" t="s">
        <v>110</v>
      </c>
      <c r="D4764" s="5" t="s">
        <v>10110</v>
      </c>
      <c r="E4764" s="43">
        <v>5000</v>
      </c>
      <c r="F4764" s="43"/>
      <c r="G4764" s="48">
        <f t="shared" si="129"/>
        <v>97848</v>
      </c>
      <c r="H4764" s="388" t="s">
        <v>9567</v>
      </c>
    </row>
    <row r="4765" spans="1:8" x14ac:dyDescent="0.3">
      <c r="A4765" s="45">
        <v>44880</v>
      </c>
      <c r="B4765" s="565"/>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12134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12134</v>
      </c>
      <c r="C4774" s="5" t="s">
        <v>1616</v>
      </c>
      <c r="D4774" s="5" t="s">
        <v>640</v>
      </c>
      <c r="E4774" s="43">
        <v>700</v>
      </c>
      <c r="F4774" s="43"/>
      <c r="G4774" s="48">
        <f t="shared" si="129"/>
        <v>3198</v>
      </c>
      <c r="H4774" s="388" t="s">
        <v>9567</v>
      </c>
    </row>
    <row r="4775" spans="1:8" x14ac:dyDescent="0.3">
      <c r="A4775" s="45">
        <v>44882</v>
      </c>
      <c r="B4775" s="565"/>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5"/>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5"/>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5"/>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12134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5"/>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12134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5"/>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5"/>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5"/>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12134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5"/>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5"/>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5"/>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12134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5"/>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5"/>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12053</v>
      </c>
      <c r="C4983" s="5" t="s">
        <v>9749</v>
      </c>
      <c r="D4983" s="5" t="s">
        <v>9873</v>
      </c>
      <c r="E4983" s="65">
        <v>3430</v>
      </c>
      <c r="F4983" s="43"/>
      <c r="G4983" s="48">
        <f t="shared" si="134"/>
        <v>66640</v>
      </c>
      <c r="H4983" s="388" t="s">
        <v>9567</v>
      </c>
    </row>
    <row r="4984" spans="1:8" x14ac:dyDescent="0.3">
      <c r="A4984" s="45">
        <v>44910</v>
      </c>
      <c r="B4984" s="396" t="s">
        <v>12048</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5"/>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12134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5"/>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12048</v>
      </c>
      <c r="C5013" s="5" t="s">
        <v>9749</v>
      </c>
      <c r="D5013" s="5" t="s">
        <v>10322</v>
      </c>
      <c r="E5013" s="43">
        <v>11320</v>
      </c>
      <c r="F5013" s="43"/>
      <c r="G5013" s="48">
        <f t="shared" si="134"/>
        <v>149889</v>
      </c>
      <c r="H5013" s="388" t="s">
        <v>9567</v>
      </c>
    </row>
    <row r="5014" spans="1:8" x14ac:dyDescent="0.3">
      <c r="A5014" s="45">
        <v>44914</v>
      </c>
      <c r="B5014" s="396" t="s">
        <v>12048</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12048</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12048</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5"/>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5"/>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12048</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12048</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5"/>
      <c r="C5049" s="480" t="s">
        <v>10294</v>
      </c>
      <c r="D5049" s="480"/>
      <c r="E5049" s="480"/>
      <c r="F5049" s="43">
        <v>200000</v>
      </c>
      <c r="G5049" s="48">
        <f t="shared" si="135"/>
        <v>205064</v>
      </c>
      <c r="H5049" s="388" t="s">
        <v>9567</v>
      </c>
    </row>
    <row r="5050" spans="1:8" x14ac:dyDescent="0.3">
      <c r="A5050" s="45">
        <v>44921</v>
      </c>
      <c r="B5050" s="396" t="s">
        <v>12134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12048</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5"/>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12053</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5"/>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12053</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12048</v>
      </c>
      <c r="C5087" s="5" t="s">
        <v>9937</v>
      </c>
      <c r="D5087" s="5" t="s">
        <v>10390</v>
      </c>
      <c r="E5087" s="43">
        <v>20000</v>
      </c>
      <c r="F5087" s="43"/>
      <c r="G5087" s="48">
        <f t="shared" si="135"/>
        <v>73229</v>
      </c>
      <c r="H5087" s="388" t="s">
        <v>9567</v>
      </c>
    </row>
    <row r="5088" spans="1:8" x14ac:dyDescent="0.3">
      <c r="A5088" s="45">
        <v>44926</v>
      </c>
      <c r="B5088" s="396" t="s">
        <v>12048</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12134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5"/>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5"/>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5"/>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12053</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12053</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12053</v>
      </c>
      <c r="C5134" s="5" t="s">
        <v>18</v>
      </c>
      <c r="D5134" s="5" t="s">
        <v>2013</v>
      </c>
      <c r="E5134" s="43">
        <v>500</v>
      </c>
      <c r="F5134" s="43"/>
      <c r="G5134" s="48">
        <f t="shared" si="136"/>
        <v>35860</v>
      </c>
      <c r="H5134" s="388" t="s">
        <v>9567</v>
      </c>
    </row>
    <row r="5135" spans="1:8" x14ac:dyDescent="0.3">
      <c r="A5135" s="45">
        <v>44935</v>
      </c>
      <c r="B5135" s="565"/>
      <c r="C5135" s="480" t="s">
        <v>10419</v>
      </c>
      <c r="D5135" s="480"/>
      <c r="E5135" s="480"/>
      <c r="F5135" s="43">
        <v>33000</v>
      </c>
      <c r="G5135" s="48">
        <f t="shared" si="136"/>
        <v>68860</v>
      </c>
      <c r="H5135" s="388" t="s">
        <v>9567</v>
      </c>
    </row>
    <row r="5136" spans="1:8" x14ac:dyDescent="0.3">
      <c r="A5136" s="45">
        <v>44935</v>
      </c>
      <c r="B5136" s="565"/>
      <c r="C5136" s="480" t="s">
        <v>10419</v>
      </c>
      <c r="D5136" s="480"/>
      <c r="E5136" s="480"/>
      <c r="F5136" s="43">
        <v>100000</v>
      </c>
      <c r="G5136" s="48">
        <f t="shared" si="136"/>
        <v>168860</v>
      </c>
      <c r="H5136" s="388" t="s">
        <v>9567</v>
      </c>
    </row>
    <row r="5137" spans="1:12" x14ac:dyDescent="0.3">
      <c r="A5137" s="45">
        <v>44935</v>
      </c>
      <c r="B5137" s="396" t="s">
        <v>12048</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5"/>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5"/>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12053</v>
      </c>
      <c r="C5151" s="5" t="s">
        <v>5793</v>
      </c>
      <c r="D5151" s="5" t="s">
        <v>10430</v>
      </c>
      <c r="E5151" s="43">
        <v>2000</v>
      </c>
      <c r="F5151" s="43"/>
      <c r="G5151" s="48">
        <f t="shared" si="136"/>
        <v>16675</v>
      </c>
      <c r="H5151" s="388" t="s">
        <v>9567</v>
      </c>
    </row>
    <row r="5152" spans="1:12" x14ac:dyDescent="0.3">
      <c r="A5152" s="45">
        <v>44936</v>
      </c>
      <c r="B5152" s="565"/>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5"/>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12053</v>
      </c>
      <c r="C5164" s="5" t="s">
        <v>5793</v>
      </c>
      <c r="D5164" s="5" t="s">
        <v>10442</v>
      </c>
      <c r="E5164" s="43">
        <v>2500</v>
      </c>
      <c r="F5164" s="43"/>
      <c r="G5164" s="48">
        <f t="shared" si="136"/>
        <v>62922</v>
      </c>
      <c r="H5164" s="388" t="s">
        <v>9567</v>
      </c>
    </row>
    <row r="5165" spans="1:14" x14ac:dyDescent="0.3">
      <c r="A5165" s="45">
        <v>44937</v>
      </c>
      <c r="B5165" s="342" t="s">
        <v>12053</v>
      </c>
      <c r="C5165" s="5" t="s">
        <v>9990</v>
      </c>
      <c r="D5165" s="5" t="s">
        <v>10443</v>
      </c>
      <c r="E5165" s="43">
        <v>2000</v>
      </c>
      <c r="F5165" s="43"/>
      <c r="G5165" s="48">
        <f t="shared" si="136"/>
        <v>60922</v>
      </c>
      <c r="H5165" s="388" t="s">
        <v>9567</v>
      </c>
    </row>
    <row r="5166" spans="1:14" x14ac:dyDescent="0.3">
      <c r="A5166" s="45">
        <v>44937</v>
      </c>
      <c r="B5166" s="342" t="s">
        <v>12053</v>
      </c>
      <c r="C5166" s="5" t="s">
        <v>9990</v>
      </c>
      <c r="D5166" s="5" t="s">
        <v>6932</v>
      </c>
      <c r="E5166" s="43">
        <v>7000</v>
      </c>
      <c r="F5166" s="43"/>
      <c r="G5166" s="48">
        <f t="shared" si="136"/>
        <v>53922</v>
      </c>
      <c r="H5166" s="388" t="s">
        <v>9567</v>
      </c>
    </row>
    <row r="5167" spans="1:14" x14ac:dyDescent="0.3">
      <c r="A5167" s="45">
        <v>44937</v>
      </c>
      <c r="B5167" s="565"/>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12134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12048</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12048</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12048</v>
      </c>
      <c r="C5190" s="5" t="s">
        <v>9937</v>
      </c>
      <c r="D5190" s="5" t="s">
        <v>294</v>
      </c>
      <c r="E5190" s="43">
        <v>7000</v>
      </c>
      <c r="F5190" s="43"/>
      <c r="G5190" s="48">
        <f t="shared" si="137"/>
        <v>8332</v>
      </c>
      <c r="H5190" s="388" t="s">
        <v>9567</v>
      </c>
    </row>
    <row r="5191" spans="1:9" x14ac:dyDescent="0.3">
      <c r="A5191" s="45">
        <v>44940</v>
      </c>
      <c r="B5191" s="565"/>
      <c r="C5191" s="480" t="s">
        <v>4364</v>
      </c>
      <c r="D5191" s="480"/>
      <c r="E5191" s="480"/>
      <c r="F5191" s="43">
        <v>300000</v>
      </c>
      <c r="G5191" s="48">
        <f t="shared" si="137"/>
        <v>308332</v>
      </c>
      <c r="H5191" s="388" t="s">
        <v>9567</v>
      </c>
    </row>
    <row r="5192" spans="1:9" x14ac:dyDescent="0.3">
      <c r="A5192" s="45">
        <v>44940</v>
      </c>
      <c r="B5192" s="396" t="s">
        <v>12048</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12134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12053</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5"/>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5"/>
      <c r="C5209" s="480" t="s">
        <v>6069</v>
      </c>
      <c r="D5209" s="480"/>
      <c r="E5209" s="480"/>
      <c r="F5209" s="43">
        <v>100000</v>
      </c>
      <c r="G5209" s="48">
        <f t="shared" si="137"/>
        <v>101322</v>
      </c>
      <c r="H5209" s="388" t="s">
        <v>9567</v>
      </c>
    </row>
    <row r="5210" spans="1:12" x14ac:dyDescent="0.3">
      <c r="A5210" s="45">
        <v>44945</v>
      </c>
      <c r="B5210" s="396" t="s">
        <v>12048</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12053</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5"/>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5"/>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12053</v>
      </c>
      <c r="C5234" s="5" t="s">
        <v>10495</v>
      </c>
      <c r="D5234" s="5" t="s">
        <v>10496</v>
      </c>
      <c r="E5234" s="43">
        <v>145000</v>
      </c>
      <c r="F5234" s="43"/>
      <c r="G5234" s="48">
        <f t="shared" si="137"/>
        <v>55882</v>
      </c>
      <c r="H5234" s="388" t="s">
        <v>9567</v>
      </c>
      <c r="K5234" s="167"/>
    </row>
    <row r="5235" spans="1:11" x14ac:dyDescent="0.3">
      <c r="A5235" s="45">
        <v>44950</v>
      </c>
      <c r="B5235" s="342" t="s">
        <v>12053</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12053</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5"/>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12053</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5"/>
      <c r="C5246" s="480" t="s">
        <v>6069</v>
      </c>
      <c r="D5246" s="480"/>
      <c r="E5246" s="480"/>
      <c r="F5246" s="43">
        <v>100000</v>
      </c>
      <c r="G5246" s="48">
        <f t="shared" si="138"/>
        <v>109767</v>
      </c>
      <c r="H5246" s="388" t="s">
        <v>9567</v>
      </c>
      <c r="K5246" s="167"/>
    </row>
    <row r="5247" spans="1:11" x14ac:dyDescent="0.3">
      <c r="A5247" s="45">
        <v>44952</v>
      </c>
      <c r="B5247" s="396" t="s">
        <v>12134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5"/>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5"/>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12053</v>
      </c>
      <c r="C5269" s="5" t="s">
        <v>9749</v>
      </c>
      <c r="D5269" s="5" t="s">
        <v>10531</v>
      </c>
      <c r="E5269" s="43">
        <v>800</v>
      </c>
      <c r="F5269" s="43"/>
      <c r="G5269" s="48">
        <f t="shared" si="138"/>
        <v>100407</v>
      </c>
      <c r="H5269" s="388" t="s">
        <v>9567</v>
      </c>
    </row>
    <row r="5270" spans="1:14" x14ac:dyDescent="0.3">
      <c r="A5270" s="45">
        <v>44956</v>
      </c>
      <c r="B5270" s="396" t="s">
        <v>12134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5"/>
      <c r="C5273" s="480" t="s">
        <v>10536</v>
      </c>
      <c r="D5273" s="480"/>
      <c r="E5273" s="480"/>
      <c r="F5273" s="43">
        <v>350000</v>
      </c>
      <c r="G5273" s="48">
        <f t="shared" si="138"/>
        <v>416307</v>
      </c>
      <c r="H5273" s="388" t="s">
        <v>9567</v>
      </c>
      <c r="M5273" s="52"/>
    </row>
    <row r="5274" spans="1:14" x14ac:dyDescent="0.3">
      <c r="A5274" s="45">
        <v>44957</v>
      </c>
      <c r="B5274" s="342" t="s">
        <v>12053</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12134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12053</v>
      </c>
      <c r="C5283" s="5" t="s">
        <v>84</v>
      </c>
      <c r="D5283" s="5" t="s">
        <v>10545</v>
      </c>
      <c r="E5283" s="43">
        <v>5000</v>
      </c>
      <c r="F5283" s="43"/>
      <c r="G5283" s="48">
        <f t="shared" si="138"/>
        <v>195807</v>
      </c>
      <c r="H5283" s="388" t="s">
        <v>9567</v>
      </c>
    </row>
    <row r="5284" spans="1:13" x14ac:dyDescent="0.3">
      <c r="A5284" s="45">
        <v>44958</v>
      </c>
      <c r="B5284" s="342" t="s">
        <v>12053</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12053</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5"/>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12134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12048</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5"/>
      <c r="C5303" s="480" t="s">
        <v>10536</v>
      </c>
      <c r="D5303" s="480"/>
      <c r="E5303" s="480"/>
      <c r="F5303" s="43">
        <v>320000</v>
      </c>
      <c r="G5303" s="48">
        <f t="shared" si="139"/>
        <v>377009</v>
      </c>
      <c r="H5303" s="388" t="s">
        <v>9567</v>
      </c>
    </row>
    <row r="5304" spans="1:13" x14ac:dyDescent="0.3">
      <c r="A5304" s="45">
        <v>44960</v>
      </c>
      <c r="B5304" s="342" t="s">
        <v>12053</v>
      </c>
      <c r="C5304" s="5" t="s">
        <v>247</v>
      </c>
      <c r="D5304" s="5" t="s">
        <v>2013</v>
      </c>
      <c r="E5304" s="43">
        <v>500</v>
      </c>
      <c r="F5304" s="43"/>
      <c r="G5304" s="48">
        <f t="shared" si="139"/>
        <v>376509</v>
      </c>
      <c r="H5304" s="388" t="s">
        <v>9567</v>
      </c>
    </row>
    <row r="5305" spans="1:13" x14ac:dyDescent="0.3">
      <c r="A5305" s="45">
        <v>44960</v>
      </c>
      <c r="B5305" s="342" t="s">
        <v>12053</v>
      </c>
      <c r="C5305" s="478" t="s">
        <v>247</v>
      </c>
      <c r="D5305" s="478" t="s">
        <v>10561</v>
      </c>
      <c r="E5305" s="331">
        <v>5000</v>
      </c>
      <c r="F5305" s="43"/>
      <c r="G5305" s="48">
        <f t="shared" si="139"/>
        <v>371509</v>
      </c>
      <c r="H5305" s="388" t="s">
        <v>9567</v>
      </c>
    </row>
    <row r="5306" spans="1:13" x14ac:dyDescent="0.3">
      <c r="A5306" s="45">
        <v>44960</v>
      </c>
      <c r="B5306" s="342" t="s">
        <v>12053</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12053</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12053</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5"/>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12053</v>
      </c>
      <c r="C5327" s="5" t="s">
        <v>9749</v>
      </c>
      <c r="D5327" s="5" t="s">
        <v>2013</v>
      </c>
      <c r="E5327" s="43">
        <v>1100</v>
      </c>
      <c r="F5327" s="43"/>
      <c r="G5327" s="48">
        <f t="shared" si="139"/>
        <v>13090</v>
      </c>
      <c r="H5327" s="388" t="s">
        <v>9567</v>
      </c>
    </row>
    <row r="5328" spans="1:9" x14ac:dyDescent="0.3">
      <c r="A5328" s="45">
        <v>44965</v>
      </c>
      <c r="B5328" s="565"/>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5"/>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12053</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5"/>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12053</v>
      </c>
      <c r="C5347" s="5" t="s">
        <v>18</v>
      </c>
      <c r="D5347" s="5" t="s">
        <v>294</v>
      </c>
      <c r="E5347" s="43">
        <v>3000</v>
      </c>
      <c r="F5347" s="43"/>
      <c r="G5347" s="48">
        <f t="shared" si="139"/>
        <v>8409</v>
      </c>
      <c r="H5347" s="388" t="s">
        <v>9567</v>
      </c>
    </row>
    <row r="5348" spans="1:12" x14ac:dyDescent="0.3">
      <c r="A5348" s="45">
        <v>44968</v>
      </c>
      <c r="B5348" s="342" t="s">
        <v>12053</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1"/>
      <c r="J5349" s="551"/>
      <c r="K5349" s="551"/>
      <c r="L5349" s="551"/>
    </row>
    <row r="5350" spans="1:12" x14ac:dyDescent="0.3">
      <c r="A5350" s="45">
        <v>44968</v>
      </c>
      <c r="B5350" s="342" t="s">
        <v>12053</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5"/>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12053</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5"/>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12053</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5"/>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12134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12053</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5"/>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12053</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12053</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12053</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12134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12134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12053</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12046</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12134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12046</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11743</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11743</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11743</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12134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12134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11743</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5"/>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11743</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12053</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5"/>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12053</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11743</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11743</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12053</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12053</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11743</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12046</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5"/>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12046</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12046</v>
      </c>
      <c r="C5497" s="5" t="s">
        <v>5162</v>
      </c>
      <c r="D5497" s="5" t="s">
        <v>6932</v>
      </c>
      <c r="E5497" s="43">
        <v>500</v>
      </c>
      <c r="F5497" s="43"/>
      <c r="G5497" s="48">
        <f t="shared" si="142"/>
        <v>32304</v>
      </c>
      <c r="H5497" s="388" t="s">
        <v>9567</v>
      </c>
      <c r="I5497" s="43"/>
      <c r="J5497" s="43"/>
      <c r="K5497" s="43"/>
      <c r="L5497" s="5"/>
    </row>
    <row r="5498" spans="1:12" x14ac:dyDescent="0.3">
      <c r="A5498" s="45">
        <v>44994</v>
      </c>
      <c r="B5498" s="565"/>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11743</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12046</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12046</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12046</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12046</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5"/>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12053</v>
      </c>
      <c r="C5521" s="5" t="s">
        <v>9749</v>
      </c>
      <c r="D5521" s="5" t="s">
        <v>10763</v>
      </c>
      <c r="E5521" s="43">
        <v>5100</v>
      </c>
      <c r="F5521" s="43"/>
      <c r="G5521" s="48">
        <f t="shared" si="142"/>
        <v>516</v>
      </c>
      <c r="H5521" s="388" t="s">
        <v>9567</v>
      </c>
      <c r="I5521" s="43"/>
      <c r="J5521" s="43"/>
      <c r="K5521" s="43"/>
      <c r="L5521" s="5"/>
    </row>
    <row r="5522" spans="1:12" x14ac:dyDescent="0.3">
      <c r="A5522" s="45">
        <v>45001</v>
      </c>
      <c r="B5522" s="565"/>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12046</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12046</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12046</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12046</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12046</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12048</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12053</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12046</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12134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12053</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12053</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12053</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5"/>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12046</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12046</v>
      </c>
      <c r="C5569" s="5" t="s">
        <v>5162</v>
      </c>
      <c r="D5569" s="5" t="s">
        <v>9818</v>
      </c>
      <c r="E5569" s="43">
        <v>900</v>
      </c>
      <c r="F5569" s="43"/>
      <c r="G5569" s="48">
        <f t="shared" si="143"/>
        <v>12476</v>
      </c>
      <c r="H5569" s="388" t="s">
        <v>9567</v>
      </c>
      <c r="I5569" s="43"/>
      <c r="J5569" s="43"/>
      <c r="K5569" s="43"/>
      <c r="L5569" s="5"/>
    </row>
    <row r="5570" spans="1:12" x14ac:dyDescent="0.3">
      <c r="A5570" s="45">
        <v>45005</v>
      </c>
      <c r="B5570" s="565"/>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12053</v>
      </c>
      <c r="C5574" s="5" t="s">
        <v>18</v>
      </c>
      <c r="D5574" s="5" t="s">
        <v>10792</v>
      </c>
      <c r="E5574" s="43">
        <v>10000</v>
      </c>
      <c r="F5574" s="43"/>
      <c r="G5574" s="48">
        <f t="shared" si="143"/>
        <v>734656</v>
      </c>
      <c r="H5574" s="388" t="s">
        <v>9567</v>
      </c>
      <c r="I5574" s="43"/>
    </row>
    <row r="5575" spans="1:12" x14ac:dyDescent="0.3">
      <c r="A5575" s="45">
        <v>45006</v>
      </c>
      <c r="B5575" s="342" t="s">
        <v>12053</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12046</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12134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12046</v>
      </c>
      <c r="C5599" s="5" t="s">
        <v>9451</v>
      </c>
      <c r="D5599" s="5" t="s">
        <v>10815</v>
      </c>
      <c r="E5599" s="43">
        <v>11000</v>
      </c>
      <c r="F5599" s="43"/>
      <c r="G5599" s="48">
        <f t="shared" si="143"/>
        <v>74139</v>
      </c>
      <c r="H5599" s="388" t="s">
        <v>9567</v>
      </c>
    </row>
    <row r="5600" spans="1:8" x14ac:dyDescent="0.3">
      <c r="A5600" s="45">
        <v>45009</v>
      </c>
      <c r="B5600" s="396" t="s">
        <v>12046</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5"/>
      <c r="C5608" s="480"/>
      <c r="D5608" s="491" t="s">
        <v>10788</v>
      </c>
      <c r="E5608" s="480"/>
      <c r="F5608" s="43">
        <v>1000000</v>
      </c>
      <c r="G5608" s="48">
        <f t="shared" si="143"/>
        <v>1013839</v>
      </c>
      <c r="H5608" s="388" t="s">
        <v>9567</v>
      </c>
    </row>
    <row r="5609" spans="1:8" x14ac:dyDescent="0.3">
      <c r="A5609" s="45">
        <v>45012</v>
      </c>
      <c r="B5609" s="342" t="s">
        <v>12053</v>
      </c>
      <c r="C5609" s="5" t="s">
        <v>9749</v>
      </c>
      <c r="D5609" s="5" t="s">
        <v>10822</v>
      </c>
      <c r="E5609" s="43">
        <v>14975</v>
      </c>
      <c r="F5609" s="43"/>
      <c r="G5609" s="48">
        <f t="shared" si="143"/>
        <v>998864</v>
      </c>
      <c r="H5609" s="388" t="s">
        <v>9567</v>
      </c>
    </row>
    <row r="5610" spans="1:8" x14ac:dyDescent="0.3">
      <c r="A5610" s="45">
        <v>45012</v>
      </c>
      <c r="B5610" s="342" t="s">
        <v>12053</v>
      </c>
      <c r="C5610" s="5" t="s">
        <v>9749</v>
      </c>
      <c r="D5610" s="5" t="s">
        <v>10837</v>
      </c>
      <c r="E5610" s="43">
        <v>37000</v>
      </c>
      <c r="F5610" s="43"/>
      <c r="G5610" s="48">
        <f t="shared" si="143"/>
        <v>961864</v>
      </c>
      <c r="H5610" s="388" t="s">
        <v>9567</v>
      </c>
    </row>
    <row r="5611" spans="1:8" x14ac:dyDescent="0.3">
      <c r="A5611" s="45">
        <v>45012</v>
      </c>
      <c r="B5611" s="396" t="s">
        <v>12048</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5"/>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11743</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12053</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7"/>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12048</v>
      </c>
      <c r="C5643" s="5" t="s">
        <v>8573</v>
      </c>
      <c r="D5643" s="5" t="s">
        <v>10859</v>
      </c>
      <c r="E5643" s="43">
        <v>48000</v>
      </c>
      <c r="F5643" s="43"/>
      <c r="G5643" s="48">
        <f t="shared" si="144"/>
        <v>342664</v>
      </c>
      <c r="H5643" s="388" t="s">
        <v>9567</v>
      </c>
    </row>
    <row r="5644" spans="1:8" x14ac:dyDescent="0.3">
      <c r="A5644" s="45">
        <v>45015</v>
      </c>
      <c r="B5644" s="567"/>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12134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7"/>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7"/>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12053</v>
      </c>
      <c r="C5666" s="5" t="s">
        <v>9990</v>
      </c>
      <c r="D5666" s="5" t="s">
        <v>10876</v>
      </c>
      <c r="E5666" s="43">
        <v>3500</v>
      </c>
      <c r="F5666" s="43"/>
      <c r="G5666" s="48">
        <f t="shared" si="144"/>
        <v>771064</v>
      </c>
      <c r="H5666" s="388" t="s">
        <v>9567</v>
      </c>
    </row>
    <row r="5667" spans="1:12" x14ac:dyDescent="0.3">
      <c r="A5667" s="45">
        <v>45017</v>
      </c>
      <c r="B5667" s="342" t="s">
        <v>12053</v>
      </c>
      <c r="C5667" s="5" t="s">
        <v>9990</v>
      </c>
      <c r="D5667" s="5" t="s">
        <v>10877</v>
      </c>
      <c r="E5667" s="43">
        <v>2260</v>
      </c>
      <c r="F5667" s="43"/>
      <c r="G5667" s="48">
        <f t="shared" si="144"/>
        <v>768804</v>
      </c>
      <c r="H5667" s="388" t="s">
        <v>9567</v>
      </c>
    </row>
    <row r="5668" spans="1:12" x14ac:dyDescent="0.3">
      <c r="A5668" s="45">
        <v>45017</v>
      </c>
      <c r="B5668" s="342" t="s">
        <v>12053</v>
      </c>
      <c r="C5668" s="5" t="s">
        <v>84</v>
      </c>
      <c r="D5668" s="5" t="s">
        <v>10880</v>
      </c>
      <c r="E5668" s="43">
        <v>6000</v>
      </c>
      <c r="F5668" s="43"/>
      <c r="G5668" s="48">
        <f t="shared" si="144"/>
        <v>762804</v>
      </c>
      <c r="H5668" s="388" t="s">
        <v>9567</v>
      </c>
    </row>
    <row r="5669" spans="1:12" x14ac:dyDescent="0.3">
      <c r="A5669" s="45">
        <v>45017</v>
      </c>
      <c r="B5669" s="396" t="s">
        <v>12046</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12053</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12053</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5"/>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12053</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12053</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12053</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11743</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12134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5"/>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5"/>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12046</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5"/>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5"/>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5"/>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12053</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5"/>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12046</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5"/>
      <c r="C5758" s="480"/>
      <c r="D5758" s="491" t="s">
        <v>10788</v>
      </c>
      <c r="E5758" s="480"/>
      <c r="F5758" s="43">
        <v>100000</v>
      </c>
      <c r="G5758" s="48">
        <f t="shared" si="146"/>
        <v>112340</v>
      </c>
      <c r="H5758" s="388" t="s">
        <v>9567</v>
      </c>
    </row>
    <row r="5759" spans="1:8" x14ac:dyDescent="0.3">
      <c r="A5759" s="45">
        <v>45028</v>
      </c>
      <c r="B5759" s="396" t="s">
        <v>12134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12053</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5"/>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5"/>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12046</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12134</v>
      </c>
      <c r="C5776" s="5" t="s">
        <v>5938</v>
      </c>
      <c r="D5776" s="5" t="s">
        <v>10950</v>
      </c>
      <c r="E5776" s="43">
        <v>40000</v>
      </c>
      <c r="F5776" s="43"/>
      <c r="G5776" s="48">
        <f t="shared" si="146"/>
        <v>326562</v>
      </c>
      <c r="H5776" s="388" t="s">
        <v>9567</v>
      </c>
    </row>
    <row r="5777" spans="1:8" x14ac:dyDescent="0.3">
      <c r="A5777" s="45">
        <v>45030</v>
      </c>
      <c r="B5777" s="396" t="s">
        <v>12046</v>
      </c>
      <c r="C5777" s="5" t="s">
        <v>84</v>
      </c>
      <c r="D5777" s="5" t="s">
        <v>10951</v>
      </c>
      <c r="E5777" s="43">
        <v>2000</v>
      </c>
      <c r="F5777" s="43"/>
      <c r="G5777" s="48">
        <f t="shared" si="146"/>
        <v>324562</v>
      </c>
      <c r="H5777" s="388" t="s">
        <v>9567</v>
      </c>
    </row>
    <row r="5778" spans="1:8" x14ac:dyDescent="0.3">
      <c r="A5778" s="45">
        <v>45030</v>
      </c>
      <c r="B5778" s="396" t="s">
        <v>12134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12053</v>
      </c>
      <c r="C5781" s="5" t="s">
        <v>9990</v>
      </c>
      <c r="D5781" s="5" t="s">
        <v>10953</v>
      </c>
      <c r="E5781" s="43">
        <v>3030</v>
      </c>
      <c r="F5781" s="43"/>
      <c r="G5781" s="48">
        <f t="shared" si="146"/>
        <v>306862</v>
      </c>
      <c r="H5781" s="388" t="s">
        <v>9567</v>
      </c>
    </row>
    <row r="5782" spans="1:8" x14ac:dyDescent="0.3">
      <c r="A5782" s="45">
        <v>45030</v>
      </c>
      <c r="B5782" s="342" t="s">
        <v>12053</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12046</v>
      </c>
      <c r="C5791" s="5" t="s">
        <v>10961</v>
      </c>
      <c r="D5791" s="5" t="s">
        <v>10962</v>
      </c>
      <c r="E5791" s="43">
        <v>16500</v>
      </c>
      <c r="F5791" s="43"/>
      <c r="G5791" s="48">
        <f t="shared" si="146"/>
        <v>76062</v>
      </c>
      <c r="H5791" s="388" t="s">
        <v>9567</v>
      </c>
    </row>
    <row r="5792" spans="1:8" x14ac:dyDescent="0.3">
      <c r="A5792" s="45">
        <v>45031</v>
      </c>
      <c r="B5792" s="396" t="s">
        <v>12046</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12133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12134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12053</v>
      </c>
      <c r="C5804" s="5" t="s">
        <v>5793</v>
      </c>
      <c r="D5804" s="5" t="s">
        <v>2263</v>
      </c>
      <c r="E5804" s="65">
        <v>1000</v>
      </c>
      <c r="F5804" s="43"/>
      <c r="G5804" s="48">
        <f t="shared" si="146"/>
        <v>812</v>
      </c>
      <c r="H5804" s="388" t="s">
        <v>9567</v>
      </c>
    </row>
    <row r="5805" spans="1:8" x14ac:dyDescent="0.3">
      <c r="A5805" s="45">
        <v>45033</v>
      </c>
      <c r="B5805" s="396" t="s">
        <v>12046</v>
      </c>
      <c r="C5805" s="5" t="s">
        <v>5162</v>
      </c>
      <c r="D5805" s="5" t="s">
        <v>10981</v>
      </c>
      <c r="E5805" s="43">
        <v>650</v>
      </c>
      <c r="F5805" s="43"/>
      <c r="G5805" s="48">
        <f t="shared" si="146"/>
        <v>162</v>
      </c>
      <c r="H5805" s="388" t="s">
        <v>9567</v>
      </c>
    </row>
    <row r="5806" spans="1:8" x14ac:dyDescent="0.3">
      <c r="A5806" s="45">
        <v>45034</v>
      </c>
      <c r="B5806" s="565"/>
      <c r="C5806" s="480"/>
      <c r="D5806" s="491" t="s">
        <v>10788</v>
      </c>
      <c r="E5806" s="480"/>
      <c r="F5806" s="43">
        <v>100000</v>
      </c>
      <c r="G5806" s="48">
        <f t="shared" si="146"/>
        <v>100162</v>
      </c>
      <c r="H5806" s="388" t="s">
        <v>9567</v>
      </c>
    </row>
    <row r="5807" spans="1:8" x14ac:dyDescent="0.3">
      <c r="A5807" s="45">
        <v>45034</v>
      </c>
      <c r="B5807" s="565"/>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12053</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12134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5"/>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12053</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11743</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11743</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12046</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12046</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5"/>
      <c r="C5841" s="480"/>
      <c r="D5841" s="491" t="s">
        <v>4362</v>
      </c>
      <c r="E5841" s="480"/>
      <c r="F5841" s="43">
        <v>50000</v>
      </c>
      <c r="G5841" s="48">
        <f t="shared" si="147"/>
        <v>50638</v>
      </c>
      <c r="H5841" s="388" t="s">
        <v>9567</v>
      </c>
    </row>
    <row r="5842" spans="1:9" x14ac:dyDescent="0.3">
      <c r="A5842" s="45">
        <v>45036</v>
      </c>
      <c r="B5842" s="565"/>
      <c r="C5842" s="480"/>
      <c r="D5842" s="491" t="s">
        <v>11014</v>
      </c>
      <c r="E5842" s="480"/>
      <c r="F5842" s="43">
        <v>25000</v>
      </c>
      <c r="G5842" s="48">
        <f t="shared" si="147"/>
        <v>75638</v>
      </c>
      <c r="H5842" s="388" t="s">
        <v>9567</v>
      </c>
    </row>
    <row r="5843" spans="1:9" x14ac:dyDescent="0.3">
      <c r="A5843" s="45">
        <v>45036</v>
      </c>
      <c r="B5843" s="565"/>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5"/>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5"/>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12053</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12053</v>
      </c>
      <c r="C5879" s="5" t="s">
        <v>9990</v>
      </c>
      <c r="D5879" s="5" t="s">
        <v>11039</v>
      </c>
      <c r="E5879" s="43">
        <v>1000</v>
      </c>
      <c r="F5879" s="43"/>
      <c r="G5879" s="48">
        <f t="shared" si="147"/>
        <v>12938</v>
      </c>
      <c r="H5879" s="388" t="s">
        <v>9567</v>
      </c>
    </row>
    <row r="5880" spans="1:9" x14ac:dyDescent="0.3">
      <c r="A5880" s="45">
        <v>45045</v>
      </c>
      <c r="B5880" s="396" t="s">
        <v>12046</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12046</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12046</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5"/>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12134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12134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12046</v>
      </c>
      <c r="C5903" s="5" t="s">
        <v>629</v>
      </c>
      <c r="D5903" s="5" t="s">
        <v>11051</v>
      </c>
      <c r="E5903" s="43">
        <v>8000</v>
      </c>
      <c r="F5903" s="43"/>
      <c r="G5903" s="48">
        <f t="shared" si="149"/>
        <v>58058</v>
      </c>
      <c r="H5903" s="388" t="s">
        <v>9567</v>
      </c>
    </row>
    <row r="5904" spans="1:8" x14ac:dyDescent="0.3">
      <c r="A5904" s="503">
        <v>45049</v>
      </c>
      <c r="B5904" s="396" t="s">
        <v>12046</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5"/>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12046</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12053</v>
      </c>
      <c r="C5913" s="5" t="s">
        <v>11056</v>
      </c>
      <c r="D5913" s="5" t="s">
        <v>11057</v>
      </c>
      <c r="E5913" s="43">
        <v>25000</v>
      </c>
      <c r="F5913" s="43"/>
      <c r="G5913" s="48">
        <f t="shared" si="149"/>
        <v>1302558</v>
      </c>
      <c r="H5913" s="388" t="s">
        <v>9567</v>
      </c>
    </row>
    <row r="5914" spans="1:8" x14ac:dyDescent="0.3">
      <c r="A5914" s="503">
        <v>45049</v>
      </c>
      <c r="B5914" s="342" t="s">
        <v>12053</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12046</v>
      </c>
      <c r="C5918" s="5" t="s">
        <v>11000</v>
      </c>
      <c r="D5918" s="5" t="s">
        <v>11060</v>
      </c>
      <c r="E5918" s="43">
        <v>150000</v>
      </c>
      <c r="F5918" s="43"/>
      <c r="G5918" s="48">
        <f t="shared" si="149"/>
        <v>1030558</v>
      </c>
      <c r="H5918" s="388" t="s">
        <v>9567</v>
      </c>
    </row>
    <row r="5919" spans="1:8" x14ac:dyDescent="0.3">
      <c r="A5919" s="503">
        <v>45050</v>
      </c>
      <c r="B5919" s="342" t="s">
        <v>12053</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5"/>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12134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12046</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12046</v>
      </c>
      <c r="C5948" s="5" t="s">
        <v>9749</v>
      </c>
      <c r="D5948" s="5" t="s">
        <v>11087</v>
      </c>
      <c r="E5948" s="43">
        <v>25500</v>
      </c>
      <c r="F5948" s="43"/>
      <c r="G5948" s="48">
        <f t="shared" si="149"/>
        <v>203599.58333333331</v>
      </c>
      <c r="H5948" s="388" t="s">
        <v>9567</v>
      </c>
    </row>
    <row r="5949" spans="1:8" x14ac:dyDescent="0.3">
      <c r="A5949" s="503">
        <v>45052</v>
      </c>
      <c r="B5949" s="396" t="s">
        <v>12046</v>
      </c>
      <c r="C5949" s="5" t="s">
        <v>11053</v>
      </c>
      <c r="D5949" s="5" t="s">
        <v>11085</v>
      </c>
      <c r="E5949" s="43">
        <v>100000</v>
      </c>
      <c r="F5949" s="43"/>
      <c r="G5949" s="48">
        <f t="shared" si="149"/>
        <v>103599.58333333331</v>
      </c>
      <c r="H5949" s="388" t="s">
        <v>9567</v>
      </c>
    </row>
    <row r="5950" spans="1:8" x14ac:dyDescent="0.3">
      <c r="A5950" s="503">
        <v>45052</v>
      </c>
      <c r="B5950" s="396" t="s">
        <v>12046</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12046</v>
      </c>
      <c r="C5953" s="5" t="s">
        <v>5793</v>
      </c>
      <c r="D5953" s="5" t="s">
        <v>11088</v>
      </c>
      <c r="E5953" s="43">
        <v>800</v>
      </c>
      <c r="F5953" s="43"/>
      <c r="G5953" s="48">
        <f t="shared" si="149"/>
        <v>88769.583333333314</v>
      </c>
      <c r="H5953" s="388" t="s">
        <v>9567</v>
      </c>
    </row>
    <row r="5954" spans="1:8" x14ac:dyDescent="0.3">
      <c r="A5954" s="503">
        <v>45052</v>
      </c>
      <c r="B5954" s="396" t="s">
        <v>12046</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5"/>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5"/>
      <c r="C5962" s="480"/>
      <c r="D5962" s="491" t="s">
        <v>4106</v>
      </c>
      <c r="E5962" s="480"/>
      <c r="F5962" s="43">
        <v>200000</v>
      </c>
      <c r="G5962" s="48">
        <f t="shared" si="150"/>
        <v>201069.58333333331</v>
      </c>
      <c r="H5962" s="388" t="s">
        <v>9567</v>
      </c>
    </row>
    <row r="5963" spans="1:8" x14ac:dyDescent="0.3">
      <c r="A5963" s="503">
        <v>45055</v>
      </c>
      <c r="B5963" s="565"/>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12046</v>
      </c>
      <c r="C5974" s="5" t="s">
        <v>5793</v>
      </c>
      <c r="D5974" s="5" t="s">
        <v>11111</v>
      </c>
      <c r="E5974" s="43">
        <v>600</v>
      </c>
      <c r="F5974" s="43"/>
      <c r="G5974" s="48">
        <f t="shared" si="150"/>
        <v>73748.583333333314</v>
      </c>
      <c r="H5974" s="388" t="s">
        <v>9567</v>
      </c>
    </row>
    <row r="5975" spans="1:8" x14ac:dyDescent="0.3">
      <c r="A5975" s="503">
        <v>45056</v>
      </c>
      <c r="B5975" s="396" t="s">
        <v>12046</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5"/>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12046</v>
      </c>
      <c r="C5981" s="5" t="s">
        <v>10800</v>
      </c>
      <c r="D5981" s="5" t="s">
        <v>11118</v>
      </c>
      <c r="E5981" s="43">
        <v>78400</v>
      </c>
      <c r="F5981" s="43"/>
      <c r="G5981" s="48">
        <f t="shared" si="150"/>
        <v>27048.583333333314</v>
      </c>
      <c r="H5981" s="388" t="s">
        <v>9567</v>
      </c>
    </row>
    <row r="5982" spans="1:8" x14ac:dyDescent="0.3">
      <c r="A5982" s="503">
        <v>45057</v>
      </c>
      <c r="B5982" s="396" t="s">
        <v>12046</v>
      </c>
      <c r="C5982" s="5" t="s">
        <v>5793</v>
      </c>
      <c r="D5982" s="5" t="s">
        <v>11123</v>
      </c>
      <c r="E5982" s="43">
        <v>1400</v>
      </c>
      <c r="F5982" s="43"/>
      <c r="G5982" s="48">
        <f t="shared" si="150"/>
        <v>25648.583333333314</v>
      </c>
      <c r="H5982" s="388" t="s">
        <v>9567</v>
      </c>
    </row>
    <row r="5983" spans="1:8" x14ac:dyDescent="0.3">
      <c r="A5983" s="503">
        <v>45057</v>
      </c>
      <c r="B5983" s="396" t="s">
        <v>12046</v>
      </c>
      <c r="C5983" s="5" t="s">
        <v>10800</v>
      </c>
      <c r="D5983" s="5" t="s">
        <v>3143</v>
      </c>
      <c r="E5983" s="43">
        <v>2000</v>
      </c>
      <c r="F5983" s="43"/>
      <c r="G5983" s="48">
        <f t="shared" si="150"/>
        <v>23648.583333333314</v>
      </c>
      <c r="H5983" s="388" t="s">
        <v>9567</v>
      </c>
    </row>
    <row r="5984" spans="1:8" x14ac:dyDescent="0.3">
      <c r="A5984" s="503">
        <v>45057</v>
      </c>
      <c r="B5984" s="396" t="s">
        <v>12046</v>
      </c>
      <c r="C5984" s="5" t="s">
        <v>5793</v>
      </c>
      <c r="D5984" s="5" t="s">
        <v>11124</v>
      </c>
      <c r="E5984" s="43">
        <v>2000</v>
      </c>
      <c r="F5984" s="43"/>
      <c r="G5984" s="48">
        <f t="shared" si="150"/>
        <v>21648.583333333314</v>
      </c>
      <c r="H5984" s="388" t="s">
        <v>9567</v>
      </c>
    </row>
    <row r="5985" spans="1:8" x14ac:dyDescent="0.3">
      <c r="A5985" s="503">
        <v>45057</v>
      </c>
      <c r="B5985" s="396" t="s">
        <v>12046</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5"/>
      <c r="C5987" s="480"/>
      <c r="D5987" s="491" t="s">
        <v>4106</v>
      </c>
      <c r="E5987" s="480"/>
      <c r="F5987" s="43">
        <v>50000</v>
      </c>
      <c r="G5987" s="48">
        <f t="shared" si="150"/>
        <v>67648.583333333314</v>
      </c>
      <c r="H5987" s="388" t="s">
        <v>9567</v>
      </c>
    </row>
    <row r="5988" spans="1:8" x14ac:dyDescent="0.3">
      <c r="A5988" s="503">
        <v>45057</v>
      </c>
      <c r="B5988" s="396" t="s">
        <v>12048</v>
      </c>
      <c r="C5988" s="5" t="s">
        <v>9749</v>
      </c>
      <c r="D5988" s="5" t="s">
        <v>11126</v>
      </c>
      <c r="E5988" s="43">
        <v>26350</v>
      </c>
      <c r="F5988" s="43"/>
      <c r="G5988" s="48">
        <f t="shared" si="150"/>
        <v>41298.583333333314</v>
      </c>
      <c r="H5988" s="388" t="s">
        <v>9567</v>
      </c>
    </row>
    <row r="5989" spans="1:8" x14ac:dyDescent="0.3">
      <c r="A5989" s="503">
        <v>45057</v>
      </c>
      <c r="B5989" s="565"/>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12046</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5"/>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5"/>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7"/>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12053</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12046</v>
      </c>
      <c r="C6029" s="5" t="s">
        <v>30</v>
      </c>
      <c r="D6029" s="5" t="s">
        <v>2013</v>
      </c>
      <c r="E6029" s="43">
        <v>1000</v>
      </c>
      <c r="F6029" s="43"/>
      <c r="G6029" s="48">
        <f t="shared" si="151"/>
        <v>101451.58333333326</v>
      </c>
      <c r="H6029" s="505" t="s">
        <v>9567</v>
      </c>
    </row>
    <row r="6030" spans="1:8" x14ac:dyDescent="0.3">
      <c r="A6030" s="503">
        <v>45062</v>
      </c>
      <c r="B6030" s="396" t="s">
        <v>12046</v>
      </c>
      <c r="C6030" s="5" t="s">
        <v>5793</v>
      </c>
      <c r="D6030" s="5" t="s">
        <v>11164</v>
      </c>
      <c r="E6030" s="43">
        <v>600</v>
      </c>
      <c r="F6030" s="43"/>
      <c r="G6030" s="48">
        <f t="shared" si="151"/>
        <v>100851.58333333326</v>
      </c>
      <c r="H6030" s="505" t="s">
        <v>9567</v>
      </c>
    </row>
    <row r="6031" spans="1:8" x14ac:dyDescent="0.3">
      <c r="A6031" s="503">
        <v>45062</v>
      </c>
      <c r="B6031" s="396" t="s">
        <v>12046</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12046</v>
      </c>
      <c r="C6033" s="5" t="s">
        <v>5162</v>
      </c>
      <c r="D6033" s="5" t="s">
        <v>11166</v>
      </c>
      <c r="E6033" s="43">
        <v>1100</v>
      </c>
      <c r="F6033" s="43"/>
      <c r="G6033" s="48">
        <f t="shared" si="151"/>
        <v>98351.583333333256</v>
      </c>
      <c r="H6033" s="505" t="s">
        <v>9567</v>
      </c>
    </row>
    <row r="6034" spans="1:8" x14ac:dyDescent="0.3">
      <c r="A6034" s="503">
        <v>45062</v>
      </c>
      <c r="B6034" s="342" t="s">
        <v>12053</v>
      </c>
      <c r="C6034" s="5" t="s">
        <v>11167</v>
      </c>
      <c r="D6034" s="5" t="s">
        <v>11168</v>
      </c>
      <c r="E6034" s="43">
        <v>300</v>
      </c>
      <c r="F6034" s="43"/>
      <c r="G6034" s="48">
        <f t="shared" si="151"/>
        <v>98051.583333333256</v>
      </c>
      <c r="H6034" s="505" t="s">
        <v>9567</v>
      </c>
    </row>
    <row r="6035" spans="1:8" x14ac:dyDescent="0.3">
      <c r="A6035" s="503">
        <v>45062</v>
      </c>
      <c r="B6035" s="342" t="s">
        <v>12053</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12134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5"/>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12046</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5"/>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12053</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12053</v>
      </c>
      <c r="C6070" s="5" t="s">
        <v>9990</v>
      </c>
      <c r="D6070" s="5" t="s">
        <v>294</v>
      </c>
      <c r="E6070" s="43">
        <v>5000</v>
      </c>
      <c r="F6070" s="43"/>
      <c r="G6070" s="48">
        <f t="shared" si="151"/>
        <v>212371.58333333326</v>
      </c>
      <c r="H6070" s="388" t="s">
        <v>9567</v>
      </c>
    </row>
    <row r="6071" spans="1:8" x14ac:dyDescent="0.3">
      <c r="A6071" s="503">
        <v>45065</v>
      </c>
      <c r="B6071" s="396" t="s">
        <v>12046</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12134</v>
      </c>
      <c r="C6074" s="5" t="s">
        <v>1616</v>
      </c>
      <c r="D6074" s="5" t="s">
        <v>10979</v>
      </c>
      <c r="E6074" s="43">
        <v>2250</v>
      </c>
      <c r="F6074" s="43"/>
      <c r="G6074" s="48">
        <f t="shared" si="151"/>
        <v>42066.583333333256</v>
      </c>
      <c r="H6074" s="388" t="s">
        <v>9567</v>
      </c>
    </row>
    <row r="6075" spans="1:8" x14ac:dyDescent="0.3">
      <c r="A6075" s="503">
        <v>45066</v>
      </c>
      <c r="B6075" s="342" t="s">
        <v>12053</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12046</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12046</v>
      </c>
      <c r="C6081" s="5" t="s">
        <v>10800</v>
      </c>
      <c r="D6081" s="5" t="s">
        <v>11206</v>
      </c>
      <c r="E6081" s="43">
        <v>2250</v>
      </c>
      <c r="F6081" s="43"/>
      <c r="G6081" s="48">
        <f t="shared" si="151"/>
        <v>5916.5833333332557</v>
      </c>
      <c r="H6081" s="388" t="s">
        <v>9567</v>
      </c>
    </row>
    <row r="6082" spans="1:8" x14ac:dyDescent="0.3">
      <c r="A6082" s="503">
        <v>45068</v>
      </c>
      <c r="B6082" s="565"/>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12046</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5"/>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5"/>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12046</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12046</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5"/>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12134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12046</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12046</v>
      </c>
      <c r="C6120" s="5" t="s">
        <v>5793</v>
      </c>
      <c r="D6120" s="5" t="s">
        <v>11238</v>
      </c>
      <c r="E6120" s="43">
        <v>600</v>
      </c>
      <c r="F6120" s="43"/>
      <c r="G6120" s="48">
        <f t="shared" si="152"/>
        <v>2509.5833333332557</v>
      </c>
      <c r="H6120" s="388" t="s">
        <v>9567</v>
      </c>
    </row>
    <row r="6121" spans="1:8" x14ac:dyDescent="0.3">
      <c r="A6121" s="503">
        <v>45070</v>
      </c>
      <c r="B6121" s="396" t="s">
        <v>12046</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5"/>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12046</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12046</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12046</v>
      </c>
      <c r="C6135" s="5" t="s">
        <v>84</v>
      </c>
      <c r="D6135" s="5" t="s">
        <v>11251</v>
      </c>
      <c r="E6135" s="43">
        <v>5000</v>
      </c>
      <c r="F6135" s="43"/>
      <c r="G6135" s="48">
        <f t="shared" si="153"/>
        <v>33599.583333333256</v>
      </c>
      <c r="H6135" s="388" t="s">
        <v>9567</v>
      </c>
    </row>
    <row r="6136" spans="1:12" x14ac:dyDescent="0.3">
      <c r="A6136" s="503">
        <v>45071</v>
      </c>
      <c r="B6136" s="396" t="s">
        <v>12046</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5"/>
      <c r="C6139" s="480"/>
      <c r="D6139" s="491" t="s">
        <v>4106</v>
      </c>
      <c r="E6139" s="480"/>
      <c r="F6139" s="43">
        <v>300000</v>
      </c>
      <c r="G6139" s="48">
        <f t="shared" si="153"/>
        <v>330149.58333333326</v>
      </c>
      <c r="H6139" s="388" t="s">
        <v>9567</v>
      </c>
      <c r="J6139" s="551"/>
      <c r="K6139" s="551"/>
      <c r="L6139" s="551"/>
    </row>
    <row r="6140" spans="1:12" x14ac:dyDescent="0.3">
      <c r="A6140" s="503">
        <v>45072</v>
      </c>
      <c r="B6140" s="396" t="s">
        <v>12046</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12053</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12053</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12046</v>
      </c>
      <c r="C6150" s="5" t="s">
        <v>11174</v>
      </c>
      <c r="D6150" s="5" t="s">
        <v>11260</v>
      </c>
      <c r="E6150" s="43">
        <v>250</v>
      </c>
      <c r="F6150" s="43"/>
      <c r="G6150" s="48">
        <f t="shared" si="153"/>
        <v>166249.58333333326</v>
      </c>
      <c r="H6150" s="388" t="s">
        <v>9567</v>
      </c>
    </row>
    <row r="6151" spans="1:8" x14ac:dyDescent="0.3">
      <c r="A6151" s="503">
        <v>45072</v>
      </c>
      <c r="B6151" s="396" t="s">
        <v>12049</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5"/>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12046</v>
      </c>
      <c r="C6159" s="5" t="s">
        <v>84</v>
      </c>
      <c r="D6159" s="5" t="s">
        <v>11107</v>
      </c>
      <c r="E6159" s="43">
        <v>1000</v>
      </c>
      <c r="F6159" s="43"/>
      <c r="G6159" s="48">
        <f t="shared" si="153"/>
        <v>27649.583333333256</v>
      </c>
      <c r="H6159" s="388" t="s">
        <v>9567</v>
      </c>
    </row>
    <row r="6160" spans="1:8" x14ac:dyDescent="0.3">
      <c r="A6160" s="503">
        <v>45075</v>
      </c>
      <c r="B6160" s="342" t="s">
        <v>12053</v>
      </c>
      <c r="C6160" s="5" t="s">
        <v>5793</v>
      </c>
      <c r="D6160" s="5" t="s">
        <v>40</v>
      </c>
      <c r="E6160" s="43">
        <v>1000</v>
      </c>
      <c r="F6160" s="43"/>
      <c r="G6160" s="48">
        <f t="shared" si="153"/>
        <v>26649.583333333256</v>
      </c>
      <c r="H6160" s="388" t="s">
        <v>9567</v>
      </c>
    </row>
    <row r="6161" spans="1:8" x14ac:dyDescent="0.3">
      <c r="A6161" s="503">
        <v>45075</v>
      </c>
      <c r="B6161" s="396" t="s">
        <v>12049</v>
      </c>
      <c r="C6161" s="5" t="s">
        <v>5793</v>
      </c>
      <c r="D6161" s="5" t="s">
        <v>40</v>
      </c>
      <c r="E6161" s="43">
        <v>500</v>
      </c>
      <c r="F6161" s="43"/>
      <c r="G6161" s="48">
        <f t="shared" si="153"/>
        <v>26149.583333333256</v>
      </c>
      <c r="H6161" s="388" t="s">
        <v>9567</v>
      </c>
    </row>
    <row r="6162" spans="1:8" x14ac:dyDescent="0.3">
      <c r="A6162" s="503">
        <v>45075</v>
      </c>
      <c r="B6162" s="396" t="s">
        <v>12046</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5"/>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12046</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12053</v>
      </c>
      <c r="C6173" s="5" t="s">
        <v>84</v>
      </c>
      <c r="D6173" s="5" t="s">
        <v>11283</v>
      </c>
      <c r="E6173" s="43">
        <v>9000</v>
      </c>
      <c r="F6173" s="43"/>
      <c r="G6173" s="48">
        <f t="shared" si="153"/>
        <v>40989.583333333256</v>
      </c>
      <c r="H6173" s="388" t="s">
        <v>9567</v>
      </c>
    </row>
    <row r="6174" spans="1:8" x14ac:dyDescent="0.3">
      <c r="A6174" s="503">
        <v>45076</v>
      </c>
      <c r="B6174" s="396" t="s">
        <v>12046</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12046</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5"/>
      <c r="C6185" s="480"/>
      <c r="D6185" s="491" t="s">
        <v>4106</v>
      </c>
      <c r="E6185" s="480"/>
      <c r="F6185" s="43">
        <v>300000</v>
      </c>
      <c r="G6185" s="48">
        <f t="shared" si="153"/>
        <v>300789.58333333326</v>
      </c>
      <c r="H6185" s="388" t="s">
        <v>9567</v>
      </c>
    </row>
    <row r="6186" spans="1:8" x14ac:dyDescent="0.3">
      <c r="A6186" s="503">
        <v>45078</v>
      </c>
      <c r="B6186" s="396" t="s">
        <v>12046</v>
      </c>
      <c r="C6186" s="5" t="s">
        <v>11216</v>
      </c>
      <c r="D6186" s="5" t="s">
        <v>11293</v>
      </c>
      <c r="E6186" s="43">
        <v>7250</v>
      </c>
      <c r="F6186" s="43"/>
      <c r="G6186" s="48">
        <f t="shared" si="153"/>
        <v>293539.58333333326</v>
      </c>
      <c r="H6186" s="388" t="s">
        <v>9567</v>
      </c>
    </row>
    <row r="6187" spans="1:8" x14ac:dyDescent="0.3">
      <c r="A6187" s="503">
        <v>45078</v>
      </c>
      <c r="B6187" s="396" t="s">
        <v>12134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12046</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12046</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12046</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12053</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5"/>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12049</v>
      </c>
      <c r="C6217" s="5" t="s">
        <v>11321</v>
      </c>
      <c r="D6217" s="5" t="s">
        <v>10958</v>
      </c>
      <c r="E6217" s="43">
        <v>10000</v>
      </c>
      <c r="F6217" s="43"/>
      <c r="G6217" s="48">
        <f t="shared" si="154"/>
        <v>220319.58333333326</v>
      </c>
      <c r="H6217" s="388" t="s">
        <v>9567</v>
      </c>
    </row>
    <row r="6218" spans="1:8" x14ac:dyDescent="0.3">
      <c r="A6218" s="503">
        <v>45080</v>
      </c>
      <c r="B6218" s="396" t="s">
        <v>12046</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12049</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12053</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5"/>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12046</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12049</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12046</v>
      </c>
      <c r="C6256" s="5" t="s">
        <v>11053</v>
      </c>
      <c r="D6256" s="5" t="s">
        <v>11344</v>
      </c>
      <c r="E6256" s="43">
        <v>73000</v>
      </c>
      <c r="F6256" s="43"/>
      <c r="G6256" s="48">
        <f t="shared" si="155"/>
        <v>9282.4059139780002</v>
      </c>
      <c r="H6256" s="388" t="s">
        <v>9567</v>
      </c>
    </row>
    <row r="6257" spans="1:8" x14ac:dyDescent="0.3">
      <c r="A6257" s="503">
        <v>45084</v>
      </c>
      <c r="B6257" s="565"/>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12046</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12046</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12046</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5"/>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5"/>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12046</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5"/>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11743</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5"/>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12046</v>
      </c>
      <c r="C6317" s="5" t="s">
        <v>5162</v>
      </c>
      <c r="D6317" s="5" t="s">
        <v>4187</v>
      </c>
      <c r="E6317" s="43">
        <v>3000</v>
      </c>
      <c r="F6317" s="296"/>
      <c r="G6317" s="48">
        <f t="shared" ref="G6317:G6380" si="156">G6316+F6317-E6317</f>
        <v>298563.27688171994</v>
      </c>
      <c r="H6317" s="388" t="s">
        <v>9567</v>
      </c>
    </row>
    <row r="6318" spans="1:8" x14ac:dyDescent="0.3">
      <c r="A6318" s="503">
        <v>45089</v>
      </c>
      <c r="B6318" s="396" t="s">
        <v>11743</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11743</v>
      </c>
      <c r="C6323" s="5" t="s">
        <v>5793</v>
      </c>
      <c r="D6323" s="5" t="s">
        <v>40</v>
      </c>
      <c r="E6323" s="43">
        <v>1700</v>
      </c>
      <c r="F6323" s="296"/>
      <c r="G6323" s="48">
        <f t="shared" si="156"/>
        <v>62619.276881719939</v>
      </c>
      <c r="H6323" s="388" t="s">
        <v>9567</v>
      </c>
      <c r="I6323" s="502"/>
    </row>
    <row r="6324" spans="1:12" x14ac:dyDescent="0.3">
      <c r="A6324" s="503">
        <v>45089</v>
      </c>
      <c r="B6324" s="396" t="s">
        <v>12046</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11743</v>
      </c>
      <c r="C6331" s="5" t="s">
        <v>5793</v>
      </c>
      <c r="D6331" s="5" t="s">
        <v>40</v>
      </c>
      <c r="E6331" s="43">
        <v>700</v>
      </c>
      <c r="F6331" s="296"/>
      <c r="G6331" s="48">
        <f t="shared" si="156"/>
        <v>50219.276881719939</v>
      </c>
      <c r="H6331" s="388" t="s">
        <v>9567</v>
      </c>
    </row>
    <row r="6332" spans="1:12" x14ac:dyDescent="0.3">
      <c r="A6332" s="503">
        <v>45089</v>
      </c>
      <c r="B6332" s="565"/>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7"/>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12046</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12053</v>
      </c>
      <c r="C6341" s="5" t="s">
        <v>5793</v>
      </c>
      <c r="D6341" s="5" t="s">
        <v>11399</v>
      </c>
      <c r="E6341" s="43">
        <v>1000</v>
      </c>
      <c r="F6341" s="296"/>
      <c r="G6341" s="48">
        <f t="shared" si="156"/>
        <v>6352.2768817199394</v>
      </c>
      <c r="H6341" s="388" t="s">
        <v>9567</v>
      </c>
    </row>
    <row r="6342" spans="1:8" x14ac:dyDescent="0.3">
      <c r="A6342" s="503">
        <v>45090</v>
      </c>
      <c r="B6342" s="396" t="s">
        <v>11743</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7"/>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7"/>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12053</v>
      </c>
      <c r="C6353" s="5" t="s">
        <v>84</v>
      </c>
      <c r="D6353" s="5" t="s">
        <v>11488</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12046</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12046</v>
      </c>
      <c r="C6360" s="5" t="s">
        <v>5162</v>
      </c>
      <c r="D6360" s="5" t="s">
        <v>11409</v>
      </c>
      <c r="E6360" s="43">
        <v>1500</v>
      </c>
      <c r="F6360" s="296"/>
      <c r="G6360" s="48">
        <f t="shared" si="156"/>
        <v>912.27688171993941</v>
      </c>
      <c r="H6360" s="388" t="s">
        <v>9567</v>
      </c>
    </row>
    <row r="6361" spans="1:8" x14ac:dyDescent="0.3">
      <c r="A6361" s="503">
        <v>45092</v>
      </c>
      <c r="B6361" s="567"/>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12134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7"/>
      <c r="C6368" s="497"/>
      <c r="D6368" s="498" t="s">
        <v>11397</v>
      </c>
      <c r="E6368" s="497"/>
      <c r="F6368" s="67">
        <v>300000</v>
      </c>
      <c r="G6368" s="48">
        <f t="shared" si="156"/>
        <v>300047.27688171994</v>
      </c>
      <c r="H6368" s="388" t="s">
        <v>9567</v>
      </c>
    </row>
    <row r="6369" spans="1:8" x14ac:dyDescent="0.3">
      <c r="A6369" s="503">
        <v>45096</v>
      </c>
      <c r="B6369" s="396" t="s">
        <v>12049</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12046</v>
      </c>
      <c r="C6372" s="5" t="s">
        <v>5162</v>
      </c>
      <c r="D6372" s="5" t="s">
        <v>11476</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12046</v>
      </c>
      <c r="C6375" s="5" t="s">
        <v>9451</v>
      </c>
      <c r="D6375" s="5" t="s">
        <v>11423</v>
      </c>
      <c r="E6375" s="43">
        <v>17290</v>
      </c>
      <c r="F6375" s="43"/>
      <c r="G6375" s="48">
        <f t="shared" si="156"/>
        <v>249307.27688171994</v>
      </c>
      <c r="H6375" s="388" t="s">
        <v>9567</v>
      </c>
    </row>
    <row r="6376" spans="1:8" x14ac:dyDescent="0.3">
      <c r="A6376" s="503">
        <v>45096</v>
      </c>
      <c r="B6376" s="396" t="s">
        <v>12046</v>
      </c>
      <c r="C6376" s="5" t="s">
        <v>10800</v>
      </c>
      <c r="D6376" s="5" t="s">
        <v>11424</v>
      </c>
      <c r="E6376" s="43">
        <v>500</v>
      </c>
      <c r="F6376" s="43"/>
      <c r="G6376" s="48">
        <f t="shared" si="156"/>
        <v>248807.27688171994</v>
      </c>
      <c r="H6376" s="388" t="s">
        <v>9567</v>
      </c>
    </row>
    <row r="6377" spans="1:8" x14ac:dyDescent="0.3">
      <c r="A6377" s="503">
        <v>45096</v>
      </c>
      <c r="B6377" s="396" t="s">
        <v>12049</v>
      </c>
      <c r="C6377" s="5" t="s">
        <v>10800</v>
      </c>
      <c r="D6377" s="5" t="s">
        <v>11425</v>
      </c>
      <c r="E6377" s="43">
        <v>1050</v>
      </c>
      <c r="F6377" s="43"/>
      <c r="G6377" s="48">
        <f t="shared" si="156"/>
        <v>247757.27688171994</v>
      </c>
      <c r="H6377" s="388" t="s">
        <v>9567</v>
      </c>
    </row>
    <row r="6378" spans="1:8" x14ac:dyDescent="0.3">
      <c r="A6378" s="503">
        <v>45096</v>
      </c>
      <c r="B6378" s="396" t="s">
        <v>12049</v>
      </c>
      <c r="C6378" s="5" t="s">
        <v>10800</v>
      </c>
      <c r="D6378" s="5" t="s">
        <v>11428</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11426</v>
      </c>
      <c r="E6382" s="43">
        <v>500</v>
      </c>
      <c r="F6382" s="43"/>
      <c r="G6382" s="48">
        <f t="shared" si="157"/>
        <v>94277.276881719939</v>
      </c>
      <c r="H6382" s="388" t="s">
        <v>9567</v>
      </c>
    </row>
    <row r="6383" spans="1:8" x14ac:dyDescent="0.3">
      <c r="A6383" s="503">
        <v>45096</v>
      </c>
      <c r="B6383" s="342" t="s">
        <v>12053</v>
      </c>
      <c r="C6383" s="5" t="s">
        <v>11429</v>
      </c>
      <c r="D6383" s="5" t="s">
        <v>11430</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12134</v>
      </c>
      <c r="C6385" s="5" t="s">
        <v>11431</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11743</v>
      </c>
      <c r="C6387" s="5" t="s">
        <v>9990</v>
      </c>
      <c r="D6387" s="5" t="s">
        <v>9252</v>
      </c>
      <c r="E6387" s="43">
        <v>5000</v>
      </c>
      <c r="F6387" s="43"/>
      <c r="G6387" s="48">
        <f t="shared" si="157"/>
        <v>79727.276881719939</v>
      </c>
      <c r="H6387" s="388" t="s">
        <v>9567</v>
      </c>
    </row>
    <row r="6388" spans="1:8" x14ac:dyDescent="0.3">
      <c r="A6388" s="503">
        <v>45096</v>
      </c>
      <c r="B6388" s="396" t="s">
        <v>11432</v>
      </c>
      <c r="C6388" s="5" t="s">
        <v>9794</v>
      </c>
      <c r="D6388" s="5" t="s">
        <v>11433</v>
      </c>
      <c r="E6388" s="43">
        <v>490</v>
      </c>
      <c r="F6388" s="43"/>
      <c r="G6388" s="48">
        <f t="shared" si="157"/>
        <v>79237.276881719939</v>
      </c>
      <c r="H6388" s="388" t="s">
        <v>9567</v>
      </c>
    </row>
    <row r="6389" spans="1:8" x14ac:dyDescent="0.3">
      <c r="A6389" s="503">
        <v>45096</v>
      </c>
      <c r="B6389" s="396"/>
      <c r="C6389" s="5" t="s">
        <v>25</v>
      </c>
      <c r="D6389" s="5" t="s">
        <v>11434</v>
      </c>
      <c r="E6389" s="43">
        <v>4500</v>
      </c>
      <c r="F6389" s="43"/>
      <c r="G6389" s="48">
        <f t="shared" si="157"/>
        <v>74737.276881719939</v>
      </c>
      <c r="H6389" s="388" t="s">
        <v>9567</v>
      </c>
    </row>
    <row r="6390" spans="1:8" x14ac:dyDescent="0.3">
      <c r="A6390" s="503">
        <v>45096</v>
      </c>
      <c r="B6390" s="567"/>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11436</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11437</v>
      </c>
      <c r="C6394" s="5" t="s">
        <v>9227</v>
      </c>
      <c r="D6394" s="5" t="s">
        <v>11438</v>
      </c>
      <c r="E6394" s="43">
        <v>51720</v>
      </c>
      <c r="F6394" s="43"/>
      <c r="G6394" s="48">
        <f t="shared" si="157"/>
        <v>132517.27688171994</v>
      </c>
      <c r="H6394" s="388" t="s">
        <v>9567</v>
      </c>
    </row>
    <row r="6395" spans="1:8" x14ac:dyDescent="0.3">
      <c r="A6395" s="503">
        <v>45097</v>
      </c>
      <c r="B6395" s="396" t="s">
        <v>12046</v>
      </c>
      <c r="C6395" s="5" t="s">
        <v>11439</v>
      </c>
      <c r="D6395" s="5" t="s">
        <v>11402</v>
      </c>
      <c r="E6395" s="43">
        <v>44720</v>
      </c>
      <c r="F6395" s="43"/>
      <c r="G6395" s="48">
        <f t="shared" si="157"/>
        <v>87797.276881719939</v>
      </c>
      <c r="H6395" s="388" t="s">
        <v>9567</v>
      </c>
    </row>
    <row r="6396" spans="1:8" x14ac:dyDescent="0.3">
      <c r="A6396" s="503">
        <v>45097</v>
      </c>
      <c r="B6396" s="396" t="s">
        <v>12046</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11440</v>
      </c>
      <c r="E6398" s="43">
        <v>47000</v>
      </c>
      <c r="F6398" s="43"/>
      <c r="G6398" s="48">
        <f t="shared" si="157"/>
        <v>39447.276881719939</v>
      </c>
      <c r="H6398" s="388" t="s">
        <v>9567</v>
      </c>
    </row>
    <row r="6399" spans="1:8" x14ac:dyDescent="0.3">
      <c r="A6399" s="503">
        <v>45097</v>
      </c>
      <c r="B6399" s="396" t="s">
        <v>12046</v>
      </c>
      <c r="C6399" s="5" t="s">
        <v>5793</v>
      </c>
      <c r="D6399" s="5" t="s">
        <v>40</v>
      </c>
      <c r="E6399" s="43">
        <v>2000</v>
      </c>
      <c r="F6399" s="43"/>
      <c r="G6399" s="48">
        <f t="shared" si="157"/>
        <v>37447.276881719939</v>
      </c>
      <c r="H6399" s="388" t="s">
        <v>9567</v>
      </c>
    </row>
    <row r="6400" spans="1:8" x14ac:dyDescent="0.3">
      <c r="A6400" s="503">
        <v>45097</v>
      </c>
      <c r="B6400" s="396" t="s">
        <v>12049</v>
      </c>
      <c r="C6400" s="5" t="s">
        <v>5793</v>
      </c>
      <c r="D6400" s="5" t="s">
        <v>40</v>
      </c>
      <c r="E6400" s="43">
        <v>1500</v>
      </c>
      <c r="F6400" s="43"/>
      <c r="G6400" s="48">
        <f t="shared" si="157"/>
        <v>35947.276881719939</v>
      </c>
      <c r="H6400" s="388" t="s">
        <v>9567</v>
      </c>
    </row>
    <row r="6401" spans="1:8" x14ac:dyDescent="0.3">
      <c r="A6401" s="503">
        <v>45097</v>
      </c>
      <c r="B6401" s="396" t="s">
        <v>12133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11442</v>
      </c>
      <c r="C6403" s="5" t="s">
        <v>5793</v>
      </c>
      <c r="D6403" s="5" t="s">
        <v>40</v>
      </c>
      <c r="E6403" s="43">
        <v>1000</v>
      </c>
      <c r="F6403" s="43"/>
      <c r="G6403" s="48">
        <f t="shared" si="157"/>
        <v>32147.276881719939</v>
      </c>
      <c r="H6403" s="388" t="s">
        <v>9567</v>
      </c>
    </row>
    <row r="6404" spans="1:8" x14ac:dyDescent="0.3">
      <c r="A6404" s="503">
        <v>45097</v>
      </c>
      <c r="B6404" s="567"/>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11443</v>
      </c>
      <c r="E6405" s="43">
        <v>200000</v>
      </c>
      <c r="F6405" s="43"/>
      <c r="G6405" s="48">
        <f t="shared" si="157"/>
        <v>832147.27688171994</v>
      </c>
      <c r="H6405" s="388" t="s">
        <v>9567</v>
      </c>
    </row>
    <row r="6406" spans="1:8" x14ac:dyDescent="0.3">
      <c r="A6406" s="503">
        <v>45097</v>
      </c>
      <c r="B6406" s="396" t="s">
        <v>12133</v>
      </c>
      <c r="C6406" s="5" t="s">
        <v>5793</v>
      </c>
      <c r="D6406" s="5" t="s">
        <v>11444</v>
      </c>
      <c r="E6406" s="43">
        <v>5500</v>
      </c>
      <c r="F6406" s="43"/>
      <c r="G6406" s="48">
        <f t="shared" si="157"/>
        <v>826647.27688171994</v>
      </c>
      <c r="H6406" s="388" t="s">
        <v>9567</v>
      </c>
    </row>
    <row r="6407" spans="1:8" x14ac:dyDescent="0.3">
      <c r="A6407" s="503">
        <v>45097</v>
      </c>
      <c r="B6407" s="396"/>
      <c r="C6407" s="5" t="s">
        <v>84</v>
      </c>
      <c r="D6407" s="5" t="s">
        <v>11445</v>
      </c>
      <c r="E6407" s="62">
        <v>2000</v>
      </c>
      <c r="F6407" s="43"/>
      <c r="G6407" s="48">
        <f t="shared" si="157"/>
        <v>824647.27688171994</v>
      </c>
      <c r="H6407" s="388" t="s">
        <v>9567</v>
      </c>
    </row>
    <row r="6408" spans="1:8" x14ac:dyDescent="0.3">
      <c r="A6408" s="503">
        <v>45097</v>
      </c>
      <c r="B6408" s="396" t="s">
        <v>12086</v>
      </c>
      <c r="C6408" s="5" t="s">
        <v>11446</v>
      </c>
      <c r="D6408" s="5" t="s">
        <v>11447</v>
      </c>
      <c r="E6408" s="43">
        <v>1000</v>
      </c>
      <c r="F6408" s="43"/>
      <c r="G6408" s="48">
        <f t="shared" si="157"/>
        <v>823647.27688171994</v>
      </c>
      <c r="H6408" s="388" t="s">
        <v>9567</v>
      </c>
    </row>
    <row r="6409" spans="1:8" x14ac:dyDescent="0.3">
      <c r="A6409" s="503">
        <v>45098</v>
      </c>
      <c r="B6409" s="396" t="s">
        <v>118</v>
      </c>
      <c r="C6409" s="5" t="s">
        <v>11448</v>
      </c>
      <c r="D6409" s="5" t="s">
        <v>9995</v>
      </c>
      <c r="E6409" s="43">
        <v>150000</v>
      </c>
      <c r="F6409" s="43"/>
      <c r="G6409" s="48">
        <f t="shared" si="157"/>
        <v>673647.27688171994</v>
      </c>
      <c r="H6409" s="388" t="s">
        <v>9567</v>
      </c>
    </row>
    <row r="6410" spans="1:8" x14ac:dyDescent="0.3">
      <c r="A6410" s="503">
        <v>45098</v>
      </c>
      <c r="B6410" s="396" t="s">
        <v>11743</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11434</v>
      </c>
      <c r="E6411" s="43">
        <v>4000</v>
      </c>
      <c r="F6411" s="43"/>
      <c r="G6411" s="48">
        <f t="shared" si="157"/>
        <v>669247.27688171994</v>
      </c>
      <c r="H6411" s="388" t="s">
        <v>9567</v>
      </c>
    </row>
    <row r="6412" spans="1:8" x14ac:dyDescent="0.3">
      <c r="A6412" s="503">
        <v>45098</v>
      </c>
      <c r="B6412" s="396"/>
      <c r="C6412" s="5" t="s">
        <v>247</v>
      </c>
      <c r="D6412" s="5" t="s">
        <v>11449</v>
      </c>
      <c r="E6412" s="43">
        <v>17500</v>
      </c>
      <c r="F6412" s="43"/>
      <c r="G6412" s="48">
        <f t="shared" si="157"/>
        <v>651747.27688171994</v>
      </c>
      <c r="H6412" s="388" t="s">
        <v>9567</v>
      </c>
    </row>
    <row r="6413" spans="1:8" x14ac:dyDescent="0.3">
      <c r="A6413" s="503">
        <v>45098</v>
      </c>
      <c r="B6413" s="396" t="s">
        <v>11046</v>
      </c>
      <c r="C6413" s="5" t="s">
        <v>9643</v>
      </c>
      <c r="D6413" s="5" t="s">
        <v>11450</v>
      </c>
      <c r="E6413" s="43">
        <v>100000</v>
      </c>
      <c r="F6413" s="43"/>
      <c r="G6413" s="48">
        <f t="shared" si="157"/>
        <v>551747.27688171994</v>
      </c>
      <c r="H6413" s="388" t="s">
        <v>9567</v>
      </c>
    </row>
    <row r="6414" spans="1:8" x14ac:dyDescent="0.3">
      <c r="A6414" s="503">
        <v>45098</v>
      </c>
      <c r="B6414" s="396"/>
      <c r="C6414" s="5" t="s">
        <v>84</v>
      </c>
      <c r="D6414" s="5" t="s">
        <v>11451</v>
      </c>
      <c r="E6414" s="62">
        <v>5000</v>
      </c>
      <c r="F6414" s="43"/>
      <c r="G6414" s="48">
        <f t="shared" si="157"/>
        <v>546747.27688171994</v>
      </c>
      <c r="H6414" s="388" t="s">
        <v>9567</v>
      </c>
    </row>
    <row r="6415" spans="1:8" x14ac:dyDescent="0.3">
      <c r="A6415" s="503">
        <v>45098</v>
      </c>
      <c r="B6415" s="396"/>
      <c r="C6415" s="5" t="s">
        <v>84</v>
      </c>
      <c r="D6415" s="5" t="s">
        <v>11452</v>
      </c>
      <c r="E6415" s="62">
        <v>10000</v>
      </c>
      <c r="F6415" s="43"/>
      <c r="G6415" s="48">
        <f t="shared" si="157"/>
        <v>536747.27688171994</v>
      </c>
      <c r="H6415" s="388" t="s">
        <v>9567</v>
      </c>
    </row>
    <row r="6416" spans="1:8" x14ac:dyDescent="0.3">
      <c r="A6416" s="503">
        <v>45098</v>
      </c>
      <c r="B6416" s="396" t="s">
        <v>10601</v>
      </c>
      <c r="C6416" s="5" t="s">
        <v>11454</v>
      </c>
      <c r="D6416" s="5" t="s">
        <v>11453</v>
      </c>
      <c r="E6416" s="43">
        <v>5000</v>
      </c>
      <c r="F6416" s="43"/>
      <c r="G6416" s="48">
        <f t="shared" si="157"/>
        <v>531747.27688171994</v>
      </c>
      <c r="H6416" s="388" t="s">
        <v>9567</v>
      </c>
    </row>
    <row r="6417" spans="1:8" x14ac:dyDescent="0.3">
      <c r="A6417" s="503">
        <v>45098</v>
      </c>
      <c r="B6417" s="396" t="s">
        <v>11046</v>
      </c>
      <c r="C6417" s="5" t="s">
        <v>6430</v>
      </c>
      <c r="D6417" s="5" t="s">
        <v>11455</v>
      </c>
      <c r="E6417" s="43">
        <v>9500</v>
      </c>
      <c r="F6417" s="43"/>
      <c r="G6417" s="48">
        <f t="shared" si="157"/>
        <v>522247.27688171994</v>
      </c>
      <c r="H6417" s="388" t="s">
        <v>9567</v>
      </c>
    </row>
    <row r="6418" spans="1:8" x14ac:dyDescent="0.3">
      <c r="A6418" s="503">
        <v>45098</v>
      </c>
      <c r="B6418" s="396" t="s">
        <v>11046</v>
      </c>
      <c r="C6418" s="5" t="s">
        <v>6430</v>
      </c>
      <c r="D6418" s="5" t="s">
        <v>11456</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12048</v>
      </c>
      <c r="C6420" s="5" t="s">
        <v>9749</v>
      </c>
      <c r="D6420" s="5" t="s">
        <v>4342</v>
      </c>
      <c r="E6420" s="43">
        <v>5500</v>
      </c>
      <c r="F6420" s="43"/>
      <c r="G6420" s="48">
        <f t="shared" si="157"/>
        <v>512797.27688171994</v>
      </c>
      <c r="H6420" s="388" t="s">
        <v>9567</v>
      </c>
    </row>
    <row r="6421" spans="1:8" x14ac:dyDescent="0.3">
      <c r="A6421" s="503">
        <v>45098</v>
      </c>
      <c r="B6421" s="396" t="s">
        <v>11743</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11460</v>
      </c>
      <c r="E6422" s="43">
        <v>5000</v>
      </c>
      <c r="F6422" s="43"/>
      <c r="G6422" s="48">
        <f t="shared" si="157"/>
        <v>501435.27688171994</v>
      </c>
      <c r="H6422" s="388" t="s">
        <v>9567</v>
      </c>
    </row>
    <row r="6423" spans="1:8" x14ac:dyDescent="0.3">
      <c r="A6423" s="503">
        <v>45098</v>
      </c>
      <c r="B6423" s="396" t="s">
        <v>12048</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11434</v>
      </c>
      <c r="E6424" s="43">
        <v>4500</v>
      </c>
      <c r="F6424" s="43"/>
      <c r="G6424" s="48">
        <f t="shared" si="157"/>
        <v>493935.27688171994</v>
      </c>
      <c r="H6424" s="388" t="s">
        <v>9567</v>
      </c>
    </row>
    <row r="6425" spans="1:8" x14ac:dyDescent="0.3">
      <c r="A6425" s="503">
        <v>45099</v>
      </c>
      <c r="B6425" s="396" t="s">
        <v>118</v>
      </c>
      <c r="C6425" s="5" t="s">
        <v>11461</v>
      </c>
      <c r="D6425" s="5" t="s">
        <v>11462</v>
      </c>
      <c r="E6425" s="43">
        <v>66680</v>
      </c>
      <c r="F6425" s="43"/>
      <c r="G6425" s="48">
        <f t="shared" si="157"/>
        <v>427255.27688171994</v>
      </c>
      <c r="H6425" s="388" t="s">
        <v>9567</v>
      </c>
    </row>
    <row r="6426" spans="1:8" x14ac:dyDescent="0.3">
      <c r="A6426" s="503">
        <v>45099</v>
      </c>
      <c r="B6426" s="396" t="s">
        <v>12134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11442</v>
      </c>
      <c r="C6428" s="5" t="s">
        <v>5793</v>
      </c>
      <c r="D6428" s="5" t="s">
        <v>40</v>
      </c>
      <c r="E6428" s="43">
        <v>1000</v>
      </c>
      <c r="F6428" s="43"/>
      <c r="G6428" s="48">
        <f t="shared" si="157"/>
        <v>294115.27688171994</v>
      </c>
      <c r="H6428" s="388" t="s">
        <v>9567</v>
      </c>
    </row>
    <row r="6429" spans="1:8" x14ac:dyDescent="0.3">
      <c r="A6429" s="503">
        <v>45099</v>
      </c>
      <c r="B6429" s="396" t="s">
        <v>12049</v>
      </c>
      <c r="C6429" s="5" t="s">
        <v>10745</v>
      </c>
      <c r="D6429" s="5" t="s">
        <v>3611</v>
      </c>
      <c r="E6429" s="43">
        <v>20000</v>
      </c>
      <c r="F6429" s="43"/>
      <c r="G6429" s="48">
        <f t="shared" si="157"/>
        <v>274115.27688171994</v>
      </c>
      <c r="H6429" s="388" t="s">
        <v>9567</v>
      </c>
    </row>
    <row r="6430" spans="1:8" x14ac:dyDescent="0.3">
      <c r="A6430" s="503">
        <v>45099</v>
      </c>
      <c r="B6430" s="396" t="s">
        <v>11743</v>
      </c>
      <c r="C6430" s="5" t="s">
        <v>9749</v>
      </c>
      <c r="D6430" s="5" t="s">
        <v>11463</v>
      </c>
      <c r="E6430" s="43">
        <v>5190</v>
      </c>
      <c r="F6430" s="43"/>
      <c r="G6430" s="48">
        <f t="shared" si="157"/>
        <v>268925.27688171994</v>
      </c>
      <c r="H6430" s="388" t="s">
        <v>9567</v>
      </c>
    </row>
    <row r="6431" spans="1:8" x14ac:dyDescent="0.3">
      <c r="A6431" s="503">
        <v>45099</v>
      </c>
      <c r="B6431" s="396" t="s">
        <v>12048</v>
      </c>
      <c r="C6431" s="5" t="s">
        <v>9749</v>
      </c>
      <c r="D6431" s="5" t="s">
        <v>11474</v>
      </c>
      <c r="E6431" s="43">
        <v>16540</v>
      </c>
      <c r="F6431" s="43"/>
      <c r="G6431" s="48">
        <f t="shared" si="157"/>
        <v>252385.27688171994</v>
      </c>
      <c r="H6431" s="388" t="s">
        <v>9567</v>
      </c>
    </row>
    <row r="6432" spans="1:8" x14ac:dyDescent="0.3">
      <c r="A6432" s="503">
        <v>45099</v>
      </c>
      <c r="B6432" s="396" t="s">
        <v>10817</v>
      </c>
      <c r="C6432" s="5" t="s">
        <v>11469</v>
      </c>
      <c r="D6432" s="5" t="s">
        <v>5508</v>
      </c>
      <c r="E6432" s="43">
        <v>20000</v>
      </c>
      <c r="F6432" s="43"/>
      <c r="G6432" s="48">
        <f t="shared" si="157"/>
        <v>232385.27688171994</v>
      </c>
      <c r="H6432" s="388" t="s">
        <v>9567</v>
      </c>
    </row>
    <row r="6433" spans="1:8" x14ac:dyDescent="0.3">
      <c r="A6433" s="503">
        <v>45099</v>
      </c>
      <c r="B6433" s="396" t="s">
        <v>10817</v>
      </c>
      <c r="C6433" s="5" t="s">
        <v>10773</v>
      </c>
      <c r="D6433" s="5" t="s">
        <v>11470</v>
      </c>
      <c r="E6433" s="43">
        <v>20000</v>
      </c>
      <c r="F6433" s="43"/>
      <c r="G6433" s="48">
        <f t="shared" si="157"/>
        <v>212385.27688171994</v>
      </c>
      <c r="H6433" s="388" t="s">
        <v>9567</v>
      </c>
    </row>
    <row r="6434" spans="1:8" x14ac:dyDescent="0.3">
      <c r="A6434" s="503">
        <v>45099</v>
      </c>
      <c r="B6434" s="396" t="s">
        <v>9915</v>
      </c>
      <c r="C6434" s="5" t="s">
        <v>8009</v>
      </c>
      <c r="D6434" s="5" t="s">
        <v>11471</v>
      </c>
      <c r="E6434" s="43">
        <v>4000</v>
      </c>
      <c r="F6434" s="43"/>
      <c r="G6434" s="48">
        <f t="shared" si="157"/>
        <v>208385.27688171994</v>
      </c>
      <c r="H6434" s="388" t="s">
        <v>9567</v>
      </c>
    </row>
    <row r="6435" spans="1:8" x14ac:dyDescent="0.3">
      <c r="A6435" s="503">
        <v>45099</v>
      </c>
      <c r="B6435" s="396" t="s">
        <v>9915</v>
      </c>
      <c r="C6435" s="5" t="s">
        <v>8009</v>
      </c>
      <c r="D6435" s="5" t="s">
        <v>11472</v>
      </c>
      <c r="E6435" s="43">
        <v>10000</v>
      </c>
      <c r="F6435" s="43"/>
      <c r="G6435" s="48">
        <f t="shared" si="157"/>
        <v>198385.27688171994</v>
      </c>
      <c r="H6435" s="388" t="s">
        <v>9567</v>
      </c>
    </row>
    <row r="6436" spans="1:8" x14ac:dyDescent="0.3">
      <c r="A6436" s="503">
        <v>45099</v>
      </c>
      <c r="B6436" s="396" t="s">
        <v>11743</v>
      </c>
      <c r="C6436" s="5" t="s">
        <v>9749</v>
      </c>
      <c r="D6436" s="5" t="s">
        <v>11475</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12046</v>
      </c>
      <c r="C6438" s="5" t="s">
        <v>4376</v>
      </c>
      <c r="D6438" s="5" t="s">
        <v>11477</v>
      </c>
      <c r="E6438" s="43">
        <v>900</v>
      </c>
      <c r="F6438" s="43"/>
      <c r="G6438" s="48">
        <f t="shared" ref="G6438:G6444" si="158">G6437+F6438-E6438</f>
        <v>194985.27688171994</v>
      </c>
      <c r="H6438" s="388" t="s">
        <v>9567</v>
      </c>
    </row>
    <row r="6439" spans="1:8" x14ac:dyDescent="0.3">
      <c r="A6439" s="503">
        <v>45100</v>
      </c>
      <c r="B6439" s="396" t="s">
        <v>12046</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11436</v>
      </c>
      <c r="E6440" s="43">
        <v>17000</v>
      </c>
      <c r="F6440" s="43"/>
      <c r="G6440" s="48">
        <f t="shared" si="158"/>
        <v>175985.27688171994</v>
      </c>
      <c r="H6440" s="388" t="s">
        <v>9567</v>
      </c>
    </row>
    <row r="6441" spans="1:8" x14ac:dyDescent="0.3">
      <c r="A6441" s="503">
        <v>45100</v>
      </c>
      <c r="B6441" s="396"/>
      <c r="C6441" s="5" t="s">
        <v>84</v>
      </c>
      <c r="D6441" s="5" t="s">
        <v>11478</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12048</v>
      </c>
      <c r="C6443" s="5" t="s">
        <v>9749</v>
      </c>
      <c r="D6443" s="5" t="s">
        <v>11479</v>
      </c>
      <c r="E6443" s="43">
        <v>21360</v>
      </c>
      <c r="F6443" s="43"/>
      <c r="G6443" s="48">
        <f t="shared" si="158"/>
        <v>148125.27688171994</v>
      </c>
      <c r="H6443" s="388" t="s">
        <v>9567</v>
      </c>
    </row>
    <row r="6444" spans="1:8" x14ac:dyDescent="0.3">
      <c r="A6444" s="503">
        <v>45100</v>
      </c>
      <c r="B6444" s="396" t="s">
        <v>10959</v>
      </c>
      <c r="C6444" s="5" t="s">
        <v>30</v>
      </c>
      <c r="D6444" s="5" t="s">
        <v>11480</v>
      </c>
      <c r="E6444" s="43">
        <v>500</v>
      </c>
      <c r="F6444" s="43"/>
      <c r="G6444" s="48">
        <f t="shared" si="158"/>
        <v>147625.27688171994</v>
      </c>
      <c r="H6444" s="388" t="s">
        <v>9567</v>
      </c>
    </row>
    <row r="6445" spans="1:8" x14ac:dyDescent="0.3">
      <c r="A6445" s="503">
        <v>45100</v>
      </c>
      <c r="B6445" s="396" t="s">
        <v>12046</v>
      </c>
      <c r="C6445" s="5" t="s">
        <v>9749</v>
      </c>
      <c r="D6445" s="5" t="s">
        <v>10822</v>
      </c>
      <c r="E6445" s="43">
        <v>16360</v>
      </c>
      <c r="F6445" s="43"/>
      <c r="G6445" s="48">
        <f t="shared" ref="G6445:G6509" si="159">G6444+F6445-E6445</f>
        <v>131265.27688171994</v>
      </c>
      <c r="H6445" s="388" t="s">
        <v>9567</v>
      </c>
    </row>
    <row r="6446" spans="1:8" x14ac:dyDescent="0.3">
      <c r="A6446" s="503">
        <v>45100</v>
      </c>
      <c r="B6446" s="396" t="s">
        <v>12086</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11434</v>
      </c>
      <c r="E6447" s="43">
        <v>3000</v>
      </c>
      <c r="F6447" s="43"/>
      <c r="G6447" s="48">
        <f t="shared" si="159"/>
        <v>128015.27688171994</v>
      </c>
      <c r="H6447" s="388" t="s">
        <v>9567</v>
      </c>
    </row>
    <row r="6448" spans="1:8" x14ac:dyDescent="0.3">
      <c r="A6448" s="503">
        <v>45100</v>
      </c>
      <c r="B6448" s="342" t="s">
        <v>12053</v>
      </c>
      <c r="C6448" s="73" t="s">
        <v>84</v>
      </c>
      <c r="D6448" s="73" t="s">
        <v>11489</v>
      </c>
      <c r="E6448" s="326">
        <v>4000</v>
      </c>
      <c r="F6448" s="43"/>
      <c r="G6448" s="48">
        <f t="shared" si="159"/>
        <v>124015.27688171994</v>
      </c>
      <c r="H6448" s="388" t="s">
        <v>9567</v>
      </c>
    </row>
    <row r="6449" spans="1:8" x14ac:dyDescent="0.3">
      <c r="A6449" s="503">
        <v>45101</v>
      </c>
      <c r="B6449" s="396"/>
      <c r="C6449" s="5" t="s">
        <v>84</v>
      </c>
      <c r="D6449" s="5" t="s">
        <v>11482</v>
      </c>
      <c r="E6449" s="65">
        <v>2000</v>
      </c>
      <c r="F6449" s="43"/>
      <c r="G6449" s="48">
        <f t="shared" si="159"/>
        <v>122015.27688171994</v>
      </c>
      <c r="H6449" s="388" t="s">
        <v>9567</v>
      </c>
    </row>
    <row r="6450" spans="1:8" x14ac:dyDescent="0.3">
      <c r="A6450" s="503">
        <v>45101</v>
      </c>
      <c r="B6450" s="523"/>
      <c r="C6450" s="522" t="s">
        <v>54</v>
      </c>
      <c r="D6450" s="522" t="s">
        <v>11483</v>
      </c>
      <c r="E6450" s="62">
        <v>15000</v>
      </c>
      <c r="F6450" s="43"/>
      <c r="G6450" s="48">
        <f t="shared" si="159"/>
        <v>107015.27688171994</v>
      </c>
      <c r="H6450" s="388" t="s">
        <v>9567</v>
      </c>
    </row>
    <row r="6451" spans="1:8" x14ac:dyDescent="0.3">
      <c r="A6451" s="503">
        <v>45101</v>
      </c>
      <c r="B6451" s="396" t="s">
        <v>11046</v>
      </c>
      <c r="C6451" s="5" t="s">
        <v>9457</v>
      </c>
      <c r="D6451" s="5" t="s">
        <v>11484</v>
      </c>
      <c r="E6451" s="43">
        <v>9000</v>
      </c>
      <c r="F6451" s="43"/>
      <c r="G6451" s="48">
        <f t="shared" si="159"/>
        <v>98015.276881719939</v>
      </c>
      <c r="H6451" s="388" t="s">
        <v>9567</v>
      </c>
    </row>
    <row r="6452" spans="1:8" x14ac:dyDescent="0.3">
      <c r="A6452" s="503">
        <v>45101</v>
      </c>
      <c r="B6452" s="396" t="s">
        <v>12046</v>
      </c>
      <c r="C6452" s="5" t="s">
        <v>30</v>
      </c>
      <c r="D6452" s="5" t="s">
        <v>11485</v>
      </c>
      <c r="E6452" s="43">
        <v>1100</v>
      </c>
      <c r="F6452" s="43"/>
      <c r="G6452" s="48">
        <f t="shared" si="159"/>
        <v>96915.276881719939</v>
      </c>
      <c r="H6452" s="388" t="s">
        <v>9567</v>
      </c>
    </row>
    <row r="6453" spans="1:8" x14ac:dyDescent="0.3">
      <c r="A6453" s="503">
        <v>45101</v>
      </c>
      <c r="B6453" s="396"/>
      <c r="C6453" s="5" t="s">
        <v>25</v>
      </c>
      <c r="D6453" s="5" t="s">
        <v>11486</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12046</v>
      </c>
      <c r="C6455" s="5" t="s">
        <v>8928</v>
      </c>
      <c r="D6455" s="5" t="s">
        <v>11487</v>
      </c>
      <c r="E6455" s="43">
        <v>8000</v>
      </c>
      <c r="F6455" s="43"/>
      <c r="G6455" s="48">
        <f t="shared" si="159"/>
        <v>33915.276881719939</v>
      </c>
      <c r="H6455" s="388" t="s">
        <v>9567</v>
      </c>
    </row>
    <row r="6456" spans="1:8" x14ac:dyDescent="0.3">
      <c r="A6456" s="503">
        <v>45101</v>
      </c>
      <c r="B6456" s="567"/>
      <c r="C6456" s="497"/>
      <c r="D6456" s="498" t="s">
        <v>11397</v>
      </c>
      <c r="E6456" s="497"/>
      <c r="F6456" s="67">
        <v>700000</v>
      </c>
      <c r="G6456" s="48">
        <f t="shared" si="159"/>
        <v>733915.27688171994</v>
      </c>
      <c r="H6456" s="388" t="s">
        <v>9567</v>
      </c>
    </row>
    <row r="6457" spans="1:8" x14ac:dyDescent="0.3">
      <c r="A6457" s="503">
        <v>45101</v>
      </c>
      <c r="B6457" s="396" t="s">
        <v>12046</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12048</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11490</v>
      </c>
      <c r="E6460" s="43">
        <v>50000</v>
      </c>
      <c r="F6460" s="43"/>
      <c r="G6460" s="48">
        <f t="shared" si="159"/>
        <v>681515.27688171994</v>
      </c>
      <c r="H6460" s="388" t="s">
        <v>9567</v>
      </c>
    </row>
    <row r="6461" spans="1:8" x14ac:dyDescent="0.3">
      <c r="A6461" s="503">
        <v>45101</v>
      </c>
      <c r="B6461" s="520" t="s">
        <v>11491</v>
      </c>
      <c r="C6461" s="519" t="s">
        <v>14</v>
      </c>
      <c r="D6461" s="519" t="s">
        <v>11361</v>
      </c>
      <c r="E6461" s="521">
        <v>450000</v>
      </c>
      <c r="F6461" s="43"/>
      <c r="G6461" s="48">
        <f t="shared" si="159"/>
        <v>231515.27688171994</v>
      </c>
      <c r="H6461" s="388" t="s">
        <v>9567</v>
      </c>
    </row>
    <row r="6462" spans="1:8" x14ac:dyDescent="0.3">
      <c r="A6462" s="503">
        <v>45101</v>
      </c>
      <c r="B6462" s="396" t="s">
        <v>11494</v>
      </c>
      <c r="C6462" s="5" t="s">
        <v>14</v>
      </c>
      <c r="D6462" s="5" t="s">
        <v>11493</v>
      </c>
      <c r="E6462" s="43">
        <v>10000</v>
      </c>
      <c r="F6462" s="43"/>
      <c r="G6462" s="48">
        <f t="shared" si="159"/>
        <v>221515.27688171994</v>
      </c>
      <c r="H6462" s="388" t="s">
        <v>9567</v>
      </c>
    </row>
    <row r="6463" spans="1:8" x14ac:dyDescent="0.3">
      <c r="A6463" s="503">
        <v>45101</v>
      </c>
      <c r="B6463" s="523" t="s">
        <v>9915</v>
      </c>
      <c r="C6463" s="522" t="s">
        <v>54</v>
      </c>
      <c r="D6463" s="522" t="s">
        <v>11495</v>
      </c>
      <c r="E6463" s="62">
        <v>34500</v>
      </c>
      <c r="F6463" s="43"/>
      <c r="G6463" s="48">
        <f t="shared" si="159"/>
        <v>187015.27688171994</v>
      </c>
      <c r="H6463" s="388" t="s">
        <v>9567</v>
      </c>
    </row>
    <row r="6464" spans="1:8" x14ac:dyDescent="0.3">
      <c r="A6464" s="503">
        <v>45101</v>
      </c>
      <c r="B6464" s="523" t="s">
        <v>9915</v>
      </c>
      <c r="C6464" s="522" t="s">
        <v>54</v>
      </c>
      <c r="D6464" s="522" t="s">
        <v>11496</v>
      </c>
      <c r="E6464" s="62">
        <v>15500</v>
      </c>
      <c r="F6464" s="43"/>
      <c r="G6464" s="48">
        <f t="shared" si="159"/>
        <v>171515.27688171994</v>
      </c>
      <c r="H6464" s="388" t="s">
        <v>9567</v>
      </c>
    </row>
    <row r="6465" spans="1:8" x14ac:dyDescent="0.3">
      <c r="A6465" s="503">
        <v>45101</v>
      </c>
      <c r="B6465" s="523" t="s">
        <v>9915</v>
      </c>
      <c r="C6465" s="522" t="s">
        <v>54</v>
      </c>
      <c r="D6465" s="522" t="s">
        <v>11497</v>
      </c>
      <c r="E6465" s="62">
        <v>25000</v>
      </c>
      <c r="F6465" s="43"/>
      <c r="G6465" s="48">
        <f t="shared" si="159"/>
        <v>146515.27688171994</v>
      </c>
      <c r="H6465" s="388" t="s">
        <v>9567</v>
      </c>
    </row>
    <row r="6466" spans="1:8" x14ac:dyDescent="0.3">
      <c r="A6466" s="503">
        <v>45101</v>
      </c>
      <c r="B6466" s="523" t="s">
        <v>9915</v>
      </c>
      <c r="C6466" s="522" t="s">
        <v>54</v>
      </c>
      <c r="D6466" s="522" t="s">
        <v>11498</v>
      </c>
      <c r="E6466" s="62">
        <v>25000</v>
      </c>
      <c r="F6466" s="43"/>
      <c r="G6466" s="48">
        <f t="shared" si="159"/>
        <v>121515.27688171994</v>
      </c>
      <c r="H6466" s="388" t="s">
        <v>9567</v>
      </c>
    </row>
    <row r="6467" spans="1:8" x14ac:dyDescent="0.3">
      <c r="A6467" s="503">
        <v>45103</v>
      </c>
      <c r="B6467" s="396" t="s">
        <v>12046</v>
      </c>
      <c r="C6467" s="5" t="s">
        <v>11174</v>
      </c>
      <c r="D6467" s="5" t="s">
        <v>11500</v>
      </c>
      <c r="E6467" s="43">
        <v>1000</v>
      </c>
      <c r="F6467" s="43"/>
      <c r="G6467" s="48">
        <f t="shared" si="159"/>
        <v>120515.27688171994</v>
      </c>
      <c r="H6467" s="388" t="s">
        <v>9567</v>
      </c>
    </row>
    <row r="6468" spans="1:8" x14ac:dyDescent="0.3">
      <c r="A6468" s="503">
        <v>45103</v>
      </c>
      <c r="B6468" s="396"/>
      <c r="C6468" s="5" t="s">
        <v>25</v>
      </c>
      <c r="D6468" s="5" t="s">
        <v>11434</v>
      </c>
      <c r="E6468" s="43">
        <v>3000</v>
      </c>
      <c r="F6468" s="43"/>
      <c r="G6468" s="48">
        <f t="shared" si="159"/>
        <v>117515.27688171994</v>
      </c>
      <c r="H6468" s="388" t="s">
        <v>9567</v>
      </c>
    </row>
    <row r="6469" spans="1:8" x14ac:dyDescent="0.3">
      <c r="A6469" s="503">
        <v>45103</v>
      </c>
      <c r="B6469" s="567"/>
      <c r="C6469" s="497"/>
      <c r="D6469" s="498" t="s">
        <v>11014</v>
      </c>
      <c r="E6469" s="497"/>
      <c r="F6469" s="67">
        <v>500000</v>
      </c>
      <c r="G6469" s="48">
        <f t="shared" si="159"/>
        <v>617515.27688171994</v>
      </c>
      <c r="H6469" s="388" t="s">
        <v>9567</v>
      </c>
    </row>
    <row r="6470" spans="1:8" x14ac:dyDescent="0.3">
      <c r="A6470" s="503">
        <v>45103</v>
      </c>
      <c r="B6470" s="396"/>
      <c r="C6470" s="5" t="s">
        <v>7214</v>
      </c>
      <c r="D6470" s="5" t="s">
        <v>11501</v>
      </c>
      <c r="E6470" s="43">
        <v>10000</v>
      </c>
      <c r="F6470" s="43"/>
      <c r="G6470" s="48">
        <f t="shared" si="159"/>
        <v>607515.27688171994</v>
      </c>
      <c r="H6470" s="388" t="s">
        <v>9567</v>
      </c>
    </row>
    <row r="6471" spans="1:8" x14ac:dyDescent="0.3">
      <c r="A6471" s="503">
        <v>45103</v>
      </c>
      <c r="B6471" s="396" t="s">
        <v>12049</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11502</v>
      </c>
      <c r="E6472" s="62">
        <v>10000</v>
      </c>
      <c r="F6472" s="43"/>
      <c r="G6472" s="48">
        <f t="shared" si="159"/>
        <v>557415.27688171994</v>
      </c>
      <c r="H6472" s="388" t="s">
        <v>9567</v>
      </c>
    </row>
    <row r="6473" spans="1:8" x14ac:dyDescent="0.3">
      <c r="A6473" s="503">
        <v>45103</v>
      </c>
      <c r="B6473" s="342" t="s">
        <v>12053</v>
      </c>
      <c r="C6473" s="5" t="s">
        <v>11174</v>
      </c>
      <c r="D6473" s="5" t="s">
        <v>11503</v>
      </c>
      <c r="E6473" s="43">
        <v>80</v>
      </c>
      <c r="F6473" s="43"/>
      <c r="G6473" s="48">
        <f t="shared" si="159"/>
        <v>557335.27688171994</v>
      </c>
      <c r="H6473" s="388" t="s">
        <v>9567</v>
      </c>
    </row>
    <row r="6474" spans="1:8" x14ac:dyDescent="0.3">
      <c r="A6474" s="503">
        <v>45103</v>
      </c>
      <c r="B6474" s="523" t="s">
        <v>118</v>
      </c>
      <c r="C6474" s="522" t="s">
        <v>54</v>
      </c>
      <c r="D6474" s="522" t="s">
        <v>11504</v>
      </c>
      <c r="E6474" s="62">
        <v>30000</v>
      </c>
      <c r="F6474" s="43"/>
      <c r="G6474" s="48">
        <f t="shared" si="159"/>
        <v>527335.27688171994</v>
      </c>
      <c r="H6474" s="388" t="s">
        <v>9567</v>
      </c>
    </row>
    <row r="6475" spans="1:8" x14ac:dyDescent="0.3">
      <c r="A6475" s="503">
        <v>45103</v>
      </c>
      <c r="B6475" s="396" t="s">
        <v>11505</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11509</v>
      </c>
      <c r="E6476" s="43">
        <v>4725</v>
      </c>
      <c r="F6476" s="43"/>
      <c r="G6476" s="241">
        <f t="shared" si="159"/>
        <v>519610.27688171994</v>
      </c>
      <c r="H6476" s="388" t="s">
        <v>9567</v>
      </c>
    </row>
    <row r="6477" spans="1:8" x14ac:dyDescent="0.3">
      <c r="A6477" s="503">
        <v>45103</v>
      </c>
      <c r="B6477" s="523" t="s">
        <v>118</v>
      </c>
      <c r="C6477" s="522" t="s">
        <v>54</v>
      </c>
      <c r="D6477" s="522" t="s">
        <v>11507</v>
      </c>
      <c r="E6477" s="62">
        <v>5000</v>
      </c>
      <c r="F6477" s="43"/>
      <c r="G6477" s="48">
        <f t="shared" si="159"/>
        <v>514610.27688171994</v>
      </c>
      <c r="H6477" s="388" t="s">
        <v>9567</v>
      </c>
    </row>
    <row r="6478" spans="1:8" x14ac:dyDescent="0.3">
      <c r="A6478" s="503">
        <v>45103</v>
      </c>
      <c r="B6478" s="396" t="s">
        <v>10319</v>
      </c>
      <c r="C6478" s="5" t="s">
        <v>247</v>
      </c>
      <c r="D6478" s="5" t="s">
        <v>11449</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11510</v>
      </c>
      <c r="E6480" s="62">
        <v>25000</v>
      </c>
      <c r="F6480" s="43"/>
      <c r="G6480" s="48">
        <f t="shared" si="159"/>
        <v>472640.27688171994</v>
      </c>
      <c r="H6480" s="388" t="s">
        <v>9567</v>
      </c>
    </row>
    <row r="6481" spans="1:14" x14ac:dyDescent="0.3">
      <c r="A6481" s="503">
        <v>45103</v>
      </c>
      <c r="B6481" s="523" t="s">
        <v>9915</v>
      </c>
      <c r="C6481" s="522" t="s">
        <v>54</v>
      </c>
      <c r="D6481" s="522" t="s">
        <v>11511</v>
      </c>
      <c r="E6481" s="62">
        <v>20000</v>
      </c>
      <c r="F6481" s="43"/>
      <c r="G6481" s="48">
        <f t="shared" si="159"/>
        <v>452640.27688171994</v>
      </c>
      <c r="H6481" s="388" t="s">
        <v>9567</v>
      </c>
    </row>
    <row r="6482" spans="1:14" x14ac:dyDescent="0.3">
      <c r="A6482" s="503">
        <v>45103</v>
      </c>
      <c r="B6482" s="396" t="s">
        <v>10601</v>
      </c>
      <c r="C6482" s="5" t="s">
        <v>84</v>
      </c>
      <c r="D6482" s="5" t="s">
        <v>11512</v>
      </c>
      <c r="E6482" s="65">
        <v>12000</v>
      </c>
      <c r="F6482" s="43"/>
      <c r="G6482" s="48">
        <f t="shared" si="159"/>
        <v>440640.27688171994</v>
      </c>
      <c r="H6482" s="388" t="s">
        <v>9567</v>
      </c>
    </row>
    <row r="6483" spans="1:14" x14ac:dyDescent="0.3">
      <c r="A6483" s="503">
        <v>45103</v>
      </c>
      <c r="B6483" s="396" t="s">
        <v>12134</v>
      </c>
      <c r="C6483" s="5" t="s">
        <v>11513</v>
      </c>
      <c r="D6483" s="5" t="s">
        <v>11514</v>
      </c>
      <c r="E6483" s="43">
        <v>40000</v>
      </c>
      <c r="F6483" s="43"/>
      <c r="G6483" s="48">
        <f t="shared" si="159"/>
        <v>400640.27688171994</v>
      </c>
      <c r="H6483" s="388" t="s">
        <v>9567</v>
      </c>
    </row>
    <row r="6484" spans="1:14" x14ac:dyDescent="0.3">
      <c r="A6484" s="503">
        <v>45103</v>
      </c>
      <c r="B6484" s="396" t="s">
        <v>10601</v>
      </c>
      <c r="C6484" s="5" t="s">
        <v>84</v>
      </c>
      <c r="D6484" s="5" t="s">
        <v>11515</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11516</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11505</v>
      </c>
      <c r="C6488" s="5" t="s">
        <v>10800</v>
      </c>
      <c r="D6488" s="5" t="s">
        <v>11517</v>
      </c>
      <c r="E6488" s="43">
        <v>4700</v>
      </c>
      <c r="F6488" s="43"/>
      <c r="G6488" s="48">
        <f t="shared" si="159"/>
        <v>335340.27688171994</v>
      </c>
      <c r="H6488" s="388" t="s">
        <v>9567</v>
      </c>
    </row>
    <row r="6489" spans="1:14" x14ac:dyDescent="0.3">
      <c r="A6489" s="503">
        <v>45103</v>
      </c>
      <c r="B6489" s="396" t="s">
        <v>12049</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11518</v>
      </c>
      <c r="E6490" s="62">
        <v>50000</v>
      </c>
      <c r="F6490" s="43"/>
      <c r="G6490" s="48">
        <f t="shared" si="159"/>
        <v>276840.27688171994</v>
      </c>
      <c r="H6490" s="388" t="s">
        <v>9567</v>
      </c>
    </row>
    <row r="6491" spans="1:14" x14ac:dyDescent="0.3">
      <c r="A6491" s="503">
        <v>45104</v>
      </c>
      <c r="B6491" s="523" t="s">
        <v>11494</v>
      </c>
      <c r="C6491" s="522" t="s">
        <v>54</v>
      </c>
      <c r="D6491" s="522" t="s">
        <v>11519</v>
      </c>
      <c r="E6491" s="62">
        <v>50000</v>
      </c>
      <c r="F6491" s="43"/>
      <c r="G6491" s="48">
        <f t="shared" si="159"/>
        <v>226840.27688171994</v>
      </c>
      <c r="H6491" s="388" t="s">
        <v>9567</v>
      </c>
    </row>
    <row r="6492" spans="1:14" x14ac:dyDescent="0.3">
      <c r="A6492" s="503">
        <v>45104</v>
      </c>
      <c r="B6492" s="523" t="s">
        <v>11494</v>
      </c>
      <c r="C6492" s="522" t="s">
        <v>54</v>
      </c>
      <c r="D6492" s="522" t="s">
        <v>11520</v>
      </c>
      <c r="E6492" s="62">
        <v>25000</v>
      </c>
      <c r="F6492" s="43"/>
      <c r="G6492" s="48">
        <f t="shared" si="159"/>
        <v>201840.27688171994</v>
      </c>
      <c r="H6492" s="388" t="s">
        <v>9567</v>
      </c>
    </row>
    <row r="6493" spans="1:14" x14ac:dyDescent="0.3">
      <c r="A6493" s="503">
        <v>45104</v>
      </c>
      <c r="B6493" s="523" t="s">
        <v>11494</v>
      </c>
      <c r="C6493" s="522" t="s">
        <v>54</v>
      </c>
      <c r="D6493" s="522" t="s">
        <v>11521</v>
      </c>
      <c r="E6493" s="62">
        <v>25000</v>
      </c>
      <c r="F6493" s="43"/>
      <c r="G6493" s="48">
        <f t="shared" si="159"/>
        <v>176840.27688171994</v>
      </c>
      <c r="H6493" s="388" t="s">
        <v>9567</v>
      </c>
    </row>
    <row r="6494" spans="1:14" x14ac:dyDescent="0.3">
      <c r="A6494" s="503">
        <v>45104</v>
      </c>
      <c r="B6494" s="523" t="s">
        <v>11494</v>
      </c>
      <c r="C6494" s="522" t="s">
        <v>54</v>
      </c>
      <c r="D6494" s="522" t="s">
        <v>11522</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11523</v>
      </c>
      <c r="E6496" s="62">
        <v>15000</v>
      </c>
      <c r="F6496" s="43"/>
      <c r="G6496" s="48">
        <f t="shared" si="159"/>
        <v>142840.27688171994</v>
      </c>
      <c r="H6496" s="388" t="s">
        <v>9567</v>
      </c>
    </row>
    <row r="6497" spans="1:8" x14ac:dyDescent="0.3">
      <c r="A6497" s="503">
        <v>45104</v>
      </c>
      <c r="B6497" s="523" t="s">
        <v>5914</v>
      </c>
      <c r="C6497" s="522" t="s">
        <v>54</v>
      </c>
      <c r="D6497" s="522" t="s">
        <v>11524</v>
      </c>
      <c r="E6497" s="62">
        <v>15000</v>
      </c>
      <c r="F6497" s="43"/>
      <c r="G6497" s="48">
        <f t="shared" si="159"/>
        <v>127840.27688171994</v>
      </c>
      <c r="H6497" s="388" t="s">
        <v>9567</v>
      </c>
    </row>
    <row r="6498" spans="1:8" x14ac:dyDescent="0.3">
      <c r="A6498" s="503">
        <v>45104</v>
      </c>
      <c r="B6498" s="523" t="s">
        <v>5914</v>
      </c>
      <c r="C6498" s="522" t="s">
        <v>54</v>
      </c>
      <c r="D6498" s="522" t="s">
        <v>11525</v>
      </c>
      <c r="E6498" s="62">
        <v>15000</v>
      </c>
      <c r="F6498" s="43"/>
      <c r="G6498" s="48">
        <f t="shared" si="159"/>
        <v>112840.27688171994</v>
      </c>
      <c r="H6498" s="388" t="s">
        <v>9567</v>
      </c>
    </row>
    <row r="6499" spans="1:8" x14ac:dyDescent="0.3">
      <c r="A6499" s="503">
        <v>45104</v>
      </c>
      <c r="B6499" s="523" t="s">
        <v>5914</v>
      </c>
      <c r="C6499" s="522" t="s">
        <v>54</v>
      </c>
      <c r="D6499" s="522" t="s">
        <v>11526</v>
      </c>
      <c r="E6499" s="62">
        <v>15000</v>
      </c>
      <c r="F6499" s="43"/>
      <c r="G6499" s="48">
        <f t="shared" si="159"/>
        <v>97840.276881719939</v>
      </c>
      <c r="H6499" s="388" t="s">
        <v>9567</v>
      </c>
    </row>
    <row r="6500" spans="1:8" x14ac:dyDescent="0.3">
      <c r="A6500" s="503">
        <v>45104</v>
      </c>
      <c r="B6500" s="523" t="s">
        <v>5914</v>
      </c>
      <c r="C6500" s="522" t="s">
        <v>54</v>
      </c>
      <c r="D6500" s="522" t="s">
        <v>11527</v>
      </c>
      <c r="E6500" s="62">
        <v>15000</v>
      </c>
      <c r="F6500" s="43"/>
      <c r="G6500" s="48">
        <f t="shared" si="159"/>
        <v>82840.276881719939</v>
      </c>
      <c r="H6500" s="388" t="s">
        <v>9567</v>
      </c>
    </row>
    <row r="6501" spans="1:8" x14ac:dyDescent="0.3">
      <c r="A6501" s="503">
        <v>45104</v>
      </c>
      <c r="B6501" s="396" t="s">
        <v>5914</v>
      </c>
      <c r="C6501" s="5" t="s">
        <v>84</v>
      </c>
      <c r="D6501" s="5" t="s">
        <v>11528</v>
      </c>
      <c r="E6501" s="65">
        <v>30000</v>
      </c>
      <c r="F6501" s="43"/>
      <c r="G6501" s="48">
        <f t="shared" si="159"/>
        <v>52840.276881719939</v>
      </c>
      <c r="H6501" s="388" t="s">
        <v>9567</v>
      </c>
    </row>
    <row r="6502" spans="1:8" x14ac:dyDescent="0.3">
      <c r="A6502" s="503">
        <v>45104</v>
      </c>
      <c r="B6502" s="396" t="s">
        <v>11442</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11530</v>
      </c>
      <c r="E6503" s="62">
        <v>10000</v>
      </c>
      <c r="F6503" s="43"/>
      <c r="G6503" s="48">
        <f t="shared" si="159"/>
        <v>41840.276881719939</v>
      </c>
      <c r="H6503" s="388" t="s">
        <v>9567</v>
      </c>
    </row>
    <row r="6504" spans="1:8" x14ac:dyDescent="0.3">
      <c r="A6504" s="503">
        <v>45104</v>
      </c>
      <c r="B6504" s="523" t="s">
        <v>10601</v>
      </c>
      <c r="C6504" s="522" t="s">
        <v>54</v>
      </c>
      <c r="D6504" s="522" t="s">
        <v>11531</v>
      </c>
      <c r="E6504" s="62">
        <v>10000</v>
      </c>
      <c r="F6504" s="43"/>
      <c r="G6504" s="48">
        <f t="shared" si="159"/>
        <v>31840.276881719939</v>
      </c>
      <c r="H6504" s="388" t="s">
        <v>9567</v>
      </c>
    </row>
    <row r="6505" spans="1:8" x14ac:dyDescent="0.3">
      <c r="A6505" s="503">
        <v>45104</v>
      </c>
      <c r="B6505" s="523" t="s">
        <v>10601</v>
      </c>
      <c r="C6505" s="522" t="s">
        <v>54</v>
      </c>
      <c r="D6505" s="522" t="s">
        <v>11534</v>
      </c>
      <c r="E6505" s="62">
        <v>5000</v>
      </c>
      <c r="F6505" s="43"/>
      <c r="G6505" s="48">
        <f t="shared" si="159"/>
        <v>26840.276881719939</v>
      </c>
      <c r="H6505" s="388" t="s">
        <v>9567</v>
      </c>
    </row>
    <row r="6506" spans="1:8" x14ac:dyDescent="0.3">
      <c r="A6506" s="503">
        <v>45104</v>
      </c>
      <c r="B6506" s="523" t="s">
        <v>10601</v>
      </c>
      <c r="C6506" s="522" t="s">
        <v>54</v>
      </c>
      <c r="D6506" s="522" t="s">
        <v>11532</v>
      </c>
      <c r="E6506" s="62">
        <v>5000</v>
      </c>
      <c r="F6506" s="43"/>
      <c r="G6506" s="48">
        <f t="shared" si="159"/>
        <v>21840.276881719939</v>
      </c>
      <c r="H6506" s="388" t="s">
        <v>9567</v>
      </c>
    </row>
    <row r="6507" spans="1:8" x14ac:dyDescent="0.3">
      <c r="A6507" s="503">
        <v>45104</v>
      </c>
      <c r="B6507" s="523" t="s">
        <v>10601</v>
      </c>
      <c r="C6507" s="522" t="s">
        <v>54</v>
      </c>
      <c r="D6507" s="522" t="s">
        <v>11533</v>
      </c>
      <c r="E6507" s="62">
        <v>5000</v>
      </c>
      <c r="F6507" s="43"/>
      <c r="G6507" s="48">
        <f t="shared" si="159"/>
        <v>16840.276881719939</v>
      </c>
      <c r="H6507" s="388" t="s">
        <v>9567</v>
      </c>
    </row>
    <row r="6508" spans="1:8" x14ac:dyDescent="0.3">
      <c r="A6508" s="503">
        <v>45104</v>
      </c>
      <c r="B6508" s="396" t="s">
        <v>10601</v>
      </c>
      <c r="C6508" s="5" t="s">
        <v>10130</v>
      </c>
      <c r="D6508" s="5" t="s">
        <v>11535</v>
      </c>
      <c r="E6508" s="43">
        <v>3450</v>
      </c>
      <c r="F6508" s="43"/>
      <c r="G6508" s="48">
        <f t="shared" si="159"/>
        <v>13390.276881719939</v>
      </c>
      <c r="H6508" s="388" t="s">
        <v>9567</v>
      </c>
    </row>
    <row r="6509" spans="1:8" x14ac:dyDescent="0.3">
      <c r="A6509" s="503">
        <v>45104</v>
      </c>
      <c r="B6509" s="396" t="s">
        <v>10959</v>
      </c>
      <c r="C6509" s="5" t="s">
        <v>640</v>
      </c>
      <c r="D6509" s="5" t="s">
        <v>11536</v>
      </c>
      <c r="E6509" s="43">
        <v>1000</v>
      </c>
      <c r="F6509" s="43"/>
      <c r="G6509" s="48">
        <f t="shared" si="159"/>
        <v>12390.276881719939</v>
      </c>
      <c r="H6509" s="388" t="s">
        <v>9567</v>
      </c>
    </row>
    <row r="6510" spans="1:8" x14ac:dyDescent="0.3">
      <c r="A6510" s="503">
        <v>45104</v>
      </c>
      <c r="B6510" s="396" t="s">
        <v>12086</v>
      </c>
      <c r="C6510" s="5" t="s">
        <v>107</v>
      </c>
      <c r="D6510" s="5" t="s">
        <v>11538</v>
      </c>
      <c r="E6510" s="43">
        <v>10000</v>
      </c>
      <c r="F6510" s="43"/>
      <c r="G6510" s="48">
        <f t="shared" ref="G6510:G6516" si="160">G6509+F6510-E6510</f>
        <v>2390.2768817199394</v>
      </c>
      <c r="H6510" s="388" t="s">
        <v>9567</v>
      </c>
    </row>
    <row r="6511" spans="1:8" x14ac:dyDescent="0.3">
      <c r="A6511" s="503">
        <v>45104</v>
      </c>
      <c r="B6511" s="567"/>
      <c r="C6511" s="497"/>
      <c r="D6511" s="498" t="s">
        <v>11397</v>
      </c>
      <c r="E6511" s="497"/>
      <c r="F6511" s="67">
        <v>300000</v>
      </c>
      <c r="G6511" s="48">
        <f t="shared" si="160"/>
        <v>302390.27688171994</v>
      </c>
      <c r="H6511" s="388" t="s">
        <v>9567</v>
      </c>
    </row>
    <row r="6512" spans="1:8" x14ac:dyDescent="0.3">
      <c r="A6512" s="503">
        <v>45104</v>
      </c>
      <c r="B6512" s="396" t="s">
        <v>12049</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12046</v>
      </c>
      <c r="C6514" s="5" t="s">
        <v>9044</v>
      </c>
      <c r="D6514" s="5" t="s">
        <v>11540</v>
      </c>
      <c r="E6514" s="43">
        <v>15000</v>
      </c>
      <c r="F6514" s="43"/>
      <c r="G6514" s="48">
        <f t="shared" si="160"/>
        <v>277390.27688171994</v>
      </c>
      <c r="H6514" s="388" t="s">
        <v>9567</v>
      </c>
    </row>
    <row r="6515" spans="1:8" x14ac:dyDescent="0.3">
      <c r="A6515" s="503">
        <v>45104</v>
      </c>
      <c r="B6515" s="396" t="s">
        <v>6481</v>
      </c>
      <c r="C6515" s="5" t="s">
        <v>10773</v>
      </c>
      <c r="D6515" s="5" t="s">
        <v>11541</v>
      </c>
      <c r="E6515" s="43">
        <v>30000</v>
      </c>
      <c r="F6515" s="43"/>
      <c r="G6515" s="48">
        <f t="shared" si="160"/>
        <v>247390.27688171994</v>
      </c>
      <c r="H6515" s="388" t="s">
        <v>9567</v>
      </c>
    </row>
    <row r="6516" spans="1:8" x14ac:dyDescent="0.3">
      <c r="A6516" s="503">
        <v>45104</v>
      </c>
      <c r="B6516" s="523" t="s">
        <v>10601</v>
      </c>
      <c r="C6516" s="522" t="s">
        <v>54</v>
      </c>
      <c r="D6516" s="522" t="s">
        <v>11542</v>
      </c>
      <c r="E6516" s="62">
        <v>38000</v>
      </c>
      <c r="F6516" s="43"/>
      <c r="G6516" s="48">
        <f t="shared" si="160"/>
        <v>209390.27688171994</v>
      </c>
      <c r="H6516" s="388" t="s">
        <v>9567</v>
      </c>
    </row>
    <row r="6517" spans="1:8" x14ac:dyDescent="0.3">
      <c r="A6517" s="503">
        <v>45104</v>
      </c>
      <c r="B6517" s="523" t="s">
        <v>118</v>
      </c>
      <c r="C6517" s="522" t="s">
        <v>54</v>
      </c>
      <c r="D6517" s="522" t="s">
        <v>11543</v>
      </c>
      <c r="E6517" s="524">
        <v>5000</v>
      </c>
      <c r="F6517" s="43"/>
      <c r="G6517" s="48">
        <f t="shared" ref="G6517:G6551" si="161">G6516+F6517-E6517</f>
        <v>204390.27688171994</v>
      </c>
      <c r="H6517" s="388" t="s">
        <v>9567</v>
      </c>
    </row>
    <row r="6518" spans="1:8" x14ac:dyDescent="0.3">
      <c r="A6518" s="503">
        <v>45104</v>
      </c>
      <c r="B6518" s="396" t="s">
        <v>12133</v>
      </c>
      <c r="C6518" s="5" t="s">
        <v>5793</v>
      </c>
      <c r="D6518" s="5" t="s">
        <v>40</v>
      </c>
      <c r="E6518" s="43">
        <v>2000</v>
      </c>
      <c r="F6518" s="43"/>
      <c r="G6518" s="48">
        <f t="shared" si="161"/>
        <v>202390.27688171994</v>
      </c>
      <c r="H6518" s="388" t="s">
        <v>9567</v>
      </c>
    </row>
    <row r="6519" spans="1:8" x14ac:dyDescent="0.3">
      <c r="A6519" s="503">
        <v>45104</v>
      </c>
      <c r="B6519" s="396" t="s">
        <v>12046</v>
      </c>
      <c r="C6519" s="522" t="s">
        <v>54</v>
      </c>
      <c r="D6519" s="522" t="s">
        <v>11544</v>
      </c>
      <c r="E6519" s="524">
        <v>20000</v>
      </c>
      <c r="F6519" s="43"/>
      <c r="G6519" s="48">
        <f t="shared" si="161"/>
        <v>182390.27688171994</v>
      </c>
      <c r="H6519" s="388" t="s">
        <v>9567</v>
      </c>
    </row>
    <row r="6520" spans="1:8" x14ac:dyDescent="0.3">
      <c r="A6520" s="503">
        <v>45104</v>
      </c>
      <c r="B6520" s="396" t="s">
        <v>12046</v>
      </c>
      <c r="C6520" s="5" t="s">
        <v>84</v>
      </c>
      <c r="D6520" s="5" t="s">
        <v>11545</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12046</v>
      </c>
      <c r="C6522" s="5" t="s">
        <v>84</v>
      </c>
      <c r="D6522" s="5" t="s">
        <v>11546</v>
      </c>
      <c r="E6522" s="65">
        <v>5000</v>
      </c>
      <c r="F6522" s="43"/>
      <c r="G6522" s="48">
        <f t="shared" si="161"/>
        <v>74390.276881719939</v>
      </c>
      <c r="H6522" s="388" t="s">
        <v>9567</v>
      </c>
    </row>
    <row r="6523" spans="1:8" x14ac:dyDescent="0.3">
      <c r="A6523" s="503">
        <v>45104</v>
      </c>
      <c r="B6523" s="523" t="s">
        <v>10959</v>
      </c>
      <c r="C6523" s="522" t="s">
        <v>54</v>
      </c>
      <c r="D6523" s="522" t="s">
        <v>11547</v>
      </c>
      <c r="E6523" s="62">
        <v>10000</v>
      </c>
      <c r="F6523" s="43"/>
      <c r="G6523" s="48">
        <f t="shared" si="161"/>
        <v>64390.276881719939</v>
      </c>
      <c r="H6523" s="388" t="s">
        <v>9567</v>
      </c>
    </row>
    <row r="6524" spans="1:8" x14ac:dyDescent="0.3">
      <c r="A6524" s="503">
        <v>45110</v>
      </c>
      <c r="B6524" s="396" t="s">
        <v>11505</v>
      </c>
      <c r="C6524" s="5" t="s">
        <v>8928</v>
      </c>
      <c r="D6524" s="5" t="s">
        <v>11548</v>
      </c>
      <c r="E6524" s="43">
        <v>4500</v>
      </c>
      <c r="F6524" s="43"/>
      <c r="G6524" s="48">
        <f t="shared" si="161"/>
        <v>59890.276881719939</v>
      </c>
      <c r="H6524" s="388" t="s">
        <v>9567</v>
      </c>
    </row>
    <row r="6525" spans="1:8" x14ac:dyDescent="0.3">
      <c r="A6525" s="503">
        <v>45110</v>
      </c>
      <c r="B6525" s="396" t="s">
        <v>11505</v>
      </c>
      <c r="C6525" s="5" t="s">
        <v>18</v>
      </c>
      <c r="D6525" s="5" t="s">
        <v>11557</v>
      </c>
      <c r="E6525" s="43">
        <v>14000</v>
      </c>
      <c r="F6525" s="43"/>
      <c r="G6525" s="48">
        <f t="shared" si="161"/>
        <v>45890.276881719939</v>
      </c>
      <c r="H6525" s="388" t="s">
        <v>9567</v>
      </c>
    </row>
    <row r="6526" spans="1:8" x14ac:dyDescent="0.3">
      <c r="A6526" s="503">
        <v>45110</v>
      </c>
      <c r="B6526" s="396"/>
      <c r="C6526" s="5" t="s">
        <v>25</v>
      </c>
      <c r="D6526" s="5" t="s">
        <v>11434</v>
      </c>
      <c r="E6526" s="43">
        <v>2500</v>
      </c>
      <c r="F6526" s="43"/>
      <c r="G6526" s="48">
        <f t="shared" si="161"/>
        <v>43390.276881719939</v>
      </c>
      <c r="H6526" s="388" t="s">
        <v>9567</v>
      </c>
    </row>
    <row r="6527" spans="1:8" x14ac:dyDescent="0.3">
      <c r="A6527" s="503">
        <v>45110</v>
      </c>
      <c r="B6527" s="567"/>
      <c r="C6527" s="497"/>
      <c r="D6527" s="498" t="s">
        <v>11014</v>
      </c>
      <c r="E6527" s="497"/>
      <c r="F6527" s="67">
        <v>100000</v>
      </c>
      <c r="G6527" s="48">
        <f t="shared" si="161"/>
        <v>143390.27688171994</v>
      </c>
      <c r="H6527" s="388" t="s">
        <v>9567</v>
      </c>
    </row>
    <row r="6528" spans="1:8" x14ac:dyDescent="0.3">
      <c r="A6528" s="503">
        <v>45110</v>
      </c>
      <c r="B6528" s="396" t="s">
        <v>11505</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11558</v>
      </c>
      <c r="E6529" s="43">
        <v>8292</v>
      </c>
      <c r="F6529" s="43"/>
      <c r="G6529" s="48">
        <f t="shared" si="161"/>
        <v>134648.27688171994</v>
      </c>
      <c r="H6529" s="388" t="s">
        <v>9567</v>
      </c>
    </row>
    <row r="6530" spans="1:8" x14ac:dyDescent="0.3">
      <c r="A6530" s="503">
        <v>45110</v>
      </c>
      <c r="B6530" s="396" t="s">
        <v>12086</v>
      </c>
      <c r="C6530" s="5" t="s">
        <v>10800</v>
      </c>
      <c r="D6530" s="5" t="s">
        <v>11559</v>
      </c>
      <c r="E6530" s="43">
        <v>12440</v>
      </c>
      <c r="F6530" s="43"/>
      <c r="G6530" s="48">
        <f t="shared" si="161"/>
        <v>122208.27688171994</v>
      </c>
      <c r="H6530" s="388" t="s">
        <v>9567</v>
      </c>
    </row>
    <row r="6531" spans="1:8" x14ac:dyDescent="0.3">
      <c r="A6531" s="503">
        <v>45110</v>
      </c>
      <c r="B6531" s="396" t="s">
        <v>11505</v>
      </c>
      <c r="C6531" s="5" t="s">
        <v>10800</v>
      </c>
      <c r="D6531" s="5" t="s">
        <v>11560</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11554</v>
      </c>
      <c r="E6533" s="43">
        <v>5000</v>
      </c>
      <c r="F6533" s="43"/>
      <c r="G6533" s="48">
        <f t="shared" si="161"/>
        <v>78540.276881719939</v>
      </c>
      <c r="H6533" s="388" t="s">
        <v>9567</v>
      </c>
    </row>
    <row r="6534" spans="1:8" x14ac:dyDescent="0.3">
      <c r="A6534" s="503">
        <v>45110</v>
      </c>
      <c r="B6534" s="342" t="s">
        <v>12053</v>
      </c>
      <c r="C6534" s="5" t="s">
        <v>5793</v>
      </c>
      <c r="D6534" s="5" t="s">
        <v>11555</v>
      </c>
      <c r="E6534" s="43">
        <v>1000</v>
      </c>
      <c r="F6534" s="43"/>
      <c r="G6534" s="48">
        <f t="shared" si="161"/>
        <v>77540.276881719939</v>
      </c>
      <c r="H6534" s="388" t="s">
        <v>9567</v>
      </c>
    </row>
    <row r="6535" spans="1:8" x14ac:dyDescent="0.3">
      <c r="A6535" s="503">
        <v>45110</v>
      </c>
      <c r="B6535" s="396" t="s">
        <v>11505</v>
      </c>
      <c r="C6535" s="5" t="s">
        <v>8928</v>
      </c>
      <c r="D6535" s="5" t="s">
        <v>11556</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11436</v>
      </c>
      <c r="E6537" s="43">
        <v>17000</v>
      </c>
      <c r="F6537" s="43"/>
      <c r="G6537" s="48">
        <f t="shared" si="161"/>
        <v>57040.276881719939</v>
      </c>
      <c r="H6537" s="388" t="s">
        <v>9567</v>
      </c>
    </row>
    <row r="6538" spans="1:8" x14ac:dyDescent="0.3">
      <c r="A6538" s="503">
        <v>45111</v>
      </c>
      <c r="B6538" s="396" t="s">
        <v>12046</v>
      </c>
      <c r="C6538" s="5" t="s">
        <v>5793</v>
      </c>
      <c r="D6538" s="5" t="s">
        <v>11561</v>
      </c>
      <c r="E6538" s="43">
        <v>1000</v>
      </c>
      <c r="F6538" s="43"/>
      <c r="G6538" s="48">
        <f t="shared" si="161"/>
        <v>56040.276881719939</v>
      </c>
      <c r="H6538" s="388" t="s">
        <v>9567</v>
      </c>
    </row>
    <row r="6539" spans="1:8" x14ac:dyDescent="0.3">
      <c r="A6539" s="503">
        <v>45111</v>
      </c>
      <c r="B6539" s="396" t="s">
        <v>12050</v>
      </c>
      <c r="C6539" s="5" t="s">
        <v>5793</v>
      </c>
      <c r="D6539" s="5" t="s">
        <v>8924</v>
      </c>
      <c r="E6539" s="43">
        <v>200</v>
      </c>
      <c r="F6539" s="43"/>
      <c r="G6539" s="48">
        <f t="shared" si="161"/>
        <v>55840.276881719939</v>
      </c>
      <c r="H6539" s="388" t="s">
        <v>9567</v>
      </c>
    </row>
    <row r="6540" spans="1:8" x14ac:dyDescent="0.3">
      <c r="A6540" s="503">
        <v>45111</v>
      </c>
      <c r="B6540" s="567"/>
      <c r="C6540" s="497"/>
      <c r="D6540" s="498" t="s">
        <v>12471</v>
      </c>
      <c r="E6540" s="497"/>
      <c r="F6540" s="67">
        <v>500000</v>
      </c>
      <c r="G6540" s="48">
        <f t="shared" si="161"/>
        <v>555840.27688171994</v>
      </c>
      <c r="H6540" s="388" t="s">
        <v>9567</v>
      </c>
    </row>
    <row r="6541" spans="1:8" x14ac:dyDescent="0.3">
      <c r="A6541" s="503">
        <v>45111</v>
      </c>
      <c r="B6541" s="526"/>
      <c r="C6541" s="525" t="s">
        <v>14</v>
      </c>
      <c r="D6541" s="525" t="s">
        <v>11562</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11505</v>
      </c>
      <c r="C6543" s="5" t="s">
        <v>5793</v>
      </c>
      <c r="D6543" s="5" t="s">
        <v>40</v>
      </c>
      <c r="E6543" s="43">
        <v>2000</v>
      </c>
      <c r="F6543" s="43"/>
      <c r="G6543" s="48">
        <f t="shared" si="161"/>
        <v>443040.27688171994</v>
      </c>
      <c r="H6543" s="388" t="s">
        <v>9567</v>
      </c>
    </row>
    <row r="6544" spans="1:8" x14ac:dyDescent="0.3">
      <c r="A6544" s="503">
        <v>45111</v>
      </c>
      <c r="B6544" s="396" t="s">
        <v>12046</v>
      </c>
      <c r="C6544" s="5" t="s">
        <v>5793</v>
      </c>
      <c r="D6544" s="5" t="s">
        <v>40</v>
      </c>
      <c r="E6544" s="43">
        <v>1500</v>
      </c>
      <c r="F6544" s="43"/>
      <c r="G6544" s="48">
        <f t="shared" si="161"/>
        <v>441540.27688171994</v>
      </c>
      <c r="H6544" s="388" t="s">
        <v>9567</v>
      </c>
    </row>
    <row r="6545" spans="1:8" x14ac:dyDescent="0.3">
      <c r="A6545" s="503">
        <v>45111</v>
      </c>
      <c r="B6545" s="396" t="s">
        <v>12134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11563</v>
      </c>
      <c r="E6548" s="62">
        <v>2000</v>
      </c>
      <c r="F6548" s="43"/>
      <c r="G6548" s="48">
        <f t="shared" si="161"/>
        <v>438570.27688171994</v>
      </c>
      <c r="H6548" s="388" t="s">
        <v>9567</v>
      </c>
    </row>
    <row r="6549" spans="1:8" x14ac:dyDescent="0.3">
      <c r="A6549" s="503">
        <v>45111</v>
      </c>
      <c r="B6549" s="396" t="s">
        <v>12050</v>
      </c>
      <c r="C6549" s="5" t="s">
        <v>5793</v>
      </c>
      <c r="D6549" s="5" t="s">
        <v>40</v>
      </c>
      <c r="E6549" s="43">
        <v>500</v>
      </c>
      <c r="F6549" s="43"/>
      <c r="G6549" s="48">
        <f t="shared" si="161"/>
        <v>438070.27688171994</v>
      </c>
      <c r="H6549" s="388" t="s">
        <v>9567</v>
      </c>
    </row>
    <row r="6550" spans="1:8" x14ac:dyDescent="0.3">
      <c r="A6550" s="503">
        <v>45111</v>
      </c>
      <c r="B6550" s="396" t="s">
        <v>11505</v>
      </c>
      <c r="C6550" s="5" t="s">
        <v>10800</v>
      </c>
      <c r="D6550" s="5" t="s">
        <v>11564</v>
      </c>
      <c r="E6550" s="43">
        <v>3800</v>
      </c>
      <c r="F6550" s="43"/>
      <c r="G6550" s="48">
        <f t="shared" si="161"/>
        <v>434270.27688171994</v>
      </c>
      <c r="H6550" s="388" t="s">
        <v>9567</v>
      </c>
    </row>
    <row r="6551" spans="1:8" x14ac:dyDescent="0.3">
      <c r="A6551" s="503">
        <v>45111</v>
      </c>
      <c r="B6551" s="396" t="s">
        <v>11505</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11565</v>
      </c>
      <c r="D6553" s="5" t="s">
        <v>11566</v>
      </c>
      <c r="E6553" s="43">
        <v>200000</v>
      </c>
      <c r="F6553" s="43"/>
      <c r="G6553" s="48">
        <f t="shared" si="162"/>
        <v>119270.27688171994</v>
      </c>
      <c r="H6553" s="388" t="s">
        <v>9567</v>
      </c>
    </row>
    <row r="6554" spans="1:8" x14ac:dyDescent="0.3">
      <c r="A6554" s="503">
        <v>45112</v>
      </c>
      <c r="B6554" s="396" t="s">
        <v>10319</v>
      </c>
      <c r="C6554" s="5" t="s">
        <v>9749</v>
      </c>
      <c r="D6554" s="5" t="s">
        <v>11567</v>
      </c>
      <c r="E6554" s="43">
        <v>11000</v>
      </c>
      <c r="F6554" s="43"/>
      <c r="G6554" s="48">
        <f t="shared" si="162"/>
        <v>108270.27688171994</v>
      </c>
      <c r="H6554" s="388" t="s">
        <v>9567</v>
      </c>
    </row>
    <row r="6555" spans="1:8" x14ac:dyDescent="0.3">
      <c r="A6555" s="503">
        <v>45112</v>
      </c>
      <c r="B6555" s="396"/>
      <c r="C6555" s="5" t="s">
        <v>30</v>
      </c>
      <c r="D6555" s="5" t="s">
        <v>11568</v>
      </c>
      <c r="E6555" s="43">
        <v>1300</v>
      </c>
      <c r="F6555" s="43"/>
      <c r="G6555" s="48">
        <f t="shared" si="162"/>
        <v>106970.27688171994</v>
      </c>
      <c r="H6555" s="388" t="s">
        <v>9567</v>
      </c>
    </row>
    <row r="6556" spans="1:8" x14ac:dyDescent="0.3">
      <c r="A6556" s="503">
        <v>45112</v>
      </c>
      <c r="B6556" s="396"/>
      <c r="C6556" s="5" t="s">
        <v>25</v>
      </c>
      <c r="D6556" s="5" t="s">
        <v>11434</v>
      </c>
      <c r="E6556" s="43">
        <v>3000</v>
      </c>
      <c r="F6556" s="43"/>
      <c r="G6556" s="48">
        <f t="shared" si="162"/>
        <v>103970.27688171994</v>
      </c>
      <c r="H6556" s="388" t="s">
        <v>9567</v>
      </c>
    </row>
    <row r="6557" spans="1:8" x14ac:dyDescent="0.3">
      <c r="A6557" s="503">
        <v>45112</v>
      </c>
      <c r="B6557" s="396" t="s">
        <v>11046</v>
      </c>
      <c r="C6557" s="5" t="s">
        <v>11569</v>
      </c>
      <c r="D6557" s="5" t="s">
        <v>11570</v>
      </c>
      <c r="E6557" s="65">
        <v>2000</v>
      </c>
      <c r="F6557" s="43"/>
      <c r="G6557" s="48">
        <f t="shared" si="162"/>
        <v>101970.27688171994</v>
      </c>
      <c r="H6557" s="388" t="s">
        <v>9567</v>
      </c>
    </row>
    <row r="6558" spans="1:8" x14ac:dyDescent="0.3">
      <c r="A6558" s="503">
        <v>45112</v>
      </c>
      <c r="B6558" s="396" t="s">
        <v>12046</v>
      </c>
      <c r="C6558" s="5" t="s">
        <v>5162</v>
      </c>
      <c r="D6558" s="5" t="s">
        <v>3910</v>
      </c>
      <c r="E6558" s="65">
        <v>5000</v>
      </c>
      <c r="F6558" s="43"/>
      <c r="G6558" s="48">
        <f t="shared" si="162"/>
        <v>96970.276881719939</v>
      </c>
      <c r="H6558" s="388" t="s">
        <v>9567</v>
      </c>
    </row>
    <row r="6559" spans="1:8" x14ac:dyDescent="0.3">
      <c r="A6559" s="503">
        <v>45112</v>
      </c>
      <c r="B6559" s="396" t="s">
        <v>12086</v>
      </c>
      <c r="C6559" s="5" t="s">
        <v>5793</v>
      </c>
      <c r="D6559" s="5" t="s">
        <v>11572</v>
      </c>
      <c r="E6559" s="65">
        <v>1200</v>
      </c>
      <c r="F6559" s="43"/>
      <c r="G6559" s="48">
        <f t="shared" si="162"/>
        <v>95770.276881719939</v>
      </c>
      <c r="H6559" s="388" t="s">
        <v>9567</v>
      </c>
    </row>
    <row r="6560" spans="1:8" x14ac:dyDescent="0.3">
      <c r="A6560" s="503">
        <v>45112</v>
      </c>
      <c r="B6560" s="396" t="s">
        <v>11505</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11579</v>
      </c>
      <c r="E6561" s="43">
        <v>65000</v>
      </c>
      <c r="F6561" s="43"/>
      <c r="G6561" s="48">
        <f t="shared" si="162"/>
        <v>3770.2768817199394</v>
      </c>
      <c r="H6561" s="388" t="s">
        <v>9567</v>
      </c>
    </row>
    <row r="6562" spans="1:8" x14ac:dyDescent="0.3">
      <c r="A6562" s="503">
        <v>45113</v>
      </c>
      <c r="B6562" s="567"/>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11577</v>
      </c>
      <c r="E6563" s="43">
        <v>3000</v>
      </c>
      <c r="F6563" s="43"/>
      <c r="G6563" s="48">
        <f t="shared" si="162"/>
        <v>95770.276881719939</v>
      </c>
      <c r="H6563" s="388" t="s">
        <v>9567</v>
      </c>
    </row>
    <row r="6564" spans="1:8" x14ac:dyDescent="0.3">
      <c r="A6564" s="503">
        <v>45113</v>
      </c>
      <c r="B6564" s="396" t="s">
        <v>10852</v>
      </c>
      <c r="C6564" s="5" t="s">
        <v>10800</v>
      </c>
      <c r="D6564" s="5" t="s">
        <v>11579</v>
      </c>
      <c r="E6564" s="43">
        <v>89300</v>
      </c>
      <c r="F6564" s="43"/>
      <c r="G6564" s="48">
        <f t="shared" si="162"/>
        <v>6470.2768817199394</v>
      </c>
      <c r="H6564" s="388" t="s">
        <v>9567</v>
      </c>
    </row>
    <row r="6565" spans="1:8" x14ac:dyDescent="0.3">
      <c r="A6565" s="503">
        <v>45113</v>
      </c>
      <c r="B6565" s="567"/>
      <c r="C6565" s="497"/>
      <c r="D6565" s="498" t="s">
        <v>11581</v>
      </c>
      <c r="E6565" s="497"/>
      <c r="F6565" s="67">
        <v>4000</v>
      </c>
      <c r="G6565" s="48">
        <f t="shared" si="162"/>
        <v>10470.276881719939</v>
      </c>
      <c r="H6565" s="388" t="s">
        <v>9567</v>
      </c>
    </row>
    <row r="6566" spans="1:8" x14ac:dyDescent="0.3">
      <c r="A6566" s="503">
        <v>45113</v>
      </c>
      <c r="B6566" s="396"/>
      <c r="C6566" s="5" t="s">
        <v>84</v>
      </c>
      <c r="D6566" s="5" t="s">
        <v>11582</v>
      </c>
      <c r="E6566" s="43">
        <v>1000</v>
      </c>
      <c r="F6566" s="43"/>
      <c r="G6566" s="48">
        <f t="shared" si="162"/>
        <v>9470.2768817199394</v>
      </c>
      <c r="H6566" s="388" t="s">
        <v>9567</v>
      </c>
    </row>
    <row r="6567" spans="1:8" x14ac:dyDescent="0.3">
      <c r="A6567" s="503">
        <v>45113</v>
      </c>
      <c r="B6567" s="396" t="s">
        <v>12046</v>
      </c>
      <c r="C6567" s="66" t="s">
        <v>9749</v>
      </c>
      <c r="D6567" s="66" t="s">
        <v>11585</v>
      </c>
      <c r="E6567" s="67">
        <v>5540</v>
      </c>
      <c r="F6567" s="67"/>
      <c r="G6567" s="48">
        <f t="shared" si="162"/>
        <v>3930.2768817199394</v>
      </c>
      <c r="H6567" s="388" t="s">
        <v>9567</v>
      </c>
    </row>
    <row r="6568" spans="1:8" x14ac:dyDescent="0.3">
      <c r="A6568" s="503">
        <v>45114</v>
      </c>
      <c r="B6568" s="567"/>
      <c r="C6568" s="497"/>
      <c r="D6568" s="498" t="s">
        <v>11397</v>
      </c>
      <c r="E6568" s="497"/>
      <c r="F6568" s="67">
        <v>1050000</v>
      </c>
      <c r="G6568" s="48">
        <f t="shared" si="162"/>
        <v>1053930.2768817199</v>
      </c>
      <c r="H6568" s="388" t="s">
        <v>9567</v>
      </c>
    </row>
    <row r="6569" spans="1:8" x14ac:dyDescent="0.3">
      <c r="A6569" s="503">
        <v>45114</v>
      </c>
      <c r="B6569" s="396"/>
      <c r="C6569" s="5" t="s">
        <v>25</v>
      </c>
      <c r="D6569" s="5" t="s">
        <v>11434</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11505</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11578</v>
      </c>
      <c r="E6572" s="43">
        <v>6600</v>
      </c>
      <c r="F6572" s="43"/>
      <c r="G6572" s="48">
        <f t="shared" si="162"/>
        <v>1040730.2768817199</v>
      </c>
      <c r="H6572" s="388" t="s">
        <v>9567</v>
      </c>
    </row>
    <row r="6573" spans="1:8" x14ac:dyDescent="0.3">
      <c r="A6573" s="503">
        <v>45114</v>
      </c>
      <c r="B6573" s="510"/>
      <c r="C6573" s="509" t="s">
        <v>54</v>
      </c>
      <c r="D6573" s="509" t="s">
        <v>11589</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11586</v>
      </c>
      <c r="E6575" s="43">
        <v>16400</v>
      </c>
      <c r="F6575" s="43"/>
      <c r="G6575" s="48">
        <f t="shared" si="162"/>
        <v>984250.27688171994</v>
      </c>
      <c r="H6575" s="388" t="s">
        <v>9567</v>
      </c>
    </row>
    <row r="6576" spans="1:8" x14ac:dyDescent="0.3">
      <c r="A6576" s="503">
        <v>45114</v>
      </c>
      <c r="B6576" s="510"/>
      <c r="C6576" s="509" t="s">
        <v>54</v>
      </c>
      <c r="D6576" s="509" t="s">
        <v>11588</v>
      </c>
      <c r="E6576" s="511">
        <v>11730</v>
      </c>
      <c r="F6576" s="43"/>
      <c r="G6576" s="48">
        <f t="shared" si="162"/>
        <v>972520.27688171994</v>
      </c>
      <c r="H6576" s="388" t="s">
        <v>9567</v>
      </c>
    </row>
    <row r="6577" spans="1:8" x14ac:dyDescent="0.3">
      <c r="A6577" s="503">
        <v>45114</v>
      </c>
      <c r="B6577" s="396" t="s">
        <v>10751</v>
      </c>
      <c r="C6577" s="5" t="s">
        <v>10800</v>
      </c>
      <c r="D6577" s="5" t="s">
        <v>11587</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11590</v>
      </c>
      <c r="E6582" s="511">
        <f>20000+44330+60000</f>
        <v>124330</v>
      </c>
      <c r="F6582" s="43"/>
      <c r="G6582" s="48">
        <f t="shared" si="162"/>
        <v>767190.27688171994</v>
      </c>
      <c r="H6582" s="388" t="s">
        <v>9567</v>
      </c>
    </row>
    <row r="6583" spans="1:8" x14ac:dyDescent="0.3">
      <c r="A6583" s="503">
        <v>45115</v>
      </c>
      <c r="B6583" s="510"/>
      <c r="C6583" s="509" t="s">
        <v>54</v>
      </c>
      <c r="D6583" s="509" t="s">
        <v>11591</v>
      </c>
      <c r="E6583" s="511">
        <v>31872.916666666672</v>
      </c>
      <c r="F6583" s="43"/>
      <c r="G6583" s="48">
        <f t="shared" si="162"/>
        <v>735317.36021505331</v>
      </c>
      <c r="H6583" s="388" t="s">
        <v>9567</v>
      </c>
    </row>
    <row r="6584" spans="1:8" x14ac:dyDescent="0.3">
      <c r="A6584" s="503">
        <v>45115</v>
      </c>
      <c r="B6584" s="396" t="s">
        <v>10319</v>
      </c>
      <c r="C6584" s="5" t="s">
        <v>10800</v>
      </c>
      <c r="D6584" s="5" t="s">
        <v>11592</v>
      </c>
      <c r="E6584" s="43">
        <v>5200</v>
      </c>
      <c r="F6584" s="43"/>
      <c r="G6584" s="48">
        <f t="shared" si="162"/>
        <v>730117.36021505331</v>
      </c>
      <c r="H6584" s="388" t="s">
        <v>9567</v>
      </c>
    </row>
    <row r="6585" spans="1:8" x14ac:dyDescent="0.3">
      <c r="A6585" s="503">
        <v>45115</v>
      </c>
      <c r="B6585" s="510"/>
      <c r="C6585" s="509" t="s">
        <v>54</v>
      </c>
      <c r="D6585" s="509" t="s">
        <v>11593</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12046</v>
      </c>
      <c r="C6587" s="5" t="s">
        <v>5162</v>
      </c>
      <c r="D6587" s="5" t="s">
        <v>11594</v>
      </c>
      <c r="E6587" s="43">
        <v>2000</v>
      </c>
      <c r="F6587" s="43"/>
      <c r="G6587" s="48">
        <f t="shared" si="162"/>
        <v>634407.36021505331</v>
      </c>
      <c r="H6587" s="388" t="s">
        <v>9567</v>
      </c>
    </row>
    <row r="6588" spans="1:8" x14ac:dyDescent="0.3">
      <c r="A6588" s="503">
        <v>45115</v>
      </c>
      <c r="B6588" s="510"/>
      <c r="C6588" s="509" t="s">
        <v>54</v>
      </c>
      <c r="D6588" s="509" t="s">
        <v>11595</v>
      </c>
      <c r="E6588" s="511">
        <v>3600</v>
      </c>
      <c r="F6588" s="43"/>
      <c r="G6588" s="48">
        <f t="shared" si="162"/>
        <v>630807.36021505331</v>
      </c>
      <c r="H6588" s="388" t="s">
        <v>9567</v>
      </c>
    </row>
    <row r="6589" spans="1:8" x14ac:dyDescent="0.3">
      <c r="A6589" s="503">
        <v>45115</v>
      </c>
      <c r="B6589" s="510"/>
      <c r="C6589" s="509" t="s">
        <v>54</v>
      </c>
      <c r="D6589" s="509" t="s">
        <v>11596</v>
      </c>
      <c r="E6589" s="511">
        <v>73375</v>
      </c>
      <c r="F6589" s="43"/>
      <c r="G6589" s="48">
        <f t="shared" si="162"/>
        <v>557432.36021505331</v>
      </c>
      <c r="H6589" s="388" t="s">
        <v>9567</v>
      </c>
    </row>
    <row r="6590" spans="1:8" x14ac:dyDescent="0.3">
      <c r="A6590" s="503">
        <v>45115</v>
      </c>
      <c r="B6590" s="510"/>
      <c r="C6590" s="509" t="s">
        <v>54</v>
      </c>
      <c r="D6590" s="509" t="s">
        <v>11597</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11598</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11599</v>
      </c>
      <c r="E6596" s="511">
        <v>54737.5</v>
      </c>
      <c r="F6596" s="43"/>
      <c r="G6596" s="48">
        <f t="shared" si="162"/>
        <v>189561.52688172</v>
      </c>
      <c r="H6596" s="388" t="s">
        <v>9567</v>
      </c>
    </row>
    <row r="6597" spans="1:8" x14ac:dyDescent="0.3">
      <c r="A6597" s="503">
        <v>45115</v>
      </c>
      <c r="B6597" s="396" t="s">
        <v>11442</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11601</v>
      </c>
      <c r="E6598" s="511">
        <v>69958.333333333328</v>
      </c>
      <c r="F6598" s="43"/>
      <c r="G6598" s="48">
        <f t="shared" si="162"/>
        <v>118203.19354838667</v>
      </c>
      <c r="H6598" s="388" t="s">
        <v>9567</v>
      </c>
    </row>
    <row r="6599" spans="1:8" x14ac:dyDescent="0.3">
      <c r="A6599" s="503">
        <v>45115</v>
      </c>
      <c r="B6599" s="396" t="s">
        <v>12050</v>
      </c>
      <c r="C6599" s="5" t="s">
        <v>9749</v>
      </c>
      <c r="D6599" s="5" t="s">
        <v>11602</v>
      </c>
      <c r="E6599" s="43">
        <v>7850</v>
      </c>
      <c r="F6599" s="43"/>
      <c r="G6599" s="48">
        <f t="shared" si="162"/>
        <v>110353.19354838667</v>
      </c>
      <c r="H6599" s="388" t="s">
        <v>9567</v>
      </c>
    </row>
    <row r="6600" spans="1:8" x14ac:dyDescent="0.3">
      <c r="A6600" s="503">
        <v>45115</v>
      </c>
      <c r="B6600" s="396" t="s">
        <v>10751</v>
      </c>
      <c r="C6600" s="5" t="s">
        <v>9749</v>
      </c>
      <c r="D6600" s="5" t="s">
        <v>11603</v>
      </c>
      <c r="E6600" s="43">
        <v>18755</v>
      </c>
      <c r="F6600" s="43"/>
      <c r="G6600" s="48">
        <f t="shared" si="162"/>
        <v>91598.193548386669</v>
      </c>
      <c r="H6600" s="388" t="s">
        <v>9567</v>
      </c>
    </row>
    <row r="6601" spans="1:8" x14ac:dyDescent="0.3">
      <c r="A6601" s="503">
        <v>45115</v>
      </c>
      <c r="B6601" s="396" t="s">
        <v>11046</v>
      </c>
      <c r="C6601" s="5" t="s">
        <v>9749</v>
      </c>
      <c r="D6601" s="5" t="s">
        <v>11607</v>
      </c>
      <c r="E6601" s="43">
        <v>7200</v>
      </c>
      <c r="F6601" s="43"/>
      <c r="G6601" s="48">
        <f t="shared" si="162"/>
        <v>84398.193548386669</v>
      </c>
      <c r="H6601" s="388" t="s">
        <v>9567</v>
      </c>
    </row>
    <row r="6602" spans="1:8" x14ac:dyDescent="0.3">
      <c r="A6602" s="503">
        <v>45115</v>
      </c>
      <c r="B6602" s="396"/>
      <c r="C6602" s="5" t="s">
        <v>9749</v>
      </c>
      <c r="D6602" s="5" t="s">
        <v>11604</v>
      </c>
      <c r="E6602" s="43">
        <v>200</v>
      </c>
      <c r="F6602" s="43"/>
      <c r="G6602" s="48">
        <f t="shared" si="162"/>
        <v>84198.193548386669</v>
      </c>
      <c r="H6602" s="388" t="s">
        <v>9567</v>
      </c>
    </row>
    <row r="6603" spans="1:8" x14ac:dyDescent="0.3">
      <c r="A6603" s="503">
        <v>45115</v>
      </c>
      <c r="B6603" s="396" t="s">
        <v>10751</v>
      </c>
      <c r="C6603" s="5" t="s">
        <v>10800</v>
      </c>
      <c r="D6603" s="5" t="s">
        <v>11605</v>
      </c>
      <c r="E6603" s="43">
        <v>1250</v>
      </c>
      <c r="F6603" s="43"/>
      <c r="G6603" s="48">
        <f t="shared" si="162"/>
        <v>82948.193548386669</v>
      </c>
      <c r="H6603" s="388" t="s">
        <v>9567</v>
      </c>
    </row>
    <row r="6604" spans="1:8" x14ac:dyDescent="0.3">
      <c r="A6604" s="503">
        <v>45115</v>
      </c>
      <c r="B6604" s="396"/>
      <c r="C6604" s="5" t="s">
        <v>247</v>
      </c>
      <c r="D6604" s="5" t="s">
        <v>11449</v>
      </c>
      <c r="E6604" s="43">
        <v>15000</v>
      </c>
      <c r="F6604" s="43"/>
      <c r="G6604" s="48">
        <f t="shared" si="162"/>
        <v>67948.193548386669</v>
      </c>
      <c r="H6604" s="388" t="s">
        <v>9567</v>
      </c>
    </row>
    <row r="6605" spans="1:8" x14ac:dyDescent="0.3">
      <c r="A6605" s="503">
        <v>45115</v>
      </c>
      <c r="B6605" s="510"/>
      <c r="C6605" s="509" t="s">
        <v>54</v>
      </c>
      <c r="D6605" s="509" t="s">
        <v>11606</v>
      </c>
      <c r="E6605" s="511">
        <v>30000</v>
      </c>
      <c r="F6605" s="43"/>
      <c r="G6605" s="48">
        <f t="shared" si="162"/>
        <v>37948.193548386669</v>
      </c>
      <c r="H6605" s="388" t="s">
        <v>9567</v>
      </c>
    </row>
    <row r="6606" spans="1:8" x14ac:dyDescent="0.3">
      <c r="A6606" s="503">
        <v>45115</v>
      </c>
      <c r="B6606" s="396"/>
      <c r="C6606" s="5" t="s">
        <v>25</v>
      </c>
      <c r="D6606" s="5" t="s">
        <v>11434</v>
      </c>
      <c r="E6606" s="43">
        <v>2500</v>
      </c>
      <c r="F6606" s="43"/>
      <c r="G6606" s="48">
        <f t="shared" si="162"/>
        <v>35448.193548386669</v>
      </c>
      <c r="H6606" s="388" t="s">
        <v>9567</v>
      </c>
    </row>
    <row r="6607" spans="1:8" x14ac:dyDescent="0.3">
      <c r="A6607" s="503">
        <v>45115</v>
      </c>
      <c r="B6607" s="396"/>
      <c r="C6607" s="5" t="s">
        <v>84</v>
      </c>
      <c r="D6607" s="5" t="s">
        <v>11608</v>
      </c>
      <c r="E6607" s="43">
        <v>5000</v>
      </c>
      <c r="F6607" s="43"/>
      <c r="G6607" s="48">
        <f t="shared" si="162"/>
        <v>30448.193548386669</v>
      </c>
      <c r="H6607" s="388" t="s">
        <v>9567</v>
      </c>
    </row>
    <row r="6608" spans="1:8" x14ac:dyDescent="0.3">
      <c r="A6608" s="503">
        <v>45115</v>
      </c>
      <c r="B6608" s="396"/>
      <c r="C6608" s="5" t="s">
        <v>84</v>
      </c>
      <c r="D6608" s="5" t="s">
        <v>11609</v>
      </c>
      <c r="E6608" s="43">
        <v>30000</v>
      </c>
      <c r="F6608" s="43"/>
      <c r="G6608" s="48">
        <f t="shared" si="162"/>
        <v>448.19354838666914</v>
      </c>
      <c r="H6608" s="388" t="s">
        <v>9567</v>
      </c>
    </row>
    <row r="6609" spans="1:8" x14ac:dyDescent="0.3">
      <c r="A6609" s="503">
        <v>45118</v>
      </c>
      <c r="B6609" s="567"/>
      <c r="C6609" s="497"/>
      <c r="D6609" s="498" t="s">
        <v>4106</v>
      </c>
      <c r="E6609" s="497"/>
      <c r="F6609" s="67">
        <v>50000</v>
      </c>
      <c r="G6609" s="48">
        <f t="shared" si="162"/>
        <v>50448.193548386669</v>
      </c>
      <c r="H6609" s="388" t="s">
        <v>9567</v>
      </c>
    </row>
    <row r="6610" spans="1:8" x14ac:dyDescent="0.3">
      <c r="A6610" s="503">
        <v>45118</v>
      </c>
      <c r="B6610" s="396"/>
      <c r="C6610" s="5" t="s">
        <v>25</v>
      </c>
      <c r="D6610" s="5" t="s">
        <v>11434</v>
      </c>
      <c r="E6610" s="43">
        <v>2000</v>
      </c>
      <c r="F6610" s="43"/>
      <c r="G6610" s="48">
        <f t="shared" si="162"/>
        <v>48448.193548386669</v>
      </c>
      <c r="H6610" s="388" t="s">
        <v>9567</v>
      </c>
    </row>
    <row r="6611" spans="1:8" x14ac:dyDescent="0.3">
      <c r="A6611" s="503">
        <v>45118</v>
      </c>
      <c r="B6611" s="396" t="s">
        <v>10319</v>
      </c>
      <c r="C6611" s="5" t="s">
        <v>9749</v>
      </c>
      <c r="D6611" s="5" t="s">
        <v>11620</v>
      </c>
      <c r="E6611" s="43">
        <v>16760</v>
      </c>
      <c r="F6611" s="43"/>
      <c r="G6611" s="48">
        <f t="shared" si="162"/>
        <v>31688.193548386669</v>
      </c>
      <c r="H6611" s="388" t="s">
        <v>9567</v>
      </c>
    </row>
    <row r="6612" spans="1:8" x14ac:dyDescent="0.3">
      <c r="A6612" s="503">
        <v>45118</v>
      </c>
      <c r="B6612" s="396" t="s">
        <v>12050</v>
      </c>
      <c r="C6612" s="5" t="s">
        <v>10800</v>
      </c>
      <c r="D6612" s="5" t="s">
        <v>11628</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7"/>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11616</v>
      </c>
      <c r="E6615" s="43">
        <v>15000</v>
      </c>
      <c r="F6615" s="43"/>
      <c r="G6615" s="48">
        <f t="shared" si="162"/>
        <v>502288.19354838668</v>
      </c>
      <c r="H6615" s="388" t="s">
        <v>9567</v>
      </c>
    </row>
    <row r="6616" spans="1:8" x14ac:dyDescent="0.3">
      <c r="A6616" s="503">
        <v>45118</v>
      </c>
      <c r="B6616" s="396"/>
      <c r="C6616" s="5" t="s">
        <v>54</v>
      </c>
      <c r="D6616" s="5" t="s">
        <v>11617</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12046</v>
      </c>
      <c r="C6618" s="5" t="s">
        <v>10800</v>
      </c>
      <c r="D6618" s="5" t="s">
        <v>11622</v>
      </c>
      <c r="E6618" s="43">
        <v>54000</v>
      </c>
      <c r="F6618" s="43"/>
      <c r="G6618" s="48">
        <f t="shared" ref="G6618:G6692" si="163">G6617+F6618-E6618</f>
        <v>408103.19354838668</v>
      </c>
      <c r="H6618" s="388" t="s">
        <v>9567</v>
      </c>
    </row>
    <row r="6619" spans="1:8" x14ac:dyDescent="0.3">
      <c r="A6619" s="503">
        <v>45118</v>
      </c>
      <c r="B6619" s="396"/>
      <c r="C6619" s="5" t="s">
        <v>84</v>
      </c>
      <c r="D6619" s="5" t="s">
        <v>11609</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11434</v>
      </c>
      <c r="E6621" s="43">
        <v>2500</v>
      </c>
      <c r="F6621" s="43"/>
      <c r="G6621" s="48">
        <f t="shared" si="163"/>
        <v>374803.19354838668</v>
      </c>
      <c r="H6621" s="388" t="s">
        <v>9567</v>
      </c>
    </row>
    <row r="6622" spans="1:8" x14ac:dyDescent="0.3">
      <c r="A6622" s="503">
        <v>45118</v>
      </c>
      <c r="B6622" s="396" t="s">
        <v>12050</v>
      </c>
      <c r="C6622" s="5" t="s">
        <v>5793</v>
      </c>
      <c r="D6622" s="5" t="s">
        <v>40</v>
      </c>
      <c r="E6622" s="43">
        <v>500</v>
      </c>
      <c r="F6622" s="43"/>
      <c r="G6622" s="48">
        <f t="shared" si="163"/>
        <v>374303.19354838668</v>
      </c>
      <c r="H6622" s="388" t="s">
        <v>9567</v>
      </c>
    </row>
    <row r="6623" spans="1:8" x14ac:dyDescent="0.3">
      <c r="A6623" s="503">
        <v>45118</v>
      </c>
      <c r="B6623" s="396" t="s">
        <v>12046</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11621</v>
      </c>
      <c r="E6624" s="43">
        <v>1920</v>
      </c>
      <c r="F6624" s="43"/>
      <c r="G6624" s="48">
        <f t="shared" si="163"/>
        <v>371883.19354838668</v>
      </c>
      <c r="H6624" s="388" t="s">
        <v>9567</v>
      </c>
    </row>
    <row r="6625" spans="1:8" x14ac:dyDescent="0.3">
      <c r="A6625" s="503">
        <v>45118</v>
      </c>
      <c r="B6625" s="396" t="s">
        <v>12049</v>
      </c>
      <c r="C6625" s="66" t="s">
        <v>10745</v>
      </c>
      <c r="D6625" s="66" t="s">
        <v>11351</v>
      </c>
      <c r="E6625" s="67">
        <v>1700</v>
      </c>
      <c r="F6625" s="67"/>
      <c r="G6625" s="48">
        <f t="shared" si="163"/>
        <v>370183.19354838668</v>
      </c>
      <c r="H6625" s="388" t="s">
        <v>9567</v>
      </c>
    </row>
    <row r="6626" spans="1:8" x14ac:dyDescent="0.3">
      <c r="A6626" s="503">
        <v>45118</v>
      </c>
      <c r="B6626" s="396" t="s">
        <v>12134</v>
      </c>
      <c r="C6626" s="66" t="s">
        <v>8009</v>
      </c>
      <c r="D6626" s="66" t="s">
        <v>11623</v>
      </c>
      <c r="E6626" s="67">
        <v>2500</v>
      </c>
      <c r="F6626" s="67"/>
      <c r="G6626" s="48">
        <f t="shared" si="163"/>
        <v>367683.19354838668</v>
      </c>
      <c r="H6626" s="388" t="s">
        <v>9567</v>
      </c>
    </row>
    <row r="6627" spans="1:8" x14ac:dyDescent="0.3">
      <c r="A6627" s="503">
        <v>45118</v>
      </c>
      <c r="B6627" s="404" t="s">
        <v>5931</v>
      </c>
      <c r="C6627" s="66" t="s">
        <v>30</v>
      </c>
      <c r="D6627" s="66" t="s">
        <v>11624</v>
      </c>
      <c r="E6627" s="67">
        <v>2500</v>
      </c>
      <c r="F6627" s="67"/>
      <c r="G6627" s="48">
        <f t="shared" si="163"/>
        <v>365183.19354838668</v>
      </c>
      <c r="H6627" s="388" t="s">
        <v>9567</v>
      </c>
    </row>
    <row r="6628" spans="1:8" x14ac:dyDescent="0.3">
      <c r="A6628" s="503">
        <v>45118</v>
      </c>
      <c r="B6628" s="404" t="s">
        <v>5931</v>
      </c>
      <c r="C6628" s="66" t="s">
        <v>8009</v>
      </c>
      <c r="D6628" s="66" t="s">
        <v>11625</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11743</v>
      </c>
      <c r="C6630" s="5" t="s">
        <v>9524</v>
      </c>
      <c r="D6630" s="5" t="s">
        <v>11626</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12047</v>
      </c>
      <c r="C6634" s="66" t="s">
        <v>5793</v>
      </c>
      <c r="D6634" s="66" t="s">
        <v>11629</v>
      </c>
      <c r="E6634" s="67">
        <v>9500</v>
      </c>
      <c r="F6634" s="67"/>
      <c r="G6634" s="48">
        <f t="shared" si="163"/>
        <v>290183.19354838668</v>
      </c>
      <c r="H6634" s="388" t="s">
        <v>9567</v>
      </c>
    </row>
    <row r="6635" spans="1:8" x14ac:dyDescent="0.3">
      <c r="A6635" s="503">
        <v>45118</v>
      </c>
      <c r="B6635" s="396" t="s">
        <v>12048</v>
      </c>
      <c r="C6635" s="66" t="s">
        <v>10800</v>
      </c>
      <c r="D6635" s="66" t="s">
        <v>11627</v>
      </c>
      <c r="E6635" s="67">
        <v>350</v>
      </c>
      <c r="F6635" s="67"/>
      <c r="G6635" s="48">
        <f t="shared" si="163"/>
        <v>289833.19354838668</v>
      </c>
      <c r="H6635" s="388" t="s">
        <v>9567</v>
      </c>
    </row>
    <row r="6636" spans="1:8" x14ac:dyDescent="0.3">
      <c r="A6636" s="503">
        <v>45118</v>
      </c>
      <c r="B6636" s="396" t="s">
        <v>12050</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11632</v>
      </c>
      <c r="E6637" s="67">
        <v>19700</v>
      </c>
      <c r="F6637" s="67"/>
      <c r="G6637" s="48">
        <f t="shared" si="163"/>
        <v>269873.19354838668</v>
      </c>
      <c r="H6637" s="388" t="s">
        <v>9567</v>
      </c>
    </row>
    <row r="6638" spans="1:8" x14ac:dyDescent="0.3">
      <c r="A6638" s="503">
        <v>45118</v>
      </c>
      <c r="B6638" s="567"/>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11630</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11633</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11638</v>
      </c>
      <c r="E6643" s="43">
        <v>460</v>
      </c>
      <c r="F6643" s="43"/>
      <c r="G6643" s="48">
        <f t="shared" si="163"/>
        <v>730113.19354838668</v>
      </c>
      <c r="H6643" s="388" t="s">
        <v>9567</v>
      </c>
    </row>
    <row r="6644" spans="1:8" x14ac:dyDescent="0.3">
      <c r="A6644" s="503">
        <v>45119</v>
      </c>
      <c r="B6644" s="396"/>
      <c r="C6644" s="5" t="s">
        <v>25</v>
      </c>
      <c r="D6644" s="5" t="s">
        <v>11434</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11639</v>
      </c>
      <c r="E6646" s="43">
        <v>20000</v>
      </c>
      <c r="F6646" s="43"/>
      <c r="G6646" s="48">
        <f t="shared" si="163"/>
        <v>705713.19354838668</v>
      </c>
      <c r="H6646" s="388" t="s">
        <v>9567</v>
      </c>
    </row>
    <row r="6647" spans="1:8" x14ac:dyDescent="0.3">
      <c r="A6647" s="503">
        <v>45119</v>
      </c>
      <c r="B6647" s="342" t="s">
        <v>12053</v>
      </c>
      <c r="C6647" s="5" t="s">
        <v>54</v>
      </c>
      <c r="D6647" s="5" t="s">
        <v>11640</v>
      </c>
      <c r="E6647" s="43">
        <v>2170</v>
      </c>
      <c r="F6647" s="43"/>
      <c r="G6647" s="48">
        <f t="shared" si="163"/>
        <v>703543.19354838668</v>
      </c>
      <c r="H6647" s="388" t="s">
        <v>9567</v>
      </c>
    </row>
    <row r="6648" spans="1:8" x14ac:dyDescent="0.3">
      <c r="A6648" s="503">
        <v>45119</v>
      </c>
      <c r="B6648" s="342" t="s">
        <v>12053</v>
      </c>
      <c r="C6648" s="5" t="s">
        <v>30</v>
      </c>
      <c r="D6648" s="5" t="s">
        <v>11641</v>
      </c>
      <c r="E6648" s="43">
        <v>4500</v>
      </c>
      <c r="F6648" s="43"/>
      <c r="G6648" s="48">
        <f t="shared" si="163"/>
        <v>699043.19354838668</v>
      </c>
      <c r="H6648" s="388" t="s">
        <v>9567</v>
      </c>
    </row>
    <row r="6649" spans="1:8" x14ac:dyDescent="0.3">
      <c r="A6649" s="503">
        <v>45119</v>
      </c>
      <c r="B6649" s="342" t="s">
        <v>12053</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12046</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12053</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11646</v>
      </c>
      <c r="E6654" s="43">
        <v>2250</v>
      </c>
      <c r="F6654" s="43"/>
      <c r="G6654" s="48">
        <f t="shared" si="163"/>
        <v>674563.19354838668</v>
      </c>
      <c r="H6654" s="388" t="s">
        <v>9567</v>
      </c>
    </row>
    <row r="6655" spans="1:8" x14ac:dyDescent="0.3">
      <c r="A6655" s="503">
        <v>45119</v>
      </c>
      <c r="B6655" s="396" t="s">
        <v>10601</v>
      </c>
      <c r="C6655" s="5" t="s">
        <v>11647</v>
      </c>
      <c r="D6655" s="5" t="s">
        <v>11648</v>
      </c>
      <c r="E6655" s="43">
        <v>1310</v>
      </c>
      <c r="F6655" s="43"/>
      <c r="G6655" s="48">
        <f t="shared" si="163"/>
        <v>673253.19354838668</v>
      </c>
      <c r="H6655" s="388" t="s">
        <v>9567</v>
      </c>
    </row>
    <row r="6656" spans="1:8" x14ac:dyDescent="0.3">
      <c r="A6656" s="503">
        <v>45119</v>
      </c>
      <c r="B6656" s="396" t="s">
        <v>10319</v>
      </c>
      <c r="C6656" s="5" t="s">
        <v>11043</v>
      </c>
      <c r="D6656" s="5" t="s">
        <v>11644</v>
      </c>
      <c r="E6656" s="43">
        <v>153000</v>
      </c>
      <c r="F6656" s="43"/>
      <c r="G6656" s="48">
        <f t="shared" si="163"/>
        <v>520253.19354838668</v>
      </c>
      <c r="H6656" s="388" t="s">
        <v>9567</v>
      </c>
    </row>
    <row r="6657" spans="1:8" x14ac:dyDescent="0.3">
      <c r="A6657" s="503">
        <v>45119</v>
      </c>
      <c r="B6657" s="396" t="s">
        <v>12049</v>
      </c>
      <c r="C6657" s="5" t="s">
        <v>10800</v>
      </c>
      <c r="D6657" s="5" t="s">
        <v>11650</v>
      </c>
      <c r="E6657" s="43">
        <v>6700</v>
      </c>
      <c r="F6657" s="43"/>
      <c r="G6657" s="48">
        <f t="shared" si="163"/>
        <v>513553.19354838668</v>
      </c>
      <c r="H6657" s="388" t="s">
        <v>9567</v>
      </c>
    </row>
    <row r="6658" spans="1:8" x14ac:dyDescent="0.3">
      <c r="A6658" s="503">
        <v>45119</v>
      </c>
      <c r="B6658" s="396"/>
      <c r="C6658" s="5" t="s">
        <v>84</v>
      </c>
      <c r="D6658" s="5" t="s">
        <v>11649</v>
      </c>
      <c r="E6658" s="43">
        <v>2000</v>
      </c>
      <c r="F6658" s="43"/>
      <c r="G6658" s="48">
        <f t="shared" si="163"/>
        <v>511553.19354838668</v>
      </c>
      <c r="H6658" s="388" t="s">
        <v>9567</v>
      </c>
    </row>
    <row r="6659" spans="1:8" x14ac:dyDescent="0.3">
      <c r="A6659" s="503">
        <v>45119</v>
      </c>
      <c r="B6659" s="396" t="s">
        <v>10319</v>
      </c>
      <c r="C6659" s="5" t="s">
        <v>10449</v>
      </c>
      <c r="D6659" s="5" t="s">
        <v>11652</v>
      </c>
      <c r="E6659" s="65">
        <v>18500</v>
      </c>
      <c r="F6659" s="43"/>
      <c r="G6659" s="48">
        <f t="shared" si="163"/>
        <v>493053.19354838668</v>
      </c>
      <c r="H6659" s="388" t="s">
        <v>9567</v>
      </c>
    </row>
    <row r="6660" spans="1:8" x14ac:dyDescent="0.3">
      <c r="A6660" s="503">
        <v>45119</v>
      </c>
      <c r="B6660" s="396" t="s">
        <v>10319</v>
      </c>
      <c r="C6660" s="5" t="s">
        <v>9227</v>
      </c>
      <c r="D6660" s="5" t="s">
        <v>11653</v>
      </c>
      <c r="E6660" s="65">
        <v>43920</v>
      </c>
      <c r="F6660" s="43"/>
      <c r="G6660" s="48">
        <f t="shared" si="163"/>
        <v>449133.19354838668</v>
      </c>
      <c r="H6660" s="388" t="s">
        <v>9567</v>
      </c>
    </row>
    <row r="6661" spans="1:8" x14ac:dyDescent="0.3">
      <c r="A6661" s="503">
        <v>45119</v>
      </c>
      <c r="B6661" s="396"/>
      <c r="C6661" s="5" t="s">
        <v>2406</v>
      </c>
      <c r="D6661" s="5" t="s">
        <v>11651</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12049</v>
      </c>
      <c r="C6663" s="5" t="s">
        <v>5793</v>
      </c>
      <c r="D6663" s="5" t="s">
        <v>40</v>
      </c>
      <c r="E6663" s="43">
        <v>500</v>
      </c>
      <c r="F6663" s="43"/>
      <c r="G6663" s="48">
        <f t="shared" si="163"/>
        <v>447333.19354838668</v>
      </c>
      <c r="H6663" s="388" t="s">
        <v>9567</v>
      </c>
    </row>
    <row r="6664" spans="1:8" x14ac:dyDescent="0.3">
      <c r="A6664" s="503">
        <v>45119</v>
      </c>
      <c r="B6664" s="396" t="s">
        <v>12047</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12047</v>
      </c>
      <c r="C6666" s="5" t="s">
        <v>11174</v>
      </c>
      <c r="D6666" s="5" t="s">
        <v>11654</v>
      </c>
      <c r="E6666" s="43">
        <v>6460</v>
      </c>
      <c r="F6666" s="43"/>
      <c r="G6666" s="48">
        <f t="shared" si="163"/>
        <v>438873.19354838668</v>
      </c>
      <c r="H6666" s="388" t="s">
        <v>9567</v>
      </c>
    </row>
    <row r="6667" spans="1:8" x14ac:dyDescent="0.3">
      <c r="A6667" s="503">
        <v>45120</v>
      </c>
      <c r="B6667" s="396"/>
      <c r="C6667" s="5" t="s">
        <v>84</v>
      </c>
      <c r="D6667" s="5" t="s">
        <v>11655</v>
      </c>
      <c r="E6667" s="43">
        <v>5000</v>
      </c>
      <c r="F6667" s="43"/>
      <c r="G6667" s="48">
        <f t="shared" si="163"/>
        <v>433873.19354838668</v>
      </c>
      <c r="H6667" s="388" t="s">
        <v>9567</v>
      </c>
    </row>
    <row r="6668" spans="1:8" x14ac:dyDescent="0.3">
      <c r="A6668" s="503">
        <v>45120</v>
      </c>
      <c r="B6668" s="396" t="s">
        <v>12133</v>
      </c>
      <c r="C6668" s="5" t="s">
        <v>11657</v>
      </c>
      <c r="D6668" s="5" t="s">
        <v>11656</v>
      </c>
      <c r="E6668" s="43">
        <v>22000</v>
      </c>
      <c r="F6668" s="43"/>
      <c r="G6668" s="48">
        <f t="shared" si="163"/>
        <v>411873.19354838668</v>
      </c>
      <c r="H6668" s="388" t="s">
        <v>9567</v>
      </c>
    </row>
    <row r="6669" spans="1:8" x14ac:dyDescent="0.3">
      <c r="A6669" s="503">
        <v>45120</v>
      </c>
      <c r="B6669" s="396" t="s">
        <v>12050</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11434</v>
      </c>
      <c r="E6670" s="43">
        <v>4000</v>
      </c>
      <c r="F6670" s="43"/>
      <c r="G6670" s="48">
        <f t="shared" si="163"/>
        <v>407273.19354838668</v>
      </c>
      <c r="H6670" s="388" t="s">
        <v>9567</v>
      </c>
    </row>
    <row r="6671" spans="1:8" x14ac:dyDescent="0.3">
      <c r="A6671" s="503">
        <v>45120</v>
      </c>
      <c r="B6671" s="396" t="s">
        <v>12133</v>
      </c>
      <c r="C6671" s="5" t="s">
        <v>5793</v>
      </c>
      <c r="D6671" s="5" t="s">
        <v>40</v>
      </c>
      <c r="E6671" s="43">
        <v>1500</v>
      </c>
      <c r="F6671" s="43"/>
      <c r="G6671" s="48">
        <f t="shared" si="163"/>
        <v>405773.19354838668</v>
      </c>
      <c r="H6671" s="388" t="s">
        <v>9567</v>
      </c>
    </row>
    <row r="6672" spans="1:8" x14ac:dyDescent="0.3">
      <c r="A6672" s="503">
        <v>45120</v>
      </c>
      <c r="B6672" s="396" t="s">
        <v>12134</v>
      </c>
      <c r="C6672" s="5" t="s">
        <v>7158</v>
      </c>
      <c r="D6672" s="5" t="s">
        <v>11660</v>
      </c>
      <c r="E6672" s="43">
        <v>4000</v>
      </c>
      <c r="F6672" s="43"/>
      <c r="G6672" s="48">
        <f t="shared" si="163"/>
        <v>401773.19354838668</v>
      </c>
      <c r="H6672" s="388" t="s">
        <v>9567</v>
      </c>
    </row>
    <row r="6673" spans="1:8" x14ac:dyDescent="0.3">
      <c r="A6673" s="503">
        <v>45120</v>
      </c>
      <c r="B6673" s="396" t="s">
        <v>6481</v>
      </c>
      <c r="C6673" s="5" t="s">
        <v>84</v>
      </c>
      <c r="D6673" s="5" t="s">
        <v>11661</v>
      </c>
      <c r="E6673" s="43">
        <v>4000</v>
      </c>
      <c r="F6673" s="43"/>
      <c r="G6673" s="48">
        <f t="shared" si="163"/>
        <v>397773.19354838668</v>
      </c>
      <c r="H6673" s="388" t="s">
        <v>9567</v>
      </c>
    </row>
    <row r="6674" spans="1:8" x14ac:dyDescent="0.3">
      <c r="A6674" s="503">
        <v>45120</v>
      </c>
      <c r="B6674" s="396" t="s">
        <v>25</v>
      </c>
      <c r="C6674" s="5" t="s">
        <v>4400</v>
      </c>
      <c r="D6674" s="5" t="s">
        <v>11678</v>
      </c>
      <c r="E6674" s="43">
        <v>4670</v>
      </c>
      <c r="F6674" s="43"/>
      <c r="G6674" s="48">
        <f t="shared" si="163"/>
        <v>393103.19354838668</v>
      </c>
      <c r="H6674" s="388" t="s">
        <v>9567</v>
      </c>
    </row>
    <row r="6675" spans="1:8" x14ac:dyDescent="0.3">
      <c r="A6675" s="503">
        <v>45120</v>
      </c>
      <c r="B6675" s="396" t="s">
        <v>11046</v>
      </c>
      <c r="C6675" s="5" t="s">
        <v>10800</v>
      </c>
      <c r="D6675" s="5" t="s">
        <v>11667</v>
      </c>
      <c r="E6675" s="43">
        <v>109400</v>
      </c>
      <c r="F6675" s="43"/>
      <c r="G6675" s="48">
        <f t="shared" si="163"/>
        <v>283703.19354838668</v>
      </c>
      <c r="H6675" s="388" t="s">
        <v>9567</v>
      </c>
    </row>
    <row r="6676" spans="1:8" x14ac:dyDescent="0.3">
      <c r="A6676" s="503">
        <v>45120</v>
      </c>
      <c r="B6676" s="396" t="s">
        <v>11505</v>
      </c>
      <c r="C6676" s="5" t="s">
        <v>10800</v>
      </c>
      <c r="D6676" s="5" t="s">
        <v>11667</v>
      </c>
      <c r="E6676" s="43">
        <v>7890</v>
      </c>
      <c r="F6676" s="43"/>
      <c r="G6676" s="48">
        <f t="shared" si="163"/>
        <v>275813.19354838668</v>
      </c>
      <c r="H6676" s="388" t="s">
        <v>9567</v>
      </c>
    </row>
    <row r="6677" spans="1:8" x14ac:dyDescent="0.3">
      <c r="A6677" s="503">
        <v>45120</v>
      </c>
      <c r="B6677" s="396" t="s">
        <v>11505</v>
      </c>
      <c r="C6677" s="5" t="s">
        <v>10800</v>
      </c>
      <c r="D6677" s="5" t="s">
        <v>11668</v>
      </c>
      <c r="E6677" s="43">
        <v>2000</v>
      </c>
      <c r="F6677" s="43"/>
      <c r="G6677" s="48">
        <f t="shared" si="163"/>
        <v>273813.19354838668</v>
      </c>
      <c r="H6677" s="388" t="s">
        <v>9567</v>
      </c>
    </row>
    <row r="6678" spans="1:8" x14ac:dyDescent="0.3">
      <c r="A6678" s="503">
        <v>45120</v>
      </c>
      <c r="B6678" s="396" t="s">
        <v>11505</v>
      </c>
      <c r="C6678" s="5" t="s">
        <v>30</v>
      </c>
      <c r="D6678" s="5" t="s">
        <v>11677</v>
      </c>
      <c r="E6678" s="43">
        <v>300</v>
      </c>
      <c r="F6678" s="43"/>
      <c r="G6678" s="48">
        <f t="shared" si="163"/>
        <v>273513.19354838668</v>
      </c>
      <c r="H6678" s="388" t="s">
        <v>9567</v>
      </c>
    </row>
    <row r="6679" spans="1:8" x14ac:dyDescent="0.3">
      <c r="A6679" s="503">
        <v>45120</v>
      </c>
      <c r="B6679" s="396" t="s">
        <v>25</v>
      </c>
      <c r="C6679" s="5" t="s">
        <v>25</v>
      </c>
      <c r="D6679" s="5" t="s">
        <v>11663</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11670</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11665</v>
      </c>
      <c r="E6683" s="43">
        <v>22000</v>
      </c>
      <c r="F6683" s="43"/>
      <c r="G6683" s="48">
        <f t="shared" si="163"/>
        <v>229513.19354838668</v>
      </c>
      <c r="H6683" s="388" t="s">
        <v>9567</v>
      </c>
    </row>
    <row r="6684" spans="1:8" x14ac:dyDescent="0.3">
      <c r="A6684" s="503">
        <v>45121</v>
      </c>
      <c r="B6684" s="396" t="s">
        <v>12134</v>
      </c>
      <c r="C6684" s="5" t="s">
        <v>1616</v>
      </c>
      <c r="D6684" s="5" t="s">
        <v>11666</v>
      </c>
      <c r="E6684" s="43">
        <v>2250</v>
      </c>
      <c r="F6684" s="43"/>
      <c r="G6684" s="48">
        <f t="shared" si="163"/>
        <v>227263.19354838668</v>
      </c>
      <c r="H6684" s="388" t="s">
        <v>9567</v>
      </c>
    </row>
    <row r="6685" spans="1:8" x14ac:dyDescent="0.3">
      <c r="A6685" s="503">
        <v>45121</v>
      </c>
      <c r="B6685" s="396" t="s">
        <v>10601</v>
      </c>
      <c r="C6685" s="5" t="s">
        <v>6430</v>
      </c>
      <c r="D6685" s="5" t="s">
        <v>11669</v>
      </c>
      <c r="E6685" s="43">
        <v>4000</v>
      </c>
      <c r="F6685" s="43"/>
      <c r="G6685" s="48">
        <f t="shared" si="163"/>
        <v>223263.19354838668</v>
      </c>
      <c r="H6685" s="388" t="s">
        <v>9567</v>
      </c>
    </row>
    <row r="6686" spans="1:8" x14ac:dyDescent="0.3">
      <c r="A6686" s="503">
        <v>45121</v>
      </c>
      <c r="B6686" s="567"/>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11676</v>
      </c>
      <c r="E6687" s="43">
        <v>100000</v>
      </c>
      <c r="F6687" s="43"/>
      <c r="G6687" s="48">
        <f t="shared" si="163"/>
        <v>623263.19354838668</v>
      </c>
      <c r="H6687" s="388" t="s">
        <v>9567</v>
      </c>
    </row>
    <row r="6688" spans="1:8" x14ac:dyDescent="0.3">
      <c r="A6688" s="503">
        <v>45121</v>
      </c>
      <c r="B6688" s="396" t="s">
        <v>25</v>
      </c>
      <c r="C6688" s="5" t="s">
        <v>25</v>
      </c>
      <c r="D6688" s="5" t="s">
        <v>11434</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11675</v>
      </c>
      <c r="E6690" s="43">
        <v>20000</v>
      </c>
      <c r="F6690" s="43"/>
      <c r="G6690" s="48">
        <f t="shared" si="163"/>
        <v>594263.19354838668</v>
      </c>
      <c r="H6690" s="388" t="s">
        <v>9567</v>
      </c>
    </row>
    <row r="6691" spans="1:8" x14ac:dyDescent="0.3">
      <c r="A6691" s="503">
        <v>45121</v>
      </c>
      <c r="B6691" s="567"/>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12050</v>
      </c>
      <c r="C6693" s="5" t="s">
        <v>2059</v>
      </c>
      <c r="D6693" s="5" t="s">
        <v>11679</v>
      </c>
      <c r="E6693" s="43">
        <v>1039700</v>
      </c>
      <c r="F6693" s="43"/>
      <c r="G6693" s="48">
        <f t="shared" ref="G6693:G6709" si="166">G6692+F6693-E6693</f>
        <v>453563.19354838668</v>
      </c>
      <c r="H6693" s="388" t="s">
        <v>9567</v>
      </c>
    </row>
    <row r="6694" spans="1:8" x14ac:dyDescent="0.3">
      <c r="A6694" s="503">
        <v>45121</v>
      </c>
      <c r="B6694" s="396" t="s">
        <v>12047</v>
      </c>
      <c r="C6694" s="5" t="s">
        <v>5793</v>
      </c>
      <c r="D6694" s="5" t="s">
        <v>40</v>
      </c>
      <c r="E6694" s="43">
        <v>2000</v>
      </c>
      <c r="F6694" s="43"/>
      <c r="G6694" s="48">
        <f t="shared" si="166"/>
        <v>451563.19354838668</v>
      </c>
      <c r="H6694" s="388" t="s">
        <v>9567</v>
      </c>
    </row>
    <row r="6695" spans="1:8" x14ac:dyDescent="0.3">
      <c r="A6695" s="503">
        <v>45121</v>
      </c>
      <c r="B6695" s="396" t="s">
        <v>12049</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11680</v>
      </c>
      <c r="D6697" s="5" t="s">
        <v>11681</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12049</v>
      </c>
      <c r="C6699" s="5" t="s">
        <v>9749</v>
      </c>
      <c r="D6699" s="5" t="s">
        <v>11682</v>
      </c>
      <c r="E6699" s="43">
        <v>14196</v>
      </c>
      <c r="F6699" s="43"/>
      <c r="G6699" s="48">
        <f t="shared" si="166"/>
        <v>423867.19354838668</v>
      </c>
      <c r="H6699" s="388" t="s">
        <v>9567</v>
      </c>
    </row>
    <row r="6700" spans="1:8" x14ac:dyDescent="0.3">
      <c r="A6700" s="503">
        <v>45122</v>
      </c>
      <c r="B6700" s="396" t="s">
        <v>11505</v>
      </c>
      <c r="C6700" s="5" t="s">
        <v>9749</v>
      </c>
      <c r="D6700" s="5" t="s">
        <v>11683</v>
      </c>
      <c r="E6700" s="43">
        <v>1350</v>
      </c>
      <c r="F6700" s="43"/>
      <c r="G6700" s="48">
        <f t="shared" si="166"/>
        <v>422517.19354838668</v>
      </c>
      <c r="H6700" s="388" t="s">
        <v>9567</v>
      </c>
    </row>
    <row r="6701" spans="1:8" x14ac:dyDescent="0.3">
      <c r="A6701" s="503">
        <v>45122</v>
      </c>
      <c r="B6701" s="396" t="s">
        <v>25</v>
      </c>
      <c r="C6701" s="5" t="s">
        <v>25</v>
      </c>
      <c r="D6701" s="5" t="s">
        <v>11434</v>
      </c>
      <c r="E6701" s="43">
        <v>2000</v>
      </c>
      <c r="F6701" s="43"/>
      <c r="G6701" s="48">
        <f t="shared" si="166"/>
        <v>420517.19354838668</v>
      </c>
      <c r="H6701" s="388" t="s">
        <v>9567</v>
      </c>
    </row>
    <row r="6702" spans="1:8" x14ac:dyDescent="0.3">
      <c r="A6702" s="503">
        <v>45122</v>
      </c>
      <c r="B6702" s="396" t="s">
        <v>11505</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11684</v>
      </c>
      <c r="E6703" s="43">
        <v>30000</v>
      </c>
      <c r="F6703" s="43"/>
      <c r="G6703" s="48">
        <f t="shared" si="166"/>
        <v>388717.19354838668</v>
      </c>
      <c r="H6703" s="388" t="s">
        <v>9567</v>
      </c>
    </row>
    <row r="6704" spans="1:8" x14ac:dyDescent="0.3">
      <c r="A6704" s="503">
        <v>45122</v>
      </c>
      <c r="B6704" s="396" t="s">
        <v>12050</v>
      </c>
      <c r="C6704" s="5" t="s">
        <v>11685</v>
      </c>
      <c r="D6704" s="5" t="s">
        <v>11694</v>
      </c>
      <c r="E6704" s="43">
        <v>30000</v>
      </c>
      <c r="F6704" s="43"/>
      <c r="G6704" s="48">
        <f t="shared" si="166"/>
        <v>358717.19354838668</v>
      </c>
      <c r="H6704" s="388" t="s">
        <v>9567</v>
      </c>
    </row>
    <row r="6705" spans="1:8" x14ac:dyDescent="0.3">
      <c r="A6705" s="503">
        <v>45122</v>
      </c>
      <c r="B6705" s="396" t="s">
        <v>12134</v>
      </c>
      <c r="C6705" s="5" t="s">
        <v>7158</v>
      </c>
      <c r="D6705" s="5" t="s">
        <v>11660</v>
      </c>
      <c r="E6705" s="43">
        <v>290</v>
      </c>
      <c r="F6705" s="43"/>
      <c r="G6705" s="48">
        <f t="shared" si="166"/>
        <v>358427.19354838668</v>
      </c>
      <c r="H6705" s="388" t="s">
        <v>9567</v>
      </c>
    </row>
    <row r="6706" spans="1:8" x14ac:dyDescent="0.3">
      <c r="A6706" s="503">
        <v>45122</v>
      </c>
      <c r="B6706" s="396" t="s">
        <v>12050</v>
      </c>
      <c r="C6706" s="5" t="s">
        <v>9749</v>
      </c>
      <c r="D6706" s="5" t="s">
        <v>11687</v>
      </c>
      <c r="E6706" s="43">
        <v>51300</v>
      </c>
      <c r="F6706" s="43"/>
      <c r="G6706" s="48">
        <f t="shared" si="166"/>
        <v>307127.19354838668</v>
      </c>
      <c r="H6706" s="388" t="s">
        <v>9567</v>
      </c>
    </row>
    <row r="6707" spans="1:8" x14ac:dyDescent="0.3">
      <c r="A6707" s="503">
        <v>45122</v>
      </c>
      <c r="B6707" s="396"/>
      <c r="C6707" s="5" t="s">
        <v>84</v>
      </c>
      <c r="D6707" s="5" t="s">
        <v>11686</v>
      </c>
      <c r="E6707" s="43">
        <v>10000</v>
      </c>
      <c r="F6707" s="43"/>
      <c r="G6707" s="48">
        <f t="shared" si="166"/>
        <v>297127.19354838668</v>
      </c>
      <c r="H6707" s="388" t="s">
        <v>9567</v>
      </c>
    </row>
    <row r="6708" spans="1:8" x14ac:dyDescent="0.3">
      <c r="A6708" s="503">
        <v>45122</v>
      </c>
      <c r="B6708" s="396" t="s">
        <v>12050</v>
      </c>
      <c r="C6708" s="5" t="s">
        <v>30</v>
      </c>
      <c r="D6708" s="5" t="s">
        <v>2113</v>
      </c>
      <c r="E6708" s="43">
        <v>1150</v>
      </c>
      <c r="F6708" s="43"/>
      <c r="G6708" s="48">
        <f t="shared" si="166"/>
        <v>295977.19354838668</v>
      </c>
      <c r="H6708" s="388" t="s">
        <v>9567</v>
      </c>
    </row>
    <row r="6709" spans="1:8" x14ac:dyDescent="0.3">
      <c r="A6709" s="503">
        <v>45122</v>
      </c>
      <c r="B6709" s="396" t="s">
        <v>12050</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11695</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12134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12050</v>
      </c>
      <c r="C6714" s="5" t="s">
        <v>5793</v>
      </c>
      <c r="D6714" s="5" t="s">
        <v>40</v>
      </c>
      <c r="E6714" s="43">
        <v>600</v>
      </c>
      <c r="F6714" s="43"/>
      <c r="G6714" s="48">
        <f t="shared" si="167"/>
        <v>259617.19354838668</v>
      </c>
      <c r="H6714" s="388" t="s">
        <v>9567</v>
      </c>
    </row>
    <row r="6715" spans="1:8" x14ac:dyDescent="0.3">
      <c r="A6715" s="503">
        <v>45124</v>
      </c>
      <c r="B6715" s="396" t="s">
        <v>12049</v>
      </c>
      <c r="C6715" s="5" t="s">
        <v>5793</v>
      </c>
      <c r="D6715" s="5" t="s">
        <v>40</v>
      </c>
      <c r="E6715" s="43">
        <v>600</v>
      </c>
      <c r="F6715" s="43"/>
      <c r="G6715" s="48">
        <f t="shared" si="167"/>
        <v>259017.19354838668</v>
      </c>
      <c r="H6715" s="388" t="s">
        <v>9567</v>
      </c>
    </row>
    <row r="6716" spans="1:8" x14ac:dyDescent="0.3">
      <c r="A6716" s="503">
        <v>45124</v>
      </c>
      <c r="B6716" s="396" t="s">
        <v>12086</v>
      </c>
      <c r="C6716" s="5" t="s">
        <v>54</v>
      </c>
      <c r="D6716" s="5" t="s">
        <v>11688</v>
      </c>
      <c r="E6716" s="43">
        <v>70000</v>
      </c>
      <c r="F6716" s="43"/>
      <c r="G6716" s="48">
        <f t="shared" si="167"/>
        <v>189017.19354838668</v>
      </c>
      <c r="H6716" s="388" t="s">
        <v>9567</v>
      </c>
    </row>
    <row r="6717" spans="1:8" x14ac:dyDescent="0.3">
      <c r="A6717" s="503">
        <v>45124</v>
      </c>
      <c r="B6717" s="396" t="s">
        <v>11146</v>
      </c>
      <c r="C6717" s="5" t="s">
        <v>10800</v>
      </c>
      <c r="D6717" s="5" t="s">
        <v>11696</v>
      </c>
      <c r="E6717" s="43">
        <v>10980</v>
      </c>
      <c r="F6717" s="43"/>
      <c r="G6717" s="48">
        <f t="shared" si="167"/>
        <v>178037.19354838668</v>
      </c>
      <c r="H6717" s="388" t="s">
        <v>9567</v>
      </c>
    </row>
    <row r="6718" spans="1:8" x14ac:dyDescent="0.3">
      <c r="A6718" s="503">
        <v>45124</v>
      </c>
      <c r="B6718" s="396" t="s">
        <v>11743</v>
      </c>
      <c r="C6718" s="5" t="s">
        <v>10800</v>
      </c>
      <c r="D6718" s="5" t="s">
        <v>11697</v>
      </c>
      <c r="E6718" s="43">
        <f>6235+1980</f>
        <v>8215</v>
      </c>
      <c r="F6718" s="43"/>
      <c r="G6718" s="48">
        <f t="shared" si="167"/>
        <v>169822.19354838668</v>
      </c>
      <c r="H6718" s="388" t="s">
        <v>9567</v>
      </c>
    </row>
    <row r="6719" spans="1:8" x14ac:dyDescent="0.3">
      <c r="A6719" s="503">
        <v>45124</v>
      </c>
      <c r="B6719" s="396" t="s">
        <v>12045</v>
      </c>
      <c r="C6719" s="5" t="s">
        <v>10800</v>
      </c>
      <c r="D6719" s="5" t="s">
        <v>11696</v>
      </c>
      <c r="E6719" s="43">
        <v>75400</v>
      </c>
      <c r="F6719" s="43"/>
      <c r="G6719" s="48">
        <f t="shared" si="167"/>
        <v>94422.193548386684</v>
      </c>
      <c r="H6719" s="388" t="s">
        <v>9567</v>
      </c>
    </row>
    <row r="6720" spans="1:8" x14ac:dyDescent="0.3">
      <c r="A6720" s="503">
        <v>45124</v>
      </c>
      <c r="B6720" s="396" t="s">
        <v>12045</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11689</v>
      </c>
      <c r="E6722" s="43">
        <v>300</v>
      </c>
      <c r="F6722" s="43"/>
      <c r="G6722" s="48">
        <f t="shared" si="167"/>
        <v>92822.193548386684</v>
      </c>
      <c r="H6722" s="388" t="s">
        <v>9567</v>
      </c>
    </row>
    <row r="6723" spans="1:8" x14ac:dyDescent="0.3">
      <c r="A6723" s="503">
        <v>45124</v>
      </c>
      <c r="B6723" s="404" t="s">
        <v>11442</v>
      </c>
      <c r="C6723" s="66" t="s">
        <v>9749</v>
      </c>
      <c r="D6723" s="66" t="s">
        <v>11698</v>
      </c>
      <c r="E6723" s="67">
        <v>9600</v>
      </c>
      <c r="F6723" s="67"/>
      <c r="G6723" s="48">
        <f t="shared" si="167"/>
        <v>83222.193548386684</v>
      </c>
      <c r="H6723" s="388" t="s">
        <v>9567</v>
      </c>
    </row>
    <row r="6724" spans="1:8" x14ac:dyDescent="0.3">
      <c r="A6724" s="503">
        <v>45124</v>
      </c>
      <c r="B6724" s="396" t="s">
        <v>12050</v>
      </c>
      <c r="C6724" s="66" t="s">
        <v>9749</v>
      </c>
      <c r="D6724" s="66" t="s">
        <v>11699</v>
      </c>
      <c r="E6724" s="67">
        <v>4500</v>
      </c>
      <c r="F6724" s="67"/>
      <c r="G6724" s="48">
        <f t="shared" si="167"/>
        <v>78722.193548386684</v>
      </c>
      <c r="H6724" s="388" t="s">
        <v>9567</v>
      </c>
    </row>
    <row r="6725" spans="1:8" x14ac:dyDescent="0.3">
      <c r="A6725" s="503">
        <v>45124</v>
      </c>
      <c r="B6725" s="396" t="s">
        <v>11146</v>
      </c>
      <c r="C6725" s="66" t="s">
        <v>9749</v>
      </c>
      <c r="D6725" s="66" t="s">
        <v>11700</v>
      </c>
      <c r="E6725" s="67">
        <v>28000</v>
      </c>
      <c r="F6725" s="67"/>
      <c r="G6725" s="48">
        <f t="shared" si="167"/>
        <v>50722.193548386684</v>
      </c>
      <c r="H6725" s="388" t="s">
        <v>9567</v>
      </c>
    </row>
    <row r="6726" spans="1:8" x14ac:dyDescent="0.3">
      <c r="A6726" s="503">
        <v>45124</v>
      </c>
      <c r="B6726" s="404" t="s">
        <v>10319</v>
      </c>
      <c r="C6726" s="66" t="s">
        <v>9749</v>
      </c>
      <c r="D6726" s="66" t="s">
        <v>11701</v>
      </c>
      <c r="E6726" s="67">
        <v>27958</v>
      </c>
      <c r="F6726" s="67"/>
      <c r="G6726" s="48">
        <f t="shared" si="167"/>
        <v>22764.193548386684</v>
      </c>
      <c r="H6726" s="388" t="s">
        <v>9567</v>
      </c>
    </row>
    <row r="6727" spans="1:8" x14ac:dyDescent="0.3">
      <c r="A6727" s="503">
        <v>45124</v>
      </c>
      <c r="B6727" s="567"/>
      <c r="C6727" s="497"/>
      <c r="D6727" s="498" t="s">
        <v>11691</v>
      </c>
      <c r="E6727" s="497"/>
      <c r="F6727" s="67">
        <v>500000</v>
      </c>
      <c r="G6727" s="48">
        <f t="shared" si="167"/>
        <v>522764.19354838668</v>
      </c>
      <c r="H6727" s="388" t="s">
        <v>9567</v>
      </c>
    </row>
    <row r="6728" spans="1:8" x14ac:dyDescent="0.3">
      <c r="A6728" s="503">
        <v>45124</v>
      </c>
      <c r="B6728" s="396" t="s">
        <v>11505</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11442</v>
      </c>
      <c r="C6732" s="5" t="s">
        <v>5793</v>
      </c>
      <c r="D6732" s="5" t="s">
        <v>40</v>
      </c>
      <c r="E6732" s="43">
        <v>400</v>
      </c>
      <c r="F6732" s="43"/>
      <c r="G6732" s="48">
        <f t="shared" si="167"/>
        <v>508964.19354838668</v>
      </c>
      <c r="H6732" s="388" t="s">
        <v>9567</v>
      </c>
    </row>
    <row r="6733" spans="1:8" x14ac:dyDescent="0.3">
      <c r="A6733" s="503">
        <v>45125</v>
      </c>
      <c r="B6733" s="396" t="s">
        <v>12046</v>
      </c>
      <c r="C6733" s="5" t="s">
        <v>5793</v>
      </c>
      <c r="D6733" s="5" t="s">
        <v>40</v>
      </c>
      <c r="E6733" s="43">
        <v>600</v>
      </c>
      <c r="F6733" s="43"/>
      <c r="G6733" s="48">
        <f t="shared" si="167"/>
        <v>508364.19354838668</v>
      </c>
      <c r="H6733" s="388" t="s">
        <v>9567</v>
      </c>
    </row>
    <row r="6734" spans="1:8" x14ac:dyDescent="0.3">
      <c r="A6734" s="503">
        <v>45125</v>
      </c>
      <c r="B6734" s="396" t="s">
        <v>11704</v>
      </c>
      <c r="C6734" s="5" t="s">
        <v>11702</v>
      </c>
      <c r="D6734" s="5" t="s">
        <v>11703</v>
      </c>
      <c r="E6734" s="43">
        <v>245000</v>
      </c>
      <c r="F6734" s="43"/>
      <c r="G6734" s="48">
        <f t="shared" si="167"/>
        <v>263364.19354838668</v>
      </c>
      <c r="H6734" s="388" t="s">
        <v>9567</v>
      </c>
    </row>
    <row r="6735" spans="1:8" x14ac:dyDescent="0.3">
      <c r="A6735" s="503">
        <v>45125</v>
      </c>
      <c r="B6735" s="396" t="s">
        <v>12049</v>
      </c>
      <c r="C6735" s="5" t="s">
        <v>3554</v>
      </c>
      <c r="D6735" s="5" t="s">
        <v>11705</v>
      </c>
      <c r="E6735" s="43">
        <v>30000</v>
      </c>
      <c r="F6735" s="43"/>
      <c r="G6735" s="48">
        <f t="shared" si="167"/>
        <v>233364.19354838668</v>
      </c>
      <c r="H6735" s="388" t="s">
        <v>9567</v>
      </c>
    </row>
    <row r="6736" spans="1:8" x14ac:dyDescent="0.3">
      <c r="A6736" s="503">
        <v>45125</v>
      </c>
      <c r="B6736" s="396" t="s">
        <v>25</v>
      </c>
      <c r="C6736" s="5" t="s">
        <v>25</v>
      </c>
      <c r="D6736" s="5" t="s">
        <v>11434</v>
      </c>
      <c r="E6736" s="43">
        <v>3000</v>
      </c>
      <c r="F6736" s="43"/>
      <c r="G6736" s="48">
        <f t="shared" si="167"/>
        <v>230364.19354838668</v>
      </c>
      <c r="H6736" s="388" t="s">
        <v>9567</v>
      </c>
    </row>
    <row r="6737" spans="1:8" x14ac:dyDescent="0.3">
      <c r="A6737" s="503">
        <v>45125</v>
      </c>
      <c r="B6737" s="396" t="s">
        <v>12047</v>
      </c>
      <c r="C6737" s="5" t="s">
        <v>11706</v>
      </c>
      <c r="D6737" s="5" t="s">
        <v>11707</v>
      </c>
      <c r="E6737" s="43">
        <v>7000</v>
      </c>
      <c r="F6737" s="43"/>
      <c r="G6737" s="48">
        <f t="shared" si="167"/>
        <v>223364.19354838668</v>
      </c>
      <c r="H6737" s="388" t="s">
        <v>9567</v>
      </c>
    </row>
    <row r="6738" spans="1:8" x14ac:dyDescent="0.3">
      <c r="A6738" s="503">
        <v>45125</v>
      </c>
      <c r="B6738" s="396" t="s">
        <v>12050</v>
      </c>
      <c r="C6738" s="5" t="s">
        <v>10800</v>
      </c>
      <c r="D6738" s="5" t="s">
        <v>11242</v>
      </c>
      <c r="E6738" s="65">
        <v>38750</v>
      </c>
      <c r="F6738" s="43"/>
      <c r="G6738" s="48">
        <f t="shared" si="167"/>
        <v>184614.19354838668</v>
      </c>
      <c r="H6738" s="388" t="s">
        <v>9567</v>
      </c>
    </row>
    <row r="6739" spans="1:8" x14ac:dyDescent="0.3">
      <c r="A6739" s="503">
        <v>45125</v>
      </c>
      <c r="B6739" s="396" t="s">
        <v>12047</v>
      </c>
      <c r="C6739" s="5" t="s">
        <v>10800</v>
      </c>
      <c r="D6739" s="5" t="s">
        <v>11242</v>
      </c>
      <c r="E6739" s="65">
        <v>11500</v>
      </c>
      <c r="F6739" s="43"/>
      <c r="G6739" s="48">
        <f t="shared" si="167"/>
        <v>173114.19354838668</v>
      </c>
      <c r="H6739" s="388" t="s">
        <v>9567</v>
      </c>
    </row>
    <row r="6740" spans="1:8" x14ac:dyDescent="0.3">
      <c r="A6740" s="503">
        <v>45125</v>
      </c>
      <c r="B6740" s="396" t="s">
        <v>12047</v>
      </c>
      <c r="C6740" s="5" t="s">
        <v>9749</v>
      </c>
      <c r="D6740" s="5" t="s">
        <v>11709</v>
      </c>
      <c r="E6740" s="43">
        <v>96000</v>
      </c>
      <c r="F6740" s="43"/>
      <c r="G6740" s="48">
        <f t="shared" si="167"/>
        <v>77114.193548386684</v>
      </c>
      <c r="H6740" s="388" t="s">
        <v>9567</v>
      </c>
    </row>
    <row r="6741" spans="1:8" x14ac:dyDescent="0.3">
      <c r="A6741" s="503">
        <v>45125</v>
      </c>
      <c r="B6741" s="396" t="s">
        <v>6481</v>
      </c>
      <c r="C6741" s="5" t="s">
        <v>1189</v>
      </c>
      <c r="D6741" s="5" t="s">
        <v>11710</v>
      </c>
      <c r="E6741" s="43">
        <v>15000</v>
      </c>
      <c r="F6741" s="43"/>
      <c r="G6741" s="48">
        <f t="shared" si="167"/>
        <v>62114.193548386684</v>
      </c>
      <c r="H6741" s="388" t="s">
        <v>9567</v>
      </c>
    </row>
    <row r="6742" spans="1:8" x14ac:dyDescent="0.3">
      <c r="A6742" s="503">
        <v>45125</v>
      </c>
      <c r="B6742" s="396" t="s">
        <v>12047</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11711</v>
      </c>
      <c r="E6743" s="43">
        <v>2000</v>
      </c>
      <c r="F6743" s="43"/>
      <c r="G6743" s="48">
        <f t="shared" si="167"/>
        <v>59714.193548386684</v>
      </c>
      <c r="H6743" s="388" t="s">
        <v>9567</v>
      </c>
    </row>
    <row r="6744" spans="1:8" x14ac:dyDescent="0.3">
      <c r="A6744" s="503">
        <v>45125</v>
      </c>
      <c r="B6744" s="396"/>
      <c r="C6744" s="5" t="s">
        <v>84</v>
      </c>
      <c r="D6744" s="5" t="s">
        <v>11713</v>
      </c>
      <c r="E6744" s="43">
        <v>5000</v>
      </c>
      <c r="F6744" s="43"/>
      <c r="G6744" s="48">
        <f t="shared" si="167"/>
        <v>54714.193548386684</v>
      </c>
      <c r="H6744" s="388" t="s">
        <v>9567</v>
      </c>
    </row>
    <row r="6745" spans="1:8" x14ac:dyDescent="0.3">
      <c r="A6745" s="503">
        <v>45125</v>
      </c>
      <c r="B6745" s="396"/>
      <c r="C6745" s="5" t="s">
        <v>84</v>
      </c>
      <c r="D6745" s="5" t="s">
        <v>11712</v>
      </c>
      <c r="E6745" s="43">
        <v>5000</v>
      </c>
      <c r="F6745" s="43"/>
      <c r="G6745" s="48">
        <f t="shared" si="167"/>
        <v>49714.193548386684</v>
      </c>
      <c r="H6745" s="388" t="s">
        <v>9567</v>
      </c>
    </row>
    <row r="6746" spans="1:8" x14ac:dyDescent="0.3">
      <c r="A6746" s="503">
        <v>45125</v>
      </c>
      <c r="B6746" s="396"/>
      <c r="C6746" s="5" t="s">
        <v>84</v>
      </c>
      <c r="D6746" s="5" t="s">
        <v>11714</v>
      </c>
      <c r="E6746" s="43">
        <v>4000</v>
      </c>
      <c r="F6746" s="43"/>
      <c r="G6746" s="48">
        <f t="shared" si="167"/>
        <v>45714.193548386684</v>
      </c>
      <c r="H6746" s="388" t="s">
        <v>9567</v>
      </c>
    </row>
    <row r="6747" spans="1:8" x14ac:dyDescent="0.3">
      <c r="A6747" s="503">
        <v>45125</v>
      </c>
      <c r="B6747" s="396" t="s">
        <v>12046</v>
      </c>
      <c r="C6747" s="5" t="s">
        <v>11716</v>
      </c>
      <c r="D6747" s="5" t="s">
        <v>5508</v>
      </c>
      <c r="E6747" s="43">
        <v>1000</v>
      </c>
      <c r="F6747" s="43"/>
      <c r="G6747" s="48">
        <f t="shared" si="167"/>
        <v>44714.193548386684</v>
      </c>
      <c r="H6747" s="388" t="s">
        <v>9567</v>
      </c>
    </row>
    <row r="6748" spans="1:8" x14ac:dyDescent="0.3">
      <c r="A6748" s="503">
        <v>45125</v>
      </c>
      <c r="B6748" s="396" t="s">
        <v>12049</v>
      </c>
      <c r="C6748" s="5" t="s">
        <v>11174</v>
      </c>
      <c r="D6748" s="5" t="s">
        <v>11717</v>
      </c>
      <c r="E6748" s="43">
        <v>580</v>
      </c>
      <c r="F6748" s="43"/>
      <c r="G6748" s="48">
        <f t="shared" si="167"/>
        <v>44134.193548386684</v>
      </c>
      <c r="H6748" s="388" t="s">
        <v>9567</v>
      </c>
    </row>
    <row r="6749" spans="1:8" x14ac:dyDescent="0.3">
      <c r="A6749" s="503">
        <v>45125</v>
      </c>
      <c r="B6749" s="396" t="s">
        <v>12046</v>
      </c>
      <c r="C6749" s="5" t="s">
        <v>4376</v>
      </c>
      <c r="D6749" s="5" t="s">
        <v>11718</v>
      </c>
      <c r="E6749" s="43">
        <v>900</v>
      </c>
      <c r="F6749" s="43"/>
      <c r="G6749" s="48">
        <f t="shared" si="167"/>
        <v>43234.193548386684</v>
      </c>
      <c r="H6749" s="388" t="s">
        <v>9567</v>
      </c>
    </row>
    <row r="6750" spans="1:8" x14ac:dyDescent="0.3">
      <c r="A6750" s="503">
        <v>45125</v>
      </c>
      <c r="B6750" s="565"/>
      <c r="C6750" s="480"/>
      <c r="D6750" s="491" t="s">
        <v>11397</v>
      </c>
      <c r="E6750" s="480"/>
      <c r="F6750" s="43">
        <v>200000</v>
      </c>
      <c r="G6750" s="48">
        <f t="shared" si="167"/>
        <v>243234.19354838668</v>
      </c>
      <c r="H6750" s="388" t="s">
        <v>9567</v>
      </c>
    </row>
    <row r="6751" spans="1:8" x14ac:dyDescent="0.3">
      <c r="A6751" s="503">
        <v>45125</v>
      </c>
      <c r="B6751" s="396" t="s">
        <v>12050</v>
      </c>
      <c r="C6751" s="5" t="s">
        <v>10800</v>
      </c>
      <c r="D6751" s="5" t="s">
        <v>11719</v>
      </c>
      <c r="E6751" s="43">
        <v>88000</v>
      </c>
      <c r="F6751" s="43"/>
      <c r="G6751" s="48">
        <f t="shared" si="167"/>
        <v>155234.19354838668</v>
      </c>
      <c r="H6751" s="388" t="s">
        <v>9567</v>
      </c>
    </row>
    <row r="6752" spans="1:8" x14ac:dyDescent="0.3">
      <c r="A6752" s="503">
        <v>45125</v>
      </c>
      <c r="B6752" s="396" t="s">
        <v>11505</v>
      </c>
      <c r="C6752" s="5" t="s">
        <v>10800</v>
      </c>
      <c r="D6752" s="5" t="s">
        <v>4342</v>
      </c>
      <c r="E6752" s="43">
        <v>4380</v>
      </c>
      <c r="F6752" s="43"/>
      <c r="G6752" s="48">
        <f t="shared" si="167"/>
        <v>150854.19354838668</v>
      </c>
      <c r="H6752" s="388" t="s">
        <v>9567</v>
      </c>
    </row>
    <row r="6753" spans="1:8" x14ac:dyDescent="0.3">
      <c r="A6753" s="503">
        <v>45125</v>
      </c>
      <c r="B6753" s="396" t="s">
        <v>12047</v>
      </c>
      <c r="C6753" s="5" t="s">
        <v>10800</v>
      </c>
      <c r="D6753" s="5" t="s">
        <v>4342</v>
      </c>
      <c r="E6753" s="43">
        <v>16560</v>
      </c>
      <c r="F6753" s="43"/>
      <c r="G6753" s="48">
        <f t="shared" si="167"/>
        <v>134294.19354838668</v>
      </c>
      <c r="H6753" s="388" t="s">
        <v>9567</v>
      </c>
    </row>
    <row r="6754" spans="1:8" x14ac:dyDescent="0.3">
      <c r="A6754" s="503">
        <v>45125</v>
      </c>
      <c r="B6754" s="396" t="s">
        <v>11743</v>
      </c>
      <c r="C6754" s="5" t="s">
        <v>10800</v>
      </c>
      <c r="D6754" s="5" t="s">
        <v>11720</v>
      </c>
      <c r="E6754" s="43">
        <v>1000</v>
      </c>
      <c r="F6754" s="43"/>
      <c r="G6754" s="48">
        <f t="shared" si="167"/>
        <v>133294.19354838668</v>
      </c>
      <c r="H6754" s="388" t="s">
        <v>9567</v>
      </c>
    </row>
    <row r="6755" spans="1:8" x14ac:dyDescent="0.3">
      <c r="A6755" s="503">
        <v>45125</v>
      </c>
      <c r="B6755" s="396" t="s">
        <v>12050</v>
      </c>
      <c r="C6755" s="5" t="s">
        <v>10800</v>
      </c>
      <c r="D6755" s="5" t="s">
        <v>11721</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12050</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11442</v>
      </c>
      <c r="C6759" s="5" t="s">
        <v>9126</v>
      </c>
      <c r="D6759" s="5" t="s">
        <v>11736</v>
      </c>
      <c r="E6759" s="43">
        <v>8000</v>
      </c>
      <c r="F6759" s="43"/>
      <c r="G6759" s="48">
        <f t="shared" si="167"/>
        <v>105874.19354838668</v>
      </c>
      <c r="H6759" s="388" t="s">
        <v>9567</v>
      </c>
    </row>
    <row r="6760" spans="1:8" x14ac:dyDescent="0.3">
      <c r="A6760" s="503">
        <v>45126</v>
      </c>
      <c r="B6760" s="396" t="s">
        <v>12050</v>
      </c>
      <c r="C6760" s="5" t="s">
        <v>5793</v>
      </c>
      <c r="D6760" s="5" t="s">
        <v>40</v>
      </c>
      <c r="E6760" s="43">
        <v>1200</v>
      </c>
      <c r="F6760" s="43"/>
      <c r="G6760" s="48">
        <f t="shared" si="167"/>
        <v>104674.19354838668</v>
      </c>
      <c r="H6760" s="388" t="s">
        <v>9567</v>
      </c>
    </row>
    <row r="6761" spans="1:8" x14ac:dyDescent="0.3">
      <c r="A6761" s="503">
        <v>45126</v>
      </c>
      <c r="B6761" s="396" t="s">
        <v>12047</v>
      </c>
      <c r="C6761" s="5" t="s">
        <v>5793</v>
      </c>
      <c r="D6761" s="5" t="s">
        <v>40</v>
      </c>
      <c r="E6761" s="43">
        <v>800</v>
      </c>
      <c r="F6761" s="43"/>
      <c r="G6761" s="48">
        <f t="shared" si="167"/>
        <v>103874.19354838668</v>
      </c>
      <c r="H6761" s="388" t="s">
        <v>9567</v>
      </c>
    </row>
    <row r="6762" spans="1:8" x14ac:dyDescent="0.3">
      <c r="A6762" s="503">
        <v>45126</v>
      </c>
      <c r="B6762" s="396" t="s">
        <v>12050</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11432</v>
      </c>
      <c r="C6764" s="5" t="s">
        <v>5156</v>
      </c>
      <c r="D6764" s="5" t="s">
        <v>11723</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11434</v>
      </c>
      <c r="E6766" s="43">
        <v>3000</v>
      </c>
      <c r="F6766" s="43"/>
      <c r="G6766" s="48">
        <f t="shared" si="167"/>
        <v>84774.193548386684</v>
      </c>
      <c r="H6766" s="388" t="s">
        <v>9567</v>
      </c>
    </row>
    <row r="6767" spans="1:8" x14ac:dyDescent="0.3">
      <c r="A6767" s="503">
        <v>45126</v>
      </c>
      <c r="B6767" s="396" t="s">
        <v>12045</v>
      </c>
      <c r="C6767" s="5" t="s">
        <v>5793</v>
      </c>
      <c r="D6767" s="5" t="s">
        <v>11724</v>
      </c>
      <c r="E6767" s="43">
        <v>3500</v>
      </c>
      <c r="F6767" s="43"/>
      <c r="G6767" s="48">
        <f t="shared" si="167"/>
        <v>81274.193548386684</v>
      </c>
      <c r="H6767" s="388" t="s">
        <v>9567</v>
      </c>
    </row>
    <row r="6768" spans="1:8" x14ac:dyDescent="0.3">
      <c r="A6768" s="503">
        <v>45126</v>
      </c>
      <c r="B6768" s="396" t="s">
        <v>12045</v>
      </c>
      <c r="C6768" s="5" t="s">
        <v>5793</v>
      </c>
      <c r="D6768" s="5" t="s">
        <v>11725</v>
      </c>
      <c r="E6768" s="43">
        <v>1000</v>
      </c>
      <c r="F6768" s="43"/>
      <c r="G6768" s="48">
        <f t="shared" si="167"/>
        <v>80274.193548386684</v>
      </c>
      <c r="H6768" s="388" t="s">
        <v>9567</v>
      </c>
    </row>
    <row r="6769" spans="1:8" x14ac:dyDescent="0.3">
      <c r="A6769" s="503">
        <v>45126</v>
      </c>
      <c r="B6769" s="396" t="s">
        <v>12045</v>
      </c>
      <c r="C6769" s="5" t="s">
        <v>9749</v>
      </c>
      <c r="D6769" s="5" t="s">
        <v>11722</v>
      </c>
      <c r="E6769" s="43">
        <v>2950</v>
      </c>
      <c r="F6769" s="43"/>
      <c r="G6769" s="48">
        <f t="shared" si="167"/>
        <v>77324.193548386684</v>
      </c>
      <c r="H6769" s="388" t="s">
        <v>9567</v>
      </c>
    </row>
    <row r="6770" spans="1:8" x14ac:dyDescent="0.3">
      <c r="A6770" s="503">
        <v>45126</v>
      </c>
      <c r="B6770" s="396" t="s">
        <v>12046</v>
      </c>
      <c r="C6770" s="5" t="s">
        <v>10800</v>
      </c>
      <c r="D6770" s="5" t="s">
        <v>11728</v>
      </c>
      <c r="E6770" s="43">
        <v>6000</v>
      </c>
      <c r="F6770" s="43"/>
      <c r="G6770" s="48">
        <f t="shared" si="167"/>
        <v>71324.193548386684</v>
      </c>
      <c r="H6770" s="388" t="s">
        <v>9567</v>
      </c>
    </row>
    <row r="6771" spans="1:8" x14ac:dyDescent="0.3">
      <c r="A6771" s="503">
        <v>45126</v>
      </c>
      <c r="B6771" s="396" t="s">
        <v>12046</v>
      </c>
      <c r="C6771" s="5" t="s">
        <v>9749</v>
      </c>
      <c r="D6771" s="5" t="s">
        <v>11729</v>
      </c>
      <c r="E6771" s="43">
        <v>4930</v>
      </c>
      <c r="F6771" s="43"/>
      <c r="G6771" s="48">
        <f t="shared" si="167"/>
        <v>66394.193548386684</v>
      </c>
      <c r="H6771" s="388" t="s">
        <v>9567</v>
      </c>
    </row>
    <row r="6772" spans="1:8" x14ac:dyDescent="0.3">
      <c r="A6772" s="503">
        <v>45126</v>
      </c>
      <c r="B6772" s="396" t="s">
        <v>12050</v>
      </c>
      <c r="C6772" s="5" t="s">
        <v>9749</v>
      </c>
      <c r="D6772" s="5" t="s">
        <v>11730</v>
      </c>
      <c r="E6772" s="43">
        <v>46840</v>
      </c>
      <c r="F6772" s="43"/>
      <c r="G6772" s="48">
        <f t="shared" si="167"/>
        <v>19554.193548386684</v>
      </c>
      <c r="H6772" s="388" t="s">
        <v>9567</v>
      </c>
    </row>
    <row r="6773" spans="1:8" x14ac:dyDescent="0.3">
      <c r="A6773" s="503">
        <v>45126</v>
      </c>
      <c r="B6773" s="396" t="s">
        <v>11731</v>
      </c>
      <c r="C6773" s="5" t="s">
        <v>9749</v>
      </c>
      <c r="D6773" s="5" t="s">
        <v>11732</v>
      </c>
      <c r="E6773" s="43">
        <v>12640</v>
      </c>
      <c r="F6773" s="43"/>
      <c r="G6773" s="48">
        <f t="shared" si="167"/>
        <v>6914.1935483866837</v>
      </c>
      <c r="H6773" s="388" t="s">
        <v>9567</v>
      </c>
    </row>
    <row r="6774" spans="1:8" x14ac:dyDescent="0.3">
      <c r="A6774" s="503">
        <v>45127</v>
      </c>
      <c r="B6774" s="565"/>
      <c r="C6774" s="480"/>
      <c r="D6774" s="491" t="s">
        <v>11397</v>
      </c>
      <c r="E6774" s="480"/>
      <c r="F6774" s="43">
        <v>500000</v>
      </c>
      <c r="G6774" s="48">
        <f t="shared" si="167"/>
        <v>506914.19354838668</v>
      </c>
      <c r="H6774" s="388" t="s">
        <v>9567</v>
      </c>
    </row>
    <row r="6775" spans="1:8" x14ac:dyDescent="0.3">
      <c r="A6775" s="503">
        <v>45127</v>
      </c>
      <c r="B6775" s="396" t="s">
        <v>12050</v>
      </c>
      <c r="C6775" s="5" t="s">
        <v>9749</v>
      </c>
      <c r="D6775" s="5" t="s">
        <v>11733</v>
      </c>
      <c r="E6775" s="43">
        <v>14400</v>
      </c>
      <c r="F6775" s="43"/>
      <c r="G6775" s="48">
        <f t="shared" si="167"/>
        <v>492514.19354838668</v>
      </c>
      <c r="H6775" s="388" t="s">
        <v>9567</v>
      </c>
    </row>
    <row r="6776" spans="1:8" x14ac:dyDescent="0.3">
      <c r="A6776" s="503">
        <v>45127</v>
      </c>
      <c r="B6776" s="396" t="s">
        <v>11505</v>
      </c>
      <c r="C6776" s="5" t="s">
        <v>9749</v>
      </c>
      <c r="D6776" s="5" t="s">
        <v>11734</v>
      </c>
      <c r="E6776" s="43">
        <v>800</v>
      </c>
      <c r="F6776" s="43"/>
      <c r="G6776" s="48">
        <f t="shared" si="167"/>
        <v>491714.19354838668</v>
      </c>
      <c r="H6776" s="388" t="s">
        <v>9567</v>
      </c>
    </row>
    <row r="6777" spans="1:8" x14ac:dyDescent="0.3">
      <c r="A6777" s="503">
        <v>45127</v>
      </c>
      <c r="B6777" s="396" t="s">
        <v>12045</v>
      </c>
      <c r="C6777" s="5" t="s">
        <v>9749</v>
      </c>
      <c r="D6777" s="5" t="s">
        <v>11735</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12050</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11727</v>
      </c>
      <c r="E6780" s="43">
        <v>25000</v>
      </c>
      <c r="F6780" s="43"/>
      <c r="G6780" s="48">
        <f t="shared" si="167"/>
        <v>465164.19354838668</v>
      </c>
      <c r="H6780" s="388" t="s">
        <v>9567</v>
      </c>
    </row>
    <row r="6781" spans="1:8" x14ac:dyDescent="0.3">
      <c r="A6781" s="503">
        <v>45127</v>
      </c>
      <c r="B6781" s="396" t="s">
        <v>11505</v>
      </c>
      <c r="C6781" s="5" t="s">
        <v>5793</v>
      </c>
      <c r="D6781" s="5" t="s">
        <v>40</v>
      </c>
      <c r="E6781" s="43">
        <v>1500</v>
      </c>
      <c r="F6781" s="43"/>
      <c r="G6781" s="48">
        <f t="shared" si="167"/>
        <v>463664.19354838668</v>
      </c>
      <c r="H6781" s="388" t="s">
        <v>9567</v>
      </c>
    </row>
    <row r="6782" spans="1:8" x14ac:dyDescent="0.3">
      <c r="A6782" s="503">
        <v>45127</v>
      </c>
      <c r="B6782" s="396" t="s">
        <v>11743</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11434</v>
      </c>
      <c r="E6783" s="43">
        <v>3000</v>
      </c>
      <c r="F6783" s="43"/>
      <c r="G6783" s="48">
        <f t="shared" si="168"/>
        <v>457164.19354838668</v>
      </c>
      <c r="H6783" s="388" t="s">
        <v>9567</v>
      </c>
    </row>
    <row r="6784" spans="1:8" x14ac:dyDescent="0.3">
      <c r="A6784" s="503">
        <v>45127</v>
      </c>
      <c r="B6784" s="565"/>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12050</v>
      </c>
      <c r="C6787" s="5" t="s">
        <v>9749</v>
      </c>
      <c r="D6787" s="5" t="s">
        <v>11737</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12048</v>
      </c>
      <c r="C6789" s="5" t="s">
        <v>10695</v>
      </c>
      <c r="D6789" s="5" t="s">
        <v>11738</v>
      </c>
      <c r="E6789" s="43">
        <v>25000</v>
      </c>
      <c r="F6789" s="43"/>
      <c r="G6789" s="48">
        <f t="shared" si="168"/>
        <v>1489474.1935483867</v>
      </c>
      <c r="H6789" s="388" t="s">
        <v>9567</v>
      </c>
    </row>
    <row r="6790" spans="1:8" x14ac:dyDescent="0.3">
      <c r="A6790" s="503">
        <v>45128</v>
      </c>
      <c r="B6790" s="396" t="s">
        <v>11743</v>
      </c>
      <c r="C6790" s="5" t="s">
        <v>10695</v>
      </c>
      <c r="D6790" s="5" t="s">
        <v>11738</v>
      </c>
      <c r="E6790" s="43">
        <v>25000</v>
      </c>
      <c r="F6790" s="43"/>
      <c r="G6790" s="48">
        <f t="shared" si="168"/>
        <v>1464474.1935483867</v>
      </c>
      <c r="H6790" s="388" t="s">
        <v>9567</v>
      </c>
    </row>
    <row r="6791" spans="1:8" x14ac:dyDescent="0.3">
      <c r="A6791" s="503">
        <v>45128</v>
      </c>
      <c r="B6791" s="396" t="s">
        <v>10601</v>
      </c>
      <c r="C6791" s="5" t="s">
        <v>5288</v>
      </c>
      <c r="D6791" s="5" t="s">
        <v>11739</v>
      </c>
      <c r="E6791" s="43">
        <v>50000</v>
      </c>
      <c r="F6791" s="43"/>
      <c r="G6791" s="48">
        <f t="shared" si="168"/>
        <v>1414474.1935483867</v>
      </c>
      <c r="H6791" s="388" t="s">
        <v>9567</v>
      </c>
    </row>
    <row r="6792" spans="1:8" x14ac:dyDescent="0.3">
      <c r="A6792" s="503">
        <v>45128</v>
      </c>
      <c r="B6792" s="396" t="s">
        <v>12133</v>
      </c>
      <c r="C6792" s="5" t="s">
        <v>8924</v>
      </c>
      <c r="D6792" s="5" t="s">
        <v>11741</v>
      </c>
      <c r="E6792" s="43">
        <v>300</v>
      </c>
      <c r="F6792" s="43"/>
      <c r="G6792" s="48">
        <f t="shared" si="168"/>
        <v>1414174.1935483867</v>
      </c>
      <c r="H6792" s="388" t="s">
        <v>9567</v>
      </c>
    </row>
    <row r="6793" spans="1:8" x14ac:dyDescent="0.3">
      <c r="A6793" s="503">
        <v>45128</v>
      </c>
      <c r="B6793" s="396" t="s">
        <v>11505</v>
      </c>
      <c r="C6793" s="5" t="s">
        <v>9749</v>
      </c>
      <c r="D6793" s="5" t="s">
        <v>11740</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11743</v>
      </c>
      <c r="C6795" s="5" t="s">
        <v>11742</v>
      </c>
      <c r="D6795" s="5" t="s">
        <v>11744</v>
      </c>
      <c r="E6795" s="43">
        <v>36000</v>
      </c>
      <c r="F6795" s="43"/>
      <c r="G6795" s="48">
        <f t="shared" si="168"/>
        <v>1345174.1935483867</v>
      </c>
      <c r="H6795" s="388" t="s">
        <v>9567</v>
      </c>
    </row>
    <row r="6796" spans="1:8" x14ac:dyDescent="0.3">
      <c r="A6796" s="503">
        <v>45129</v>
      </c>
      <c r="B6796" s="396" t="s">
        <v>11505</v>
      </c>
      <c r="C6796" s="5" t="s">
        <v>5793</v>
      </c>
      <c r="D6796" s="5" t="s">
        <v>40</v>
      </c>
      <c r="E6796" s="43">
        <v>1000</v>
      </c>
      <c r="F6796" s="43"/>
      <c r="G6796" s="48">
        <f t="shared" si="168"/>
        <v>1344174.1935483867</v>
      </c>
      <c r="H6796" s="388" t="s">
        <v>9567</v>
      </c>
    </row>
    <row r="6797" spans="1:8" x14ac:dyDescent="0.3">
      <c r="A6797" s="503">
        <v>45129</v>
      </c>
      <c r="B6797" s="396" t="s">
        <v>11505</v>
      </c>
      <c r="C6797" s="5" t="s">
        <v>11746</v>
      </c>
      <c r="D6797" s="5" t="s">
        <v>11747</v>
      </c>
      <c r="E6797" s="43">
        <v>94000</v>
      </c>
      <c r="F6797" s="43"/>
      <c r="G6797" s="48">
        <f t="shared" si="168"/>
        <v>1250174.1935483867</v>
      </c>
      <c r="H6797" s="388" t="s">
        <v>9567</v>
      </c>
    </row>
    <row r="6798" spans="1:8" x14ac:dyDescent="0.3">
      <c r="A6798" s="503">
        <v>45129</v>
      </c>
      <c r="B6798" s="396" t="s">
        <v>11505</v>
      </c>
      <c r="C6798" s="5" t="s">
        <v>11748</v>
      </c>
      <c r="D6798" s="5" t="s">
        <v>11749</v>
      </c>
      <c r="E6798" s="43">
        <v>44000</v>
      </c>
      <c r="F6798" s="43"/>
      <c r="G6798" s="48">
        <f t="shared" si="168"/>
        <v>1206174.1935483867</v>
      </c>
      <c r="H6798" s="388" t="s">
        <v>9567</v>
      </c>
    </row>
    <row r="6799" spans="1:8" x14ac:dyDescent="0.3">
      <c r="A6799" s="503">
        <v>45129</v>
      </c>
      <c r="B6799" s="396" t="s">
        <v>10319</v>
      </c>
      <c r="C6799" s="5" t="s">
        <v>5793</v>
      </c>
      <c r="D6799" s="5" t="s">
        <v>11750</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11743</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11751</v>
      </c>
      <c r="E6802" s="43">
        <v>5000</v>
      </c>
      <c r="F6802" s="43"/>
      <c r="G6802" s="48">
        <f t="shared" si="168"/>
        <v>1191174.1935483867</v>
      </c>
      <c r="H6802" s="388" t="s">
        <v>9567</v>
      </c>
    </row>
    <row r="6803" spans="1:8" x14ac:dyDescent="0.3">
      <c r="A6803" s="503">
        <v>45129</v>
      </c>
      <c r="B6803" s="396" t="s">
        <v>11505</v>
      </c>
      <c r="C6803" s="5" t="s">
        <v>2059</v>
      </c>
      <c r="D6803" s="5" t="s">
        <v>11752</v>
      </c>
      <c r="E6803" s="43">
        <v>77000</v>
      </c>
      <c r="F6803" s="43"/>
      <c r="G6803" s="48">
        <f t="shared" si="168"/>
        <v>1114174.1935483867</v>
      </c>
      <c r="H6803" s="388" t="s">
        <v>9567</v>
      </c>
    </row>
    <row r="6804" spans="1:8" x14ac:dyDescent="0.3">
      <c r="A6804" s="503">
        <v>45129</v>
      </c>
      <c r="B6804" s="396" t="s">
        <v>12046</v>
      </c>
      <c r="C6804" s="5" t="s">
        <v>11716</v>
      </c>
      <c r="D6804" s="5" t="s">
        <v>11753</v>
      </c>
      <c r="E6804" s="43">
        <v>1000</v>
      </c>
      <c r="F6804" s="43"/>
      <c r="G6804" s="48">
        <f t="shared" si="168"/>
        <v>1113174.1935483867</v>
      </c>
      <c r="H6804" s="388" t="s">
        <v>9567</v>
      </c>
    </row>
    <row r="6805" spans="1:8" x14ac:dyDescent="0.3">
      <c r="A6805" s="503">
        <v>45129</v>
      </c>
      <c r="B6805" s="396" t="s">
        <v>25</v>
      </c>
      <c r="C6805" s="5" t="s">
        <v>25</v>
      </c>
      <c r="D6805" s="5" t="s">
        <v>11434</v>
      </c>
      <c r="E6805" s="43">
        <v>2000</v>
      </c>
      <c r="F6805" s="43"/>
      <c r="G6805" s="48">
        <f t="shared" si="168"/>
        <v>1111174.1935483867</v>
      </c>
      <c r="H6805" s="388" t="s">
        <v>9567</v>
      </c>
    </row>
    <row r="6806" spans="1:8" x14ac:dyDescent="0.3">
      <c r="A6806" s="503">
        <v>45131</v>
      </c>
      <c r="B6806" s="396"/>
      <c r="C6806" s="5" t="s">
        <v>84</v>
      </c>
      <c r="D6806" s="5" t="s">
        <v>11754</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12046</v>
      </c>
      <c r="C6808" s="5" t="s">
        <v>9749</v>
      </c>
      <c r="D6808" s="5" t="s">
        <v>11755</v>
      </c>
      <c r="E6808" s="43">
        <v>110000</v>
      </c>
      <c r="F6808" s="43"/>
      <c r="G6808" s="48">
        <f t="shared" si="168"/>
        <v>994174.19354838668</v>
      </c>
      <c r="H6808" s="388" t="s">
        <v>9567</v>
      </c>
    </row>
    <row r="6809" spans="1:8" x14ac:dyDescent="0.3">
      <c r="A6809" s="503">
        <v>45131</v>
      </c>
      <c r="B6809" s="396" t="s">
        <v>11442</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12044</v>
      </c>
      <c r="C6811" s="5" t="s">
        <v>11756</v>
      </c>
      <c r="D6811" s="5" t="s">
        <v>11757</v>
      </c>
      <c r="E6811" s="43">
        <v>200000</v>
      </c>
      <c r="F6811" s="43"/>
      <c r="G6811" s="48">
        <f t="shared" si="168"/>
        <v>773774.19354838668</v>
      </c>
      <c r="H6811" s="388" t="s">
        <v>9567</v>
      </c>
    </row>
    <row r="6812" spans="1:8" x14ac:dyDescent="0.3">
      <c r="A6812" s="503">
        <v>45131</v>
      </c>
      <c r="B6812" s="396" t="s">
        <v>12134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11442</v>
      </c>
      <c r="C6814" s="5" t="s">
        <v>9126</v>
      </c>
      <c r="D6814" s="5" t="s">
        <v>11758</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11723</v>
      </c>
      <c r="E6816" s="43">
        <v>10000</v>
      </c>
      <c r="F6816" s="43"/>
      <c r="G6816" s="48">
        <f t="shared" si="168"/>
        <v>613084.19354838668</v>
      </c>
      <c r="H6816" s="388" t="s">
        <v>9567</v>
      </c>
    </row>
    <row r="6817" spans="1:8" x14ac:dyDescent="0.3">
      <c r="A6817" s="503">
        <v>45131</v>
      </c>
      <c r="B6817" s="396" t="s">
        <v>11046</v>
      </c>
      <c r="C6817" s="5" t="s">
        <v>8928</v>
      </c>
      <c r="D6817" s="5" t="s">
        <v>11759</v>
      </c>
      <c r="E6817" s="43">
        <v>20000</v>
      </c>
      <c r="F6817" s="43"/>
      <c r="G6817" s="48">
        <f t="shared" si="168"/>
        <v>593084.19354838668</v>
      </c>
      <c r="H6817" s="388" t="s">
        <v>9567</v>
      </c>
    </row>
    <row r="6818" spans="1:8" x14ac:dyDescent="0.3">
      <c r="A6818" s="503">
        <v>45131</v>
      </c>
      <c r="B6818" s="396" t="s">
        <v>10601</v>
      </c>
      <c r="C6818" s="5" t="s">
        <v>6430</v>
      </c>
      <c r="D6818" s="5" t="s">
        <v>11760</v>
      </c>
      <c r="E6818" s="43">
        <v>5000</v>
      </c>
      <c r="F6818" s="43"/>
      <c r="G6818" s="48">
        <f t="shared" si="168"/>
        <v>588084.19354838668</v>
      </c>
      <c r="H6818" s="388" t="s">
        <v>9567</v>
      </c>
    </row>
    <row r="6819" spans="1:8" x14ac:dyDescent="0.3">
      <c r="A6819" s="503">
        <v>45131</v>
      </c>
      <c r="B6819" s="396" t="s">
        <v>10601</v>
      </c>
      <c r="C6819" s="5" t="s">
        <v>84</v>
      </c>
      <c r="D6819" s="5" t="s">
        <v>11761</v>
      </c>
      <c r="E6819" s="43">
        <v>2000</v>
      </c>
      <c r="F6819" s="43"/>
      <c r="G6819" s="241">
        <f t="shared" si="168"/>
        <v>586084.19354838668</v>
      </c>
      <c r="H6819" s="388" t="s">
        <v>9567</v>
      </c>
    </row>
    <row r="6820" spans="1:8" x14ac:dyDescent="0.3">
      <c r="A6820" s="503">
        <v>45131</v>
      </c>
      <c r="B6820" s="396" t="s">
        <v>10601</v>
      </c>
      <c r="C6820" s="5" t="s">
        <v>84</v>
      </c>
      <c r="D6820" s="5" t="s">
        <v>11762</v>
      </c>
      <c r="E6820" s="43">
        <v>2000</v>
      </c>
      <c r="F6820" s="43"/>
      <c r="G6820" s="48">
        <f t="shared" si="168"/>
        <v>584084.19354838668</v>
      </c>
      <c r="H6820" s="388" t="s">
        <v>9567</v>
      </c>
    </row>
    <row r="6821" spans="1:8" x14ac:dyDescent="0.3">
      <c r="A6821" s="503">
        <v>45131</v>
      </c>
      <c r="B6821" s="396" t="s">
        <v>25</v>
      </c>
      <c r="C6821" s="5" t="s">
        <v>25</v>
      </c>
      <c r="D6821" s="5" t="s">
        <v>11434</v>
      </c>
      <c r="E6821" s="43">
        <v>2000</v>
      </c>
      <c r="F6821" s="43"/>
      <c r="G6821" s="48">
        <f t="shared" si="168"/>
        <v>582084.19354838668</v>
      </c>
      <c r="H6821" s="388" t="s">
        <v>9567</v>
      </c>
    </row>
    <row r="6822" spans="1:8" x14ac:dyDescent="0.3">
      <c r="A6822" s="503">
        <v>45131</v>
      </c>
      <c r="B6822" s="396" t="s">
        <v>11442</v>
      </c>
      <c r="C6822" s="5" t="s">
        <v>4550</v>
      </c>
      <c r="D6822" s="5" t="s">
        <v>11763</v>
      </c>
      <c r="E6822" s="43">
        <v>50000</v>
      </c>
      <c r="F6822" s="43"/>
      <c r="G6822" s="48">
        <f t="shared" si="168"/>
        <v>532084.19354838668</v>
      </c>
      <c r="H6822" s="388" t="s">
        <v>9567</v>
      </c>
    </row>
    <row r="6823" spans="1:8" x14ac:dyDescent="0.3">
      <c r="A6823" s="503">
        <v>45131</v>
      </c>
      <c r="B6823" s="396" t="s">
        <v>11743</v>
      </c>
      <c r="C6823" s="5" t="s">
        <v>9749</v>
      </c>
      <c r="D6823" s="5" t="s">
        <v>11764</v>
      </c>
      <c r="E6823" s="43">
        <v>4350</v>
      </c>
      <c r="F6823" s="43"/>
      <c r="G6823" s="48">
        <f t="shared" ref="G6823:G6857" si="169">G6822+F6823-E6823</f>
        <v>527734.19354838668</v>
      </c>
      <c r="H6823" s="388" t="s">
        <v>9567</v>
      </c>
    </row>
    <row r="6824" spans="1:8" x14ac:dyDescent="0.3">
      <c r="A6824" s="503">
        <v>45131</v>
      </c>
      <c r="B6824" s="396" t="s">
        <v>12049</v>
      </c>
      <c r="C6824" s="5" t="s">
        <v>10800</v>
      </c>
      <c r="D6824" s="5" t="s">
        <v>11719</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11505</v>
      </c>
      <c r="C6826" s="5" t="s">
        <v>5793</v>
      </c>
      <c r="D6826" s="5" t="s">
        <v>40</v>
      </c>
      <c r="E6826" s="43">
        <v>2000</v>
      </c>
      <c r="F6826" s="43"/>
      <c r="G6826" s="48">
        <f t="shared" si="169"/>
        <v>249114.19354838668</v>
      </c>
      <c r="H6826" s="388" t="s">
        <v>9567</v>
      </c>
    </row>
    <row r="6827" spans="1:8" x14ac:dyDescent="0.3">
      <c r="A6827" s="503">
        <v>45131</v>
      </c>
      <c r="B6827" s="396" t="s">
        <v>12049</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5"/>
      <c r="C6829" s="480"/>
      <c r="D6829" s="491" t="s">
        <v>11765</v>
      </c>
      <c r="E6829" s="480"/>
      <c r="F6829" s="43">
        <v>10000</v>
      </c>
      <c r="G6829" s="48">
        <f t="shared" si="169"/>
        <v>257514.19354838668</v>
      </c>
      <c r="H6829" s="388" t="s">
        <v>9567</v>
      </c>
    </row>
    <row r="6830" spans="1:8" x14ac:dyDescent="0.3">
      <c r="A6830" s="503">
        <v>45132</v>
      </c>
      <c r="B6830" s="396" t="s">
        <v>12049</v>
      </c>
      <c r="C6830" s="5" t="s">
        <v>4550</v>
      </c>
      <c r="D6830" s="5" t="s">
        <v>11766</v>
      </c>
      <c r="E6830" s="43">
        <v>50000</v>
      </c>
      <c r="F6830" s="43"/>
      <c r="G6830" s="48">
        <f t="shared" si="169"/>
        <v>207514.19354838668</v>
      </c>
      <c r="H6830" s="388" t="s">
        <v>9567</v>
      </c>
    </row>
    <row r="6831" spans="1:8" x14ac:dyDescent="0.3">
      <c r="A6831" s="503">
        <v>45132</v>
      </c>
      <c r="B6831" s="396" t="s">
        <v>6481</v>
      </c>
      <c r="C6831" s="5" t="s">
        <v>84</v>
      </c>
      <c r="D6831" s="5" t="s">
        <v>11767</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12046</v>
      </c>
      <c r="C6834" s="5" t="s">
        <v>9126</v>
      </c>
      <c r="D6834" s="5" t="s">
        <v>11768</v>
      </c>
      <c r="E6834" s="43">
        <v>100000</v>
      </c>
      <c r="F6834" s="43"/>
      <c r="G6834" s="48">
        <f t="shared" si="169"/>
        <v>98014.193548386684</v>
      </c>
      <c r="H6834" s="388" t="s">
        <v>9567</v>
      </c>
    </row>
    <row r="6835" spans="1:8" x14ac:dyDescent="0.3">
      <c r="A6835" s="503">
        <v>45132</v>
      </c>
      <c r="B6835" s="396" t="s">
        <v>12046</v>
      </c>
      <c r="C6835" s="5" t="s">
        <v>9749</v>
      </c>
      <c r="D6835" s="5" t="s">
        <v>11769</v>
      </c>
      <c r="E6835" s="43">
        <v>2850</v>
      </c>
      <c r="F6835" s="43"/>
      <c r="G6835" s="48">
        <f t="shared" si="169"/>
        <v>95164.193548386684</v>
      </c>
      <c r="H6835" s="388" t="s">
        <v>9567</v>
      </c>
    </row>
    <row r="6836" spans="1:8" x14ac:dyDescent="0.3">
      <c r="A6836" s="503">
        <v>45132</v>
      </c>
      <c r="B6836" s="396" t="s">
        <v>12135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11773</v>
      </c>
      <c r="E6837" s="43">
        <v>42500</v>
      </c>
      <c r="F6837" s="43"/>
      <c r="G6837" s="48">
        <f t="shared" si="169"/>
        <v>42664.193548386684</v>
      </c>
      <c r="H6837" s="388" t="s">
        <v>9567</v>
      </c>
    </row>
    <row r="6838" spans="1:8" x14ac:dyDescent="0.3">
      <c r="A6838" s="503">
        <v>45132</v>
      </c>
      <c r="B6838" s="396" t="s">
        <v>10319</v>
      </c>
      <c r="C6838" s="5" t="s">
        <v>10800</v>
      </c>
      <c r="D6838" s="5" t="s">
        <v>11774</v>
      </c>
      <c r="E6838" s="43">
        <v>24000</v>
      </c>
      <c r="F6838" s="43"/>
      <c r="G6838" s="48">
        <f t="shared" si="169"/>
        <v>18664.193548386684</v>
      </c>
      <c r="H6838" s="388" t="s">
        <v>9567</v>
      </c>
    </row>
    <row r="6839" spans="1:8" x14ac:dyDescent="0.3">
      <c r="A6839" s="503">
        <v>45132</v>
      </c>
      <c r="B6839" s="396" t="s">
        <v>11505</v>
      </c>
      <c r="C6839" s="5" t="s">
        <v>10800</v>
      </c>
      <c r="D6839" s="5" t="s">
        <v>11775</v>
      </c>
      <c r="E6839" s="43">
        <v>2000</v>
      </c>
      <c r="F6839" s="43"/>
      <c r="G6839" s="48">
        <f t="shared" si="169"/>
        <v>16664.193548386684</v>
      </c>
      <c r="H6839" s="388" t="s">
        <v>9567</v>
      </c>
    </row>
    <row r="6840" spans="1:8" x14ac:dyDescent="0.3">
      <c r="A6840" s="503">
        <v>45132</v>
      </c>
      <c r="B6840" s="396"/>
      <c r="C6840" s="5" t="s">
        <v>25</v>
      </c>
      <c r="D6840" s="5" t="s">
        <v>11776</v>
      </c>
      <c r="E6840" s="43">
        <v>250</v>
      </c>
      <c r="F6840" s="43"/>
      <c r="G6840" s="48">
        <f t="shared" si="169"/>
        <v>16414.193548386684</v>
      </c>
      <c r="H6840" s="388" t="s">
        <v>9567</v>
      </c>
    </row>
    <row r="6841" spans="1:8" x14ac:dyDescent="0.3">
      <c r="A6841" s="503">
        <v>45132</v>
      </c>
      <c r="B6841" s="396" t="s">
        <v>11505</v>
      </c>
      <c r="C6841" s="5" t="s">
        <v>30</v>
      </c>
      <c r="D6841" s="5" t="s">
        <v>11777</v>
      </c>
      <c r="E6841" s="43">
        <v>300</v>
      </c>
      <c r="F6841" s="43"/>
      <c r="G6841" s="48">
        <f t="shared" si="169"/>
        <v>16114.193548386684</v>
      </c>
      <c r="H6841" s="388" t="s">
        <v>9567</v>
      </c>
    </row>
    <row r="6842" spans="1:8" x14ac:dyDescent="0.3">
      <c r="A6842" s="503">
        <v>45132</v>
      </c>
      <c r="B6842" s="396" t="s">
        <v>11505</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11778</v>
      </c>
      <c r="E6843" s="43">
        <v>4600</v>
      </c>
      <c r="F6843" s="43"/>
      <c r="G6843" s="48">
        <f t="shared" si="169"/>
        <v>10714.193548386684</v>
      </c>
      <c r="H6843" s="388" t="s">
        <v>9567</v>
      </c>
    </row>
    <row r="6844" spans="1:8" x14ac:dyDescent="0.3">
      <c r="A6844" s="503">
        <v>45132</v>
      </c>
      <c r="B6844" s="396" t="s">
        <v>25</v>
      </c>
      <c r="C6844" s="5" t="s">
        <v>25</v>
      </c>
      <c r="D6844" s="5" t="s">
        <v>11434</v>
      </c>
      <c r="E6844" s="43">
        <v>2000</v>
      </c>
      <c r="F6844" s="43"/>
      <c r="G6844" s="48">
        <f t="shared" si="169"/>
        <v>8714.1935483866837</v>
      </c>
      <c r="H6844" s="388" t="s">
        <v>9567</v>
      </c>
    </row>
    <row r="6845" spans="1:8" x14ac:dyDescent="0.3">
      <c r="A6845" s="503">
        <v>45133</v>
      </c>
      <c r="B6845" s="396" t="s">
        <v>12046</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11780</v>
      </c>
      <c r="E6846" s="43">
        <v>3000</v>
      </c>
      <c r="F6846" s="43"/>
      <c r="G6846" s="48">
        <f t="shared" si="169"/>
        <v>4514.1935483866837</v>
      </c>
      <c r="H6846" s="388" t="s">
        <v>9567</v>
      </c>
    </row>
    <row r="6847" spans="1:8" x14ac:dyDescent="0.3">
      <c r="A6847" s="503">
        <v>45133</v>
      </c>
      <c r="B6847" s="565"/>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5"/>
      <c r="C6849" s="480"/>
      <c r="D6849" s="491" t="s">
        <v>11781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11782</v>
      </c>
      <c r="E6851" s="43">
        <v>10000</v>
      </c>
      <c r="F6851" s="43"/>
      <c r="G6851" s="48">
        <f t="shared" si="169"/>
        <v>195114.19354838668</v>
      </c>
      <c r="H6851" s="388" t="s">
        <v>9567</v>
      </c>
    </row>
    <row r="6852" spans="1:8" x14ac:dyDescent="0.3">
      <c r="A6852" s="503">
        <v>45133</v>
      </c>
      <c r="B6852" s="342" t="s">
        <v>12053</v>
      </c>
      <c r="C6852" s="5" t="s">
        <v>10800</v>
      </c>
      <c r="D6852" s="5" t="s">
        <v>11784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11505</v>
      </c>
      <c r="C6854" s="5" t="s">
        <v>11785</v>
      </c>
      <c r="D6854" s="5" t="s">
        <v>11786</v>
      </c>
      <c r="E6854" s="43">
        <v>1000</v>
      </c>
      <c r="F6854" s="43"/>
      <c r="G6854" s="48">
        <f t="shared" si="169"/>
        <v>176394.19354838668</v>
      </c>
      <c r="H6854" s="388" t="s">
        <v>9567</v>
      </c>
    </row>
    <row r="6855" spans="1:8" x14ac:dyDescent="0.3">
      <c r="A6855" s="503">
        <v>45134</v>
      </c>
      <c r="B6855" s="396" t="s">
        <v>12048</v>
      </c>
      <c r="C6855" s="5" t="s">
        <v>10800</v>
      </c>
      <c r="D6855" s="5" t="s">
        <v>11787</v>
      </c>
      <c r="E6855" s="43">
        <v>5600</v>
      </c>
      <c r="F6855" s="43"/>
      <c r="G6855" s="48">
        <f t="shared" si="169"/>
        <v>170794.19354838668</v>
      </c>
      <c r="H6855" s="388" t="s">
        <v>9567</v>
      </c>
    </row>
    <row r="6856" spans="1:8" x14ac:dyDescent="0.3">
      <c r="A6856" s="503">
        <v>45134</v>
      </c>
      <c r="B6856" s="396" t="s">
        <v>12134</v>
      </c>
      <c r="C6856" s="5" t="s">
        <v>11788</v>
      </c>
      <c r="D6856" s="5" t="s">
        <v>11789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12133</v>
      </c>
      <c r="C6858" s="5" t="s">
        <v>9451</v>
      </c>
      <c r="D6858" s="5" t="s">
        <v>11790</v>
      </c>
      <c r="E6858" s="43">
        <v>6000</v>
      </c>
      <c r="F6858" s="43"/>
      <c r="G6858" s="48">
        <f t="shared" ref="G6858:G6904" si="170">G6857+F6858-E6858</f>
        <v>140124.19354838668</v>
      </c>
      <c r="H6858" s="388" t="s">
        <v>9567</v>
      </c>
    </row>
    <row r="6859" spans="1:8" x14ac:dyDescent="0.3">
      <c r="A6859" s="503">
        <v>45134</v>
      </c>
      <c r="B6859" s="396" t="s">
        <v>11791</v>
      </c>
      <c r="C6859" s="5" t="s">
        <v>84</v>
      </c>
      <c r="D6859" s="5" t="s">
        <v>11792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12047</v>
      </c>
      <c r="C6861" s="5" t="s">
        <v>5288</v>
      </c>
      <c r="D6861" s="5" t="s">
        <v>11794</v>
      </c>
      <c r="E6861" s="43">
        <v>118000</v>
      </c>
      <c r="F6861" s="43"/>
      <c r="G6861" s="48">
        <f t="shared" si="170"/>
        <v>16624.193548386684</v>
      </c>
      <c r="H6861" s="388" t="s">
        <v>9567</v>
      </c>
    </row>
    <row r="6862" spans="1:8" x14ac:dyDescent="0.3">
      <c r="A6862" s="503">
        <v>45134</v>
      </c>
      <c r="B6862" s="396" t="s">
        <v>11505</v>
      </c>
      <c r="C6862" s="5" t="s">
        <v>5793</v>
      </c>
      <c r="D6862" s="5" t="s">
        <v>40</v>
      </c>
      <c r="E6862" s="43">
        <v>600</v>
      </c>
      <c r="F6862" s="43"/>
      <c r="G6862" s="48">
        <f t="shared" si="170"/>
        <v>16024.193548386684</v>
      </c>
      <c r="H6862" s="388" t="s">
        <v>9567</v>
      </c>
    </row>
    <row r="6863" spans="1:8" x14ac:dyDescent="0.3">
      <c r="A6863" s="503">
        <v>45134</v>
      </c>
      <c r="B6863" s="396" t="s">
        <v>11743</v>
      </c>
      <c r="C6863" s="5" t="s">
        <v>5793</v>
      </c>
      <c r="D6863" s="5" t="s">
        <v>40</v>
      </c>
      <c r="E6863" s="43">
        <v>600</v>
      </c>
      <c r="F6863" s="43"/>
      <c r="G6863" s="48">
        <f t="shared" si="170"/>
        <v>15424.193548386684</v>
      </c>
      <c r="H6863" s="388" t="s">
        <v>9567</v>
      </c>
    </row>
    <row r="6864" spans="1:8" x14ac:dyDescent="0.3">
      <c r="A6864" s="503">
        <v>45134</v>
      </c>
      <c r="B6864" s="396" t="s">
        <v>12046</v>
      </c>
      <c r="C6864" s="5" t="s">
        <v>11716</v>
      </c>
      <c r="D6864" s="5" t="s">
        <v>11795</v>
      </c>
      <c r="E6864" s="43">
        <v>1500</v>
      </c>
      <c r="F6864" s="43"/>
      <c r="G6864" s="48">
        <f t="shared" si="170"/>
        <v>13924.193548386684</v>
      </c>
      <c r="H6864" s="388" t="s">
        <v>9567</v>
      </c>
    </row>
    <row r="6865" spans="1:8" x14ac:dyDescent="0.3">
      <c r="A6865" s="503">
        <v>45138</v>
      </c>
      <c r="B6865" s="396" t="s">
        <v>12046</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11434</v>
      </c>
      <c r="E6867" s="43">
        <v>2000</v>
      </c>
      <c r="F6867" s="43"/>
      <c r="G6867" s="48">
        <f t="shared" si="170"/>
        <v>9674.1935483866837</v>
      </c>
      <c r="H6867" s="388" t="s">
        <v>9567</v>
      </c>
    </row>
    <row r="6868" spans="1:8" x14ac:dyDescent="0.3">
      <c r="A6868" s="503">
        <v>45138</v>
      </c>
      <c r="B6868" s="565"/>
      <c r="C6868" s="480"/>
      <c r="D6868" s="491" t="s">
        <v>4106</v>
      </c>
      <c r="E6868" s="480"/>
      <c r="F6868" s="43">
        <v>275000</v>
      </c>
      <c r="G6868" s="48">
        <f t="shared" si="170"/>
        <v>284674.19354838668</v>
      </c>
      <c r="H6868" s="388" t="s">
        <v>9567</v>
      </c>
    </row>
    <row r="6869" spans="1:8" x14ac:dyDescent="0.3">
      <c r="A6869" s="503">
        <v>45138</v>
      </c>
      <c r="B6869" s="396" t="s">
        <v>12045</v>
      </c>
      <c r="C6869" s="5" t="s">
        <v>9749</v>
      </c>
      <c r="D6869" s="5" t="s">
        <v>4342</v>
      </c>
      <c r="E6869" s="43">
        <v>30724</v>
      </c>
      <c r="F6869" s="43"/>
      <c r="G6869" s="48">
        <f t="shared" si="170"/>
        <v>253950.19354838668</v>
      </c>
      <c r="H6869" s="388" t="s">
        <v>9567</v>
      </c>
    </row>
    <row r="6870" spans="1:8" x14ac:dyDescent="0.3">
      <c r="A6870" s="503">
        <v>45138</v>
      </c>
      <c r="B6870" s="396" t="s">
        <v>11505</v>
      </c>
      <c r="C6870" s="5" t="s">
        <v>9749</v>
      </c>
      <c r="D6870" s="5" t="s">
        <v>4342</v>
      </c>
      <c r="E6870" s="43">
        <v>6350</v>
      </c>
      <c r="F6870" s="43"/>
      <c r="G6870" s="48">
        <f t="shared" si="170"/>
        <v>247600.19354838668</v>
      </c>
      <c r="H6870" s="388" t="s">
        <v>9567</v>
      </c>
    </row>
    <row r="6871" spans="1:8" x14ac:dyDescent="0.3">
      <c r="A6871" s="503">
        <v>45138</v>
      </c>
      <c r="B6871" s="396" t="s">
        <v>12047</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12050</v>
      </c>
      <c r="C6873" s="5" t="s">
        <v>10800</v>
      </c>
      <c r="D6873" s="5" t="s">
        <v>11798</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12045</v>
      </c>
      <c r="C6875" s="5" t="s">
        <v>10695</v>
      </c>
      <c r="D6875" s="5" t="s">
        <v>11800</v>
      </c>
      <c r="E6875" s="43">
        <v>15000</v>
      </c>
      <c r="F6875" s="43"/>
      <c r="G6875" s="48">
        <f t="shared" si="170"/>
        <v>203710.19354838668</v>
      </c>
      <c r="H6875" s="388" t="s">
        <v>9567</v>
      </c>
    </row>
    <row r="6876" spans="1:8" x14ac:dyDescent="0.3">
      <c r="A6876" s="503">
        <v>45138</v>
      </c>
      <c r="B6876" s="396" t="s">
        <v>10852</v>
      </c>
      <c r="C6876" s="5" t="s">
        <v>116</v>
      </c>
      <c r="D6876" s="5" t="s">
        <v>11801</v>
      </c>
      <c r="E6876" s="43">
        <v>10000</v>
      </c>
      <c r="F6876" s="43"/>
      <c r="G6876" s="48">
        <f t="shared" si="170"/>
        <v>193710.19354838668</v>
      </c>
      <c r="H6876" s="388" t="s">
        <v>9567</v>
      </c>
    </row>
    <row r="6877" spans="1:8" x14ac:dyDescent="0.3">
      <c r="A6877" s="503">
        <v>45138</v>
      </c>
      <c r="B6877" s="396" t="s">
        <v>12045</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11802</v>
      </c>
      <c r="E6878" s="43">
        <v>10000</v>
      </c>
      <c r="F6878" s="43"/>
      <c r="G6878" s="48">
        <f t="shared" si="170"/>
        <v>182310.19354838668</v>
      </c>
      <c r="H6878" s="388" t="s">
        <v>9567</v>
      </c>
    </row>
    <row r="6879" spans="1:8" x14ac:dyDescent="0.3">
      <c r="A6879" s="503">
        <v>45138</v>
      </c>
      <c r="B6879" s="396" t="s">
        <v>25</v>
      </c>
      <c r="C6879" s="5" t="s">
        <v>5482</v>
      </c>
      <c r="D6879" s="5" t="s">
        <v>11782</v>
      </c>
      <c r="E6879" s="43">
        <v>10000</v>
      </c>
      <c r="F6879" s="43"/>
      <c r="G6879" s="48">
        <f t="shared" si="170"/>
        <v>172310.19354838668</v>
      </c>
      <c r="H6879" s="388" t="s">
        <v>9567</v>
      </c>
    </row>
    <row r="6880" spans="1:8" x14ac:dyDescent="0.3">
      <c r="A6880" s="503">
        <v>45138</v>
      </c>
      <c r="B6880" s="396" t="s">
        <v>12046</v>
      </c>
      <c r="C6880" s="5" t="s">
        <v>11716</v>
      </c>
      <c r="D6880" s="5" t="s">
        <v>11803</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11743</v>
      </c>
      <c r="C6882" s="5" t="s">
        <v>9749</v>
      </c>
      <c r="D6882" s="5" t="s">
        <v>11805</v>
      </c>
      <c r="E6882" s="43">
        <v>2940</v>
      </c>
      <c r="F6882" s="43"/>
      <c r="G6882" s="48">
        <f t="shared" si="170"/>
        <v>163870.19354838668</v>
      </c>
      <c r="H6882" s="388" t="s">
        <v>9567</v>
      </c>
    </row>
    <row r="6883" spans="1:8" x14ac:dyDescent="0.3">
      <c r="A6883" s="503">
        <v>45139</v>
      </c>
      <c r="B6883" s="396" t="s">
        <v>11743</v>
      </c>
      <c r="C6883" s="5" t="s">
        <v>9524</v>
      </c>
      <c r="D6883" s="5" t="s">
        <v>2013</v>
      </c>
      <c r="E6883" s="43">
        <v>2800</v>
      </c>
      <c r="F6883" s="43"/>
      <c r="G6883" s="48">
        <f t="shared" si="170"/>
        <v>161070.19354838668</v>
      </c>
      <c r="H6883" s="388" t="s">
        <v>9567</v>
      </c>
    </row>
    <row r="6884" spans="1:8" x14ac:dyDescent="0.3">
      <c r="A6884" s="503">
        <v>45139</v>
      </c>
      <c r="B6884" s="396" t="s">
        <v>11505</v>
      </c>
      <c r="C6884" s="5" t="s">
        <v>11807</v>
      </c>
      <c r="D6884" s="5" t="s">
        <v>11806</v>
      </c>
      <c r="E6884" s="43">
        <v>70000</v>
      </c>
      <c r="F6884" s="43"/>
      <c r="G6884" s="48">
        <f t="shared" si="170"/>
        <v>91070.193548386684</v>
      </c>
      <c r="H6884" s="388" t="s">
        <v>9567</v>
      </c>
    </row>
    <row r="6885" spans="1:8" x14ac:dyDescent="0.3">
      <c r="A6885" s="503">
        <v>45139</v>
      </c>
      <c r="B6885" s="396" t="s">
        <v>11743</v>
      </c>
      <c r="C6885" s="5" t="s">
        <v>5793</v>
      </c>
      <c r="D6885" s="5" t="s">
        <v>40</v>
      </c>
      <c r="E6885" s="43">
        <v>350</v>
      </c>
      <c r="F6885" s="43"/>
      <c r="G6885" s="48">
        <f t="shared" si="170"/>
        <v>90720.193548386684</v>
      </c>
      <c r="H6885" s="388" t="s">
        <v>9567</v>
      </c>
    </row>
    <row r="6886" spans="1:8" x14ac:dyDescent="0.3">
      <c r="A6886" s="503">
        <v>45139</v>
      </c>
      <c r="B6886" s="396" t="s">
        <v>5482</v>
      </c>
      <c r="C6886" s="5" t="s">
        <v>11716</v>
      </c>
      <c r="D6886" s="5" t="s">
        <v>5398</v>
      </c>
      <c r="E6886" s="43">
        <v>4000</v>
      </c>
      <c r="F6886" s="43"/>
      <c r="G6886" s="48">
        <f t="shared" si="170"/>
        <v>86720.193548386684</v>
      </c>
      <c r="H6886" s="388" t="s">
        <v>9567</v>
      </c>
    </row>
    <row r="6887" spans="1:8" x14ac:dyDescent="0.3">
      <c r="A6887" s="503">
        <v>45139</v>
      </c>
      <c r="B6887" s="396" t="s">
        <v>25</v>
      </c>
      <c r="C6887" s="5" t="s">
        <v>25</v>
      </c>
      <c r="D6887" s="5" t="s">
        <v>11434</v>
      </c>
      <c r="E6887" s="43">
        <v>2000</v>
      </c>
      <c r="F6887" s="43"/>
      <c r="G6887" s="48">
        <f t="shared" si="170"/>
        <v>84720.193548386684</v>
      </c>
      <c r="H6887" s="388" t="s">
        <v>9567</v>
      </c>
    </row>
    <row r="6888" spans="1:8" x14ac:dyDescent="0.3">
      <c r="A6888" s="503">
        <v>45139</v>
      </c>
      <c r="B6888" s="396" t="s">
        <v>12045</v>
      </c>
      <c r="C6888" s="5" t="s">
        <v>5793</v>
      </c>
      <c r="D6888" s="5" t="s">
        <v>40</v>
      </c>
      <c r="E6888" s="43">
        <v>3500</v>
      </c>
      <c r="F6888" s="43"/>
      <c r="G6888" s="48">
        <f t="shared" si="170"/>
        <v>81220.193548386684</v>
      </c>
      <c r="H6888" s="388" t="s">
        <v>9567</v>
      </c>
    </row>
    <row r="6889" spans="1:8" x14ac:dyDescent="0.3">
      <c r="A6889" s="503">
        <v>45139</v>
      </c>
      <c r="B6889" s="396" t="s">
        <v>12044</v>
      </c>
      <c r="C6889" s="5" t="s">
        <v>25</v>
      </c>
      <c r="D6889" s="5" t="s">
        <v>11809</v>
      </c>
      <c r="E6889" s="43">
        <v>150</v>
      </c>
      <c r="F6889" s="43"/>
      <c r="G6889" s="48">
        <f t="shared" si="170"/>
        <v>81070.193548386684</v>
      </c>
      <c r="H6889" s="388" t="s">
        <v>9567</v>
      </c>
    </row>
    <row r="6890" spans="1:8" x14ac:dyDescent="0.3">
      <c r="A6890" s="503">
        <v>45139</v>
      </c>
      <c r="B6890" s="396" t="s">
        <v>12046</v>
      </c>
      <c r="C6890" s="5" t="s">
        <v>5162</v>
      </c>
      <c r="D6890" s="5" t="s">
        <v>294</v>
      </c>
      <c r="E6890" s="43">
        <v>2000</v>
      </c>
      <c r="F6890" s="43"/>
      <c r="G6890" s="48">
        <f t="shared" si="170"/>
        <v>79070.193548386684</v>
      </c>
      <c r="H6890" s="388" t="s">
        <v>9567</v>
      </c>
    </row>
    <row r="6891" spans="1:8" x14ac:dyDescent="0.3">
      <c r="A6891" s="503">
        <v>45139</v>
      </c>
      <c r="B6891" s="396" t="s">
        <v>12134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12047</v>
      </c>
      <c r="C6894" s="5" t="s">
        <v>5793</v>
      </c>
      <c r="D6894" s="5" t="s">
        <v>40</v>
      </c>
      <c r="E6894" s="43">
        <v>350</v>
      </c>
      <c r="F6894" s="43"/>
      <c r="G6894" s="48">
        <f t="shared" si="170"/>
        <v>78060.193548386684</v>
      </c>
      <c r="H6894" s="388" t="s">
        <v>9567</v>
      </c>
    </row>
    <row r="6895" spans="1:8" x14ac:dyDescent="0.3">
      <c r="A6895" s="503">
        <v>45140</v>
      </c>
      <c r="B6895" s="396" t="s">
        <v>11743</v>
      </c>
      <c r="C6895" s="5" t="s">
        <v>9749</v>
      </c>
      <c r="D6895" s="5" t="s">
        <v>11810</v>
      </c>
      <c r="E6895" s="43">
        <v>975</v>
      </c>
      <c r="F6895" s="43"/>
      <c r="G6895" s="48">
        <f t="shared" si="170"/>
        <v>77085.193548386684</v>
      </c>
      <c r="H6895" s="388" t="s">
        <v>9567</v>
      </c>
    </row>
    <row r="6896" spans="1:8" x14ac:dyDescent="0.3">
      <c r="A6896" s="503">
        <v>45140</v>
      </c>
      <c r="B6896" s="396"/>
      <c r="C6896" s="5" t="s">
        <v>25</v>
      </c>
      <c r="D6896" s="5" t="s">
        <v>11811</v>
      </c>
      <c r="E6896" s="43">
        <v>1000</v>
      </c>
      <c r="F6896" s="43"/>
      <c r="G6896" s="48">
        <f t="shared" si="170"/>
        <v>76085.193548386684</v>
      </c>
      <c r="H6896" s="388" t="s">
        <v>9567</v>
      </c>
    </row>
    <row r="6897" spans="1:8" x14ac:dyDescent="0.3">
      <c r="A6897" s="503">
        <v>45140</v>
      </c>
      <c r="B6897" s="396" t="s">
        <v>12050</v>
      </c>
      <c r="C6897" s="5" t="s">
        <v>5793</v>
      </c>
      <c r="D6897" s="5" t="s">
        <v>11812</v>
      </c>
      <c r="E6897" s="43">
        <v>7890</v>
      </c>
      <c r="F6897" s="43"/>
      <c r="G6897" s="48">
        <f t="shared" si="170"/>
        <v>68195.193548386684</v>
      </c>
      <c r="H6897" s="388" t="s">
        <v>9567</v>
      </c>
    </row>
    <row r="6898" spans="1:8" x14ac:dyDescent="0.3">
      <c r="A6898" s="503">
        <v>45140</v>
      </c>
      <c r="B6898" s="396" t="s">
        <v>12047</v>
      </c>
      <c r="C6898" s="5" t="s">
        <v>9749</v>
      </c>
      <c r="D6898" s="5" t="s">
        <v>4342</v>
      </c>
      <c r="E6898" s="43">
        <v>9450</v>
      </c>
      <c r="F6898" s="43"/>
      <c r="G6898" s="48">
        <f t="shared" si="170"/>
        <v>58745.193548386684</v>
      </c>
      <c r="H6898" s="388" t="s">
        <v>9567</v>
      </c>
    </row>
    <row r="6899" spans="1:8" x14ac:dyDescent="0.3">
      <c r="A6899" s="503">
        <v>45140</v>
      </c>
      <c r="B6899" s="396" t="s">
        <v>12045</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11434</v>
      </c>
      <c r="E6900" s="43">
        <v>2000</v>
      </c>
      <c r="F6900" s="43"/>
      <c r="G6900" s="48">
        <f t="shared" si="170"/>
        <v>54445.193548386684</v>
      </c>
      <c r="H6900" s="388" t="s">
        <v>9567</v>
      </c>
    </row>
    <row r="6901" spans="1:8" x14ac:dyDescent="0.3">
      <c r="A6901" s="503">
        <v>45140</v>
      </c>
      <c r="B6901" s="565"/>
      <c r="C6901" s="480"/>
      <c r="D6901" s="491" t="s">
        <v>11814</v>
      </c>
      <c r="E6901" s="480"/>
      <c r="F6901" s="43">
        <v>22000</v>
      </c>
      <c r="G6901" s="48">
        <f t="shared" si="170"/>
        <v>76445.193548386684</v>
      </c>
      <c r="H6901" s="388" t="s">
        <v>9567</v>
      </c>
    </row>
    <row r="6902" spans="1:8" x14ac:dyDescent="0.3">
      <c r="A6902" s="503">
        <v>45140</v>
      </c>
      <c r="B6902" s="396" t="s">
        <v>12047</v>
      </c>
      <c r="C6902" s="5" t="s">
        <v>4737</v>
      </c>
      <c r="D6902" s="5" t="s">
        <v>10994</v>
      </c>
      <c r="E6902" s="43">
        <v>40000</v>
      </c>
      <c r="F6902" s="43"/>
      <c r="G6902" s="48">
        <f t="shared" si="170"/>
        <v>36445.193548386684</v>
      </c>
      <c r="H6902" s="388" t="s">
        <v>9567</v>
      </c>
    </row>
    <row r="6903" spans="1:8" x14ac:dyDescent="0.3">
      <c r="A6903" s="503">
        <v>45140</v>
      </c>
      <c r="B6903" s="528"/>
      <c r="C6903" s="206" t="s">
        <v>8928</v>
      </c>
      <c r="D6903" s="206" t="s">
        <v>11815</v>
      </c>
      <c r="E6903" s="529">
        <v>5000</v>
      </c>
      <c r="F6903" s="43"/>
      <c r="G6903" s="48">
        <f t="shared" si="170"/>
        <v>31445.193548386684</v>
      </c>
      <c r="H6903" s="388" t="s">
        <v>9567</v>
      </c>
    </row>
    <row r="6904" spans="1:8" x14ac:dyDescent="0.3">
      <c r="A6904" s="503">
        <v>45140</v>
      </c>
      <c r="B6904" s="396" t="s">
        <v>12045</v>
      </c>
      <c r="C6904" s="5" t="s">
        <v>5793</v>
      </c>
      <c r="D6904" s="5" t="s">
        <v>40</v>
      </c>
      <c r="E6904" s="43">
        <v>800</v>
      </c>
      <c r="F6904" s="43"/>
      <c r="G6904" s="48">
        <f t="shared" si="170"/>
        <v>30645.193548386684</v>
      </c>
      <c r="H6904" s="388" t="s">
        <v>9567</v>
      </c>
    </row>
    <row r="6905" spans="1:8" x14ac:dyDescent="0.3">
      <c r="A6905" s="503">
        <v>45140</v>
      </c>
      <c r="B6905" s="396" t="s">
        <v>12050</v>
      </c>
      <c r="C6905" s="5" t="s">
        <v>5793</v>
      </c>
      <c r="D6905" s="5" t="s">
        <v>40</v>
      </c>
      <c r="E6905" s="43">
        <v>1700</v>
      </c>
      <c r="F6905" s="43"/>
      <c r="G6905" s="48">
        <f t="shared" ref="G6905:G6971" si="171">G6904+F6905-E6905</f>
        <v>28945.193548386684</v>
      </c>
      <c r="H6905" s="388" t="s">
        <v>9567</v>
      </c>
    </row>
    <row r="6906" spans="1:8" x14ac:dyDescent="0.3">
      <c r="A6906" s="503">
        <v>45140</v>
      </c>
      <c r="B6906" s="396" t="s">
        <v>11743</v>
      </c>
      <c r="C6906" s="5" t="s">
        <v>10800</v>
      </c>
      <c r="D6906" s="5" t="s">
        <v>11817</v>
      </c>
      <c r="E6906" s="43">
        <v>800</v>
      </c>
      <c r="F6906" s="43"/>
      <c r="G6906" s="48">
        <f t="shared" si="171"/>
        <v>28145.193548386684</v>
      </c>
      <c r="H6906" s="388" t="s">
        <v>9567</v>
      </c>
    </row>
    <row r="6907" spans="1:8" x14ac:dyDescent="0.3">
      <c r="A6907" s="503">
        <v>45140</v>
      </c>
      <c r="B6907" s="396" t="s">
        <v>12133</v>
      </c>
      <c r="C6907" s="5" t="s">
        <v>30</v>
      </c>
      <c r="D6907" s="5" t="s">
        <v>2013</v>
      </c>
      <c r="E6907" s="43">
        <v>250</v>
      </c>
      <c r="F6907" s="43"/>
      <c r="G6907" s="48">
        <f t="shared" si="171"/>
        <v>27895.193548386684</v>
      </c>
      <c r="H6907" s="388" t="s">
        <v>9567</v>
      </c>
    </row>
    <row r="6908" spans="1:8" x14ac:dyDescent="0.3">
      <c r="A6908" s="503">
        <v>45140</v>
      </c>
      <c r="B6908" s="396" t="s">
        <v>12047</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11818</v>
      </c>
      <c r="E6909" s="43">
        <v>5000</v>
      </c>
      <c r="F6909" s="43"/>
      <c r="G6909" s="48">
        <f t="shared" si="171"/>
        <v>22595.193548386684</v>
      </c>
      <c r="H6909" s="388" t="s">
        <v>9567</v>
      </c>
    </row>
    <row r="6910" spans="1:8" x14ac:dyDescent="0.3">
      <c r="A6910" s="503">
        <v>45140</v>
      </c>
      <c r="B6910" s="396"/>
      <c r="C6910" s="5" t="s">
        <v>84</v>
      </c>
      <c r="D6910" s="5" t="s">
        <v>11820</v>
      </c>
      <c r="E6910" s="43">
        <v>1000</v>
      </c>
      <c r="F6910" s="43"/>
      <c r="G6910" s="48">
        <f t="shared" si="171"/>
        <v>21595.193548386684</v>
      </c>
      <c r="H6910" s="388" t="s">
        <v>9567</v>
      </c>
    </row>
    <row r="6911" spans="1:8" x14ac:dyDescent="0.3">
      <c r="A6911" s="503">
        <v>45140</v>
      </c>
      <c r="B6911" s="396" t="s">
        <v>11505</v>
      </c>
      <c r="C6911" s="5" t="s">
        <v>5793</v>
      </c>
      <c r="D6911" s="5" t="s">
        <v>8924</v>
      </c>
      <c r="E6911" s="43">
        <v>500</v>
      </c>
      <c r="F6911" s="43"/>
      <c r="G6911" s="48">
        <f t="shared" si="171"/>
        <v>21095.193548386684</v>
      </c>
      <c r="H6911" s="388" t="s">
        <v>9567</v>
      </c>
    </row>
    <row r="6912" spans="1:8" x14ac:dyDescent="0.3">
      <c r="A6912" s="503">
        <v>45140</v>
      </c>
      <c r="B6912" s="396" t="s">
        <v>11505</v>
      </c>
      <c r="C6912" s="5" t="s">
        <v>11821</v>
      </c>
      <c r="D6912" s="5" t="s">
        <v>11822</v>
      </c>
      <c r="E6912" s="43">
        <v>1000</v>
      </c>
      <c r="F6912" s="43"/>
      <c r="G6912" s="48">
        <f t="shared" si="171"/>
        <v>20095.193548386684</v>
      </c>
      <c r="H6912" s="388" t="s">
        <v>9567</v>
      </c>
    </row>
    <row r="6913" spans="1:8" x14ac:dyDescent="0.3">
      <c r="A6913" s="503">
        <v>45141</v>
      </c>
      <c r="B6913" s="396"/>
      <c r="C6913" s="5" t="s">
        <v>14</v>
      </c>
      <c r="D6913" s="5" t="s">
        <v>11823</v>
      </c>
      <c r="E6913" s="43">
        <v>1000</v>
      </c>
      <c r="F6913" s="43"/>
      <c r="G6913" s="48">
        <f t="shared" si="171"/>
        <v>19095.193548386684</v>
      </c>
      <c r="H6913" s="388" t="s">
        <v>9567</v>
      </c>
    </row>
    <row r="6914" spans="1:8" x14ac:dyDescent="0.3">
      <c r="A6914" s="503">
        <v>45141</v>
      </c>
      <c r="B6914" s="396" t="s">
        <v>11743</v>
      </c>
      <c r="C6914" s="5" t="s">
        <v>5793</v>
      </c>
      <c r="D6914" s="5" t="s">
        <v>40</v>
      </c>
      <c r="E6914" s="43">
        <v>1700</v>
      </c>
      <c r="F6914" s="43"/>
      <c r="G6914" s="48">
        <f t="shared" si="171"/>
        <v>17395.193548386684</v>
      </c>
      <c r="H6914" s="388" t="s">
        <v>9567</v>
      </c>
    </row>
    <row r="6915" spans="1:8" x14ac:dyDescent="0.3">
      <c r="A6915" s="503">
        <v>45141</v>
      </c>
      <c r="B6915" s="396" t="s">
        <v>12044</v>
      </c>
      <c r="C6915" s="5" t="s">
        <v>9794</v>
      </c>
      <c r="D6915" s="5" t="s">
        <v>40</v>
      </c>
      <c r="E6915" s="43">
        <v>3420</v>
      </c>
      <c r="F6915" s="43"/>
      <c r="G6915" s="48">
        <f t="shared" si="171"/>
        <v>13975.193548386684</v>
      </c>
      <c r="H6915" s="388" t="s">
        <v>9567</v>
      </c>
    </row>
    <row r="6916" spans="1:8" x14ac:dyDescent="0.3">
      <c r="A6916" s="503">
        <v>45141</v>
      </c>
      <c r="B6916" s="565"/>
      <c r="C6916" s="480"/>
      <c r="D6916" s="491" t="s">
        <v>4106</v>
      </c>
      <c r="E6916" s="480"/>
      <c r="F6916" s="43">
        <v>150000</v>
      </c>
      <c r="G6916" s="48">
        <f t="shared" si="171"/>
        <v>163975.19354838668</v>
      </c>
      <c r="H6916" s="388" t="s">
        <v>9567</v>
      </c>
    </row>
    <row r="6917" spans="1:8" x14ac:dyDescent="0.3">
      <c r="A6917" s="503">
        <v>45141</v>
      </c>
      <c r="B6917" s="396" t="s">
        <v>10601</v>
      </c>
      <c r="C6917" s="530" t="s">
        <v>7418</v>
      </c>
      <c r="D6917" s="530" t="s">
        <v>3767</v>
      </c>
      <c r="E6917" s="531">
        <v>74516</v>
      </c>
      <c r="F6917" s="43"/>
      <c r="G6917" s="48">
        <f t="shared" si="171"/>
        <v>89459.193548386684</v>
      </c>
      <c r="H6917" s="388" t="s">
        <v>9567</v>
      </c>
    </row>
    <row r="6918" spans="1:8" x14ac:dyDescent="0.3">
      <c r="A6918" s="503">
        <v>45141</v>
      </c>
      <c r="B6918" s="396" t="s">
        <v>11505</v>
      </c>
      <c r="C6918" s="5" t="s">
        <v>9749</v>
      </c>
      <c r="D6918" s="5" t="s">
        <v>11824</v>
      </c>
      <c r="E6918" s="43">
        <v>5464</v>
      </c>
      <c r="F6918" s="43"/>
      <c r="G6918" s="48">
        <f t="shared" si="171"/>
        <v>83995.193548386684</v>
      </c>
      <c r="H6918" s="388" t="s">
        <v>9567</v>
      </c>
    </row>
    <row r="6919" spans="1:8" x14ac:dyDescent="0.3">
      <c r="A6919" s="503">
        <v>45141</v>
      </c>
      <c r="B6919" s="396" t="s">
        <v>12047</v>
      </c>
      <c r="C6919" s="5" t="s">
        <v>9643</v>
      </c>
      <c r="D6919" s="5" t="s">
        <v>11540</v>
      </c>
      <c r="E6919" s="43">
        <v>50000</v>
      </c>
      <c r="F6919" s="43"/>
      <c r="G6919" s="48">
        <f t="shared" si="171"/>
        <v>33995.193548386684</v>
      </c>
      <c r="H6919" s="388" t="s">
        <v>9567</v>
      </c>
    </row>
    <row r="6920" spans="1:8" x14ac:dyDescent="0.3">
      <c r="A6920" s="503">
        <v>45141</v>
      </c>
      <c r="B6920" s="396" t="s">
        <v>12047</v>
      </c>
      <c r="C6920" s="5" t="s">
        <v>30</v>
      </c>
      <c r="D6920" s="5" t="s">
        <v>40</v>
      </c>
      <c r="E6920" s="43">
        <v>900</v>
      </c>
      <c r="F6920" s="43"/>
      <c r="G6920" s="48">
        <f t="shared" si="171"/>
        <v>33095.193548386684</v>
      </c>
      <c r="H6920" s="388" t="s">
        <v>9567</v>
      </c>
    </row>
    <row r="6921" spans="1:8" x14ac:dyDescent="0.3">
      <c r="A6921" s="503">
        <v>45141</v>
      </c>
      <c r="B6921" s="396" t="s">
        <v>11743</v>
      </c>
      <c r="C6921" s="5" t="s">
        <v>10800</v>
      </c>
      <c r="D6921" s="5" t="s">
        <v>11825</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11829</v>
      </c>
      <c r="E6923" s="43">
        <v>9500</v>
      </c>
      <c r="F6923" s="43"/>
      <c r="G6923" s="48">
        <f t="shared" si="171"/>
        <v>595.19354838668369</v>
      </c>
      <c r="H6923" s="388" t="s">
        <v>9567</v>
      </c>
    </row>
    <row r="6924" spans="1:8" x14ac:dyDescent="0.3">
      <c r="A6924" s="503">
        <v>45141</v>
      </c>
      <c r="B6924" s="565"/>
      <c r="C6924" s="480"/>
      <c r="D6924" s="491" t="s">
        <v>11831</v>
      </c>
      <c r="E6924" s="480"/>
      <c r="F6924" s="43">
        <v>2000</v>
      </c>
      <c r="G6924" s="48">
        <f t="shared" si="171"/>
        <v>2595.1935483866837</v>
      </c>
      <c r="H6924" s="388" t="s">
        <v>9567</v>
      </c>
    </row>
    <row r="6925" spans="1:8" x14ac:dyDescent="0.3">
      <c r="A6925" s="503">
        <v>45141</v>
      </c>
      <c r="B6925" s="396" t="s">
        <v>25</v>
      </c>
      <c r="C6925" s="5" t="s">
        <v>9749</v>
      </c>
      <c r="D6925" s="5" t="s">
        <v>11830</v>
      </c>
      <c r="E6925" s="43">
        <v>2500</v>
      </c>
      <c r="F6925" s="43"/>
      <c r="G6925" s="48">
        <f t="shared" si="171"/>
        <v>95.193548386683688</v>
      </c>
      <c r="H6925" s="388" t="s">
        <v>9567</v>
      </c>
    </row>
    <row r="6926" spans="1:8" x14ac:dyDescent="0.3">
      <c r="A6926" s="503">
        <v>45142</v>
      </c>
      <c r="B6926" s="565"/>
      <c r="C6926" s="480"/>
      <c r="D6926" s="491" t="s">
        <v>11827</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11434</v>
      </c>
      <c r="E6929" s="43">
        <v>3000</v>
      </c>
      <c r="F6929" s="43"/>
      <c r="G6929" s="48">
        <f t="shared" si="171"/>
        <v>285095.19354838668</v>
      </c>
      <c r="H6929" s="388" t="s">
        <v>9567</v>
      </c>
    </row>
    <row r="6930" spans="1:8" x14ac:dyDescent="0.3">
      <c r="A6930" s="503">
        <v>45142</v>
      </c>
      <c r="B6930" s="396" t="s">
        <v>12044</v>
      </c>
      <c r="C6930" s="5" t="s">
        <v>9794</v>
      </c>
      <c r="D6930" s="5" t="s">
        <v>40</v>
      </c>
      <c r="E6930" s="43">
        <v>3000</v>
      </c>
      <c r="F6930" s="43"/>
      <c r="G6930" s="48">
        <f t="shared" si="171"/>
        <v>282095.19354838668</v>
      </c>
      <c r="H6930" s="388" t="s">
        <v>9567</v>
      </c>
    </row>
    <row r="6931" spans="1:8" x14ac:dyDescent="0.3">
      <c r="A6931" s="503">
        <v>45142</v>
      </c>
      <c r="B6931" s="396" t="s">
        <v>12047</v>
      </c>
      <c r="C6931" s="5" t="s">
        <v>10800</v>
      </c>
      <c r="D6931" s="5" t="s">
        <v>11837</v>
      </c>
      <c r="E6931" s="43">
        <v>42000</v>
      </c>
      <c r="F6931" s="43"/>
      <c r="G6931" s="48">
        <f t="shared" si="171"/>
        <v>240095.19354838668</v>
      </c>
      <c r="H6931" s="388" t="s">
        <v>9567</v>
      </c>
    </row>
    <row r="6932" spans="1:8" x14ac:dyDescent="0.3">
      <c r="A6932" s="503">
        <v>45142</v>
      </c>
      <c r="B6932" s="396" t="s">
        <v>12050</v>
      </c>
      <c r="C6932" s="5" t="s">
        <v>10800</v>
      </c>
      <c r="D6932" s="5" t="s">
        <v>11838</v>
      </c>
      <c r="E6932" s="43">
        <v>11105</v>
      </c>
      <c r="F6932" s="43"/>
      <c r="G6932" s="48">
        <f t="shared" si="171"/>
        <v>228990.19354838668</v>
      </c>
      <c r="H6932" s="388" t="s">
        <v>9567</v>
      </c>
    </row>
    <row r="6933" spans="1:8" x14ac:dyDescent="0.3">
      <c r="A6933" s="503">
        <v>45142</v>
      </c>
      <c r="B6933" s="396" t="s">
        <v>10319</v>
      </c>
      <c r="C6933" s="5" t="s">
        <v>5793</v>
      </c>
      <c r="D6933" s="5" t="s">
        <v>11841</v>
      </c>
      <c r="E6933" s="43">
        <v>3400</v>
      </c>
      <c r="F6933" s="43"/>
      <c r="G6933" s="48">
        <f t="shared" si="171"/>
        <v>225590.19354838668</v>
      </c>
      <c r="H6933" s="388" t="s">
        <v>9567</v>
      </c>
    </row>
    <row r="6934" spans="1:8" x14ac:dyDescent="0.3">
      <c r="A6934" s="503">
        <v>45142</v>
      </c>
      <c r="B6934" s="396" t="s">
        <v>11505</v>
      </c>
      <c r="C6934" s="5" t="s">
        <v>9749</v>
      </c>
      <c r="D6934" s="5" t="s">
        <v>11842</v>
      </c>
      <c r="E6934" s="65">
        <f>91400+56875</f>
        <v>148275</v>
      </c>
      <c r="F6934" s="43"/>
      <c r="G6934" s="48">
        <f t="shared" si="171"/>
        <v>77315.193548386684</v>
      </c>
      <c r="H6934" s="388" t="s">
        <v>9567</v>
      </c>
    </row>
    <row r="6935" spans="1:8" x14ac:dyDescent="0.3">
      <c r="A6935" s="503">
        <v>45142</v>
      </c>
      <c r="B6935" s="396" t="s">
        <v>11505</v>
      </c>
      <c r="C6935" s="5" t="s">
        <v>5793</v>
      </c>
      <c r="D6935" s="5" t="s">
        <v>40</v>
      </c>
      <c r="E6935" s="65">
        <v>1000</v>
      </c>
      <c r="F6935" s="43"/>
      <c r="G6935" s="48">
        <f t="shared" si="171"/>
        <v>76315.193548386684</v>
      </c>
      <c r="H6935" s="388" t="s">
        <v>9567</v>
      </c>
    </row>
    <row r="6936" spans="1:8" x14ac:dyDescent="0.3">
      <c r="A6936" s="503">
        <v>45142</v>
      </c>
      <c r="B6936" s="396" t="s">
        <v>12050</v>
      </c>
      <c r="C6936" s="5" t="s">
        <v>11832</v>
      </c>
      <c r="D6936" s="5" t="s">
        <v>11833</v>
      </c>
      <c r="E6936" s="43">
        <v>60000</v>
      </c>
      <c r="F6936" s="43"/>
      <c r="G6936" s="48">
        <f t="shared" si="171"/>
        <v>16315.193548386684</v>
      </c>
      <c r="H6936" s="388" t="s">
        <v>9567</v>
      </c>
    </row>
    <row r="6937" spans="1:8" x14ac:dyDescent="0.3">
      <c r="A6937" s="503">
        <v>45142</v>
      </c>
      <c r="B6937" s="396" t="s">
        <v>12135</v>
      </c>
      <c r="C6937" s="5" t="s">
        <v>5979</v>
      </c>
      <c r="D6937" s="5" t="s">
        <v>11834</v>
      </c>
      <c r="E6937" s="43">
        <v>10000</v>
      </c>
      <c r="F6937" s="43"/>
      <c r="G6937" s="48">
        <f t="shared" si="171"/>
        <v>6315.1935483866837</v>
      </c>
      <c r="H6937" s="388" t="s">
        <v>9567</v>
      </c>
    </row>
    <row r="6938" spans="1:8" x14ac:dyDescent="0.3">
      <c r="A6938" s="503">
        <v>45142</v>
      </c>
      <c r="B6938" s="396" t="s">
        <v>11743</v>
      </c>
      <c r="C6938" s="5" t="s">
        <v>5793</v>
      </c>
      <c r="D6938" s="5" t="s">
        <v>11839</v>
      </c>
      <c r="E6938" s="43">
        <v>1200</v>
      </c>
      <c r="F6938" s="43"/>
      <c r="G6938" s="48">
        <f t="shared" si="171"/>
        <v>5115.1935483866837</v>
      </c>
      <c r="H6938" s="388" t="s">
        <v>9567</v>
      </c>
    </row>
    <row r="6939" spans="1:8" x14ac:dyDescent="0.3">
      <c r="A6939" s="503">
        <v>45142</v>
      </c>
      <c r="B6939" s="396" t="s">
        <v>12046</v>
      </c>
      <c r="C6939" s="5" t="s">
        <v>10800</v>
      </c>
      <c r="D6939" s="5" t="s">
        <v>11840</v>
      </c>
      <c r="E6939" s="43">
        <v>800</v>
      </c>
      <c r="F6939" s="43"/>
      <c r="G6939" s="48">
        <f t="shared" si="171"/>
        <v>4315.1935483866837</v>
      </c>
      <c r="H6939" s="388" t="s">
        <v>9567</v>
      </c>
    </row>
    <row r="6940" spans="1:8" x14ac:dyDescent="0.3">
      <c r="A6940" s="503">
        <v>45143</v>
      </c>
      <c r="B6940" s="396" t="s">
        <v>12050</v>
      </c>
      <c r="C6940" s="5" t="s">
        <v>10800</v>
      </c>
      <c r="D6940" s="5" t="s">
        <v>2013</v>
      </c>
      <c r="E6940" s="43">
        <v>200</v>
      </c>
      <c r="F6940" s="43"/>
      <c r="G6940" s="48">
        <f t="shared" si="171"/>
        <v>4115.1935483866837</v>
      </c>
      <c r="H6940" s="388" t="s">
        <v>9567</v>
      </c>
    </row>
    <row r="6941" spans="1:8" x14ac:dyDescent="0.3">
      <c r="A6941" s="503">
        <v>45143</v>
      </c>
      <c r="B6941" s="396" t="s">
        <v>11505</v>
      </c>
      <c r="C6941" s="5" t="s">
        <v>5793</v>
      </c>
      <c r="D6941" s="5" t="s">
        <v>2013</v>
      </c>
      <c r="E6941" s="43">
        <v>500</v>
      </c>
      <c r="F6941" s="43"/>
      <c r="G6941" s="48">
        <f t="shared" si="171"/>
        <v>3615.1935483866837</v>
      </c>
      <c r="H6941" s="388" t="s">
        <v>9567</v>
      </c>
    </row>
    <row r="6942" spans="1:8" x14ac:dyDescent="0.3">
      <c r="A6942" s="503">
        <v>45143</v>
      </c>
      <c r="B6942" s="396" t="s">
        <v>11505</v>
      </c>
      <c r="C6942" s="5" t="s">
        <v>5793</v>
      </c>
      <c r="D6942" s="5" t="s">
        <v>8924</v>
      </c>
      <c r="E6942" s="43">
        <v>250</v>
      </c>
      <c r="F6942" s="43"/>
      <c r="G6942" s="48">
        <f t="shared" si="171"/>
        <v>3365.1935483866837</v>
      </c>
      <c r="H6942" s="388" t="s">
        <v>9567</v>
      </c>
    </row>
    <row r="6943" spans="1:8" x14ac:dyDescent="0.3">
      <c r="A6943" s="503">
        <v>45145</v>
      </c>
      <c r="B6943" s="565"/>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11844</v>
      </c>
      <c r="C6945" s="5" t="s">
        <v>9524</v>
      </c>
      <c r="D6945" s="5" t="s">
        <v>11845</v>
      </c>
      <c r="E6945" s="43">
        <v>570</v>
      </c>
      <c r="F6945" s="43"/>
      <c r="G6945" s="48">
        <f t="shared" si="171"/>
        <v>837465.19354838668</v>
      </c>
      <c r="H6945" s="388" t="s">
        <v>9567</v>
      </c>
    </row>
    <row r="6946" spans="1:8" x14ac:dyDescent="0.3">
      <c r="A6946" s="503">
        <v>45145</v>
      </c>
      <c r="B6946" s="396" t="s">
        <v>12133</v>
      </c>
      <c r="C6946" s="5" t="s">
        <v>10800</v>
      </c>
      <c r="D6946" s="5" t="s">
        <v>11846</v>
      </c>
      <c r="E6946" s="43">
        <v>2000</v>
      </c>
      <c r="F6946" s="43"/>
      <c r="G6946" s="48">
        <f t="shared" si="171"/>
        <v>835465.19354838668</v>
      </c>
      <c r="H6946" s="388" t="s">
        <v>9567</v>
      </c>
    </row>
    <row r="6947" spans="1:8" x14ac:dyDescent="0.3">
      <c r="A6947" s="503">
        <v>45145</v>
      </c>
      <c r="B6947" s="396" t="s">
        <v>12135</v>
      </c>
      <c r="C6947" s="5" t="s">
        <v>4550</v>
      </c>
      <c r="D6947" s="5" t="s">
        <v>11847</v>
      </c>
      <c r="E6947" s="43">
        <v>50000</v>
      </c>
      <c r="F6947" s="43"/>
      <c r="G6947" s="48">
        <f t="shared" si="171"/>
        <v>785465.19354838668</v>
      </c>
      <c r="H6947" s="388" t="s">
        <v>9567</v>
      </c>
    </row>
    <row r="6948" spans="1:8" x14ac:dyDescent="0.3">
      <c r="A6948" s="503">
        <v>45145</v>
      </c>
      <c r="B6948" s="396" t="s">
        <v>6481</v>
      </c>
      <c r="C6948" s="5" t="s">
        <v>11848</v>
      </c>
      <c r="D6948" s="5" t="s">
        <v>11849</v>
      </c>
      <c r="E6948" s="43">
        <v>22000</v>
      </c>
      <c r="F6948" s="43"/>
      <c r="G6948" s="48">
        <f t="shared" si="171"/>
        <v>763465.19354838668</v>
      </c>
      <c r="H6948" s="388" t="s">
        <v>9567</v>
      </c>
    </row>
    <row r="6949" spans="1:8" x14ac:dyDescent="0.3">
      <c r="A6949" s="503">
        <v>45145</v>
      </c>
      <c r="B6949" s="396" t="s">
        <v>10852</v>
      </c>
      <c r="C6949" s="5" t="s">
        <v>116</v>
      </c>
      <c r="D6949" s="5" t="s">
        <v>11850</v>
      </c>
      <c r="E6949" s="43">
        <v>10000</v>
      </c>
      <c r="F6949" s="43"/>
      <c r="G6949" s="48">
        <f t="shared" si="171"/>
        <v>753465.19354838668</v>
      </c>
      <c r="H6949" s="388" t="s">
        <v>9567</v>
      </c>
    </row>
    <row r="6950" spans="1:8" x14ac:dyDescent="0.3">
      <c r="A6950" s="503">
        <v>45145</v>
      </c>
      <c r="B6950" s="396"/>
      <c r="C6950" s="5" t="s">
        <v>11851</v>
      </c>
      <c r="D6950" s="5" t="s">
        <v>11852</v>
      </c>
      <c r="E6950" s="43">
        <v>3500</v>
      </c>
      <c r="F6950" s="43"/>
      <c r="G6950" s="48">
        <f t="shared" si="171"/>
        <v>749965.19354838668</v>
      </c>
      <c r="H6950" s="388" t="s">
        <v>9567</v>
      </c>
    </row>
    <row r="6951" spans="1:8" x14ac:dyDescent="0.3">
      <c r="A6951" s="503">
        <v>45145</v>
      </c>
      <c r="B6951" s="396" t="s">
        <v>25</v>
      </c>
      <c r="C6951" s="5" t="s">
        <v>25</v>
      </c>
      <c r="D6951" s="5" t="s">
        <v>11434</v>
      </c>
      <c r="E6951" s="43">
        <v>3500</v>
      </c>
      <c r="F6951" s="43"/>
      <c r="G6951" s="48">
        <f t="shared" si="171"/>
        <v>746465.19354838668</v>
      </c>
      <c r="H6951" s="388" t="s">
        <v>9567</v>
      </c>
    </row>
    <row r="6952" spans="1:8" x14ac:dyDescent="0.3">
      <c r="A6952" s="503">
        <v>45145</v>
      </c>
      <c r="B6952" s="396" t="s">
        <v>11505</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11505</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11856</v>
      </c>
      <c r="E6958" s="43">
        <v>3000</v>
      </c>
      <c r="F6958" s="43"/>
      <c r="G6958" s="48">
        <f t="shared" si="171"/>
        <v>586975.67741935444</v>
      </c>
      <c r="H6958" s="388" t="s">
        <v>9567</v>
      </c>
    </row>
    <row r="6959" spans="1:8" x14ac:dyDescent="0.3">
      <c r="A6959" s="503">
        <v>45145</v>
      </c>
      <c r="B6959" s="396" t="s">
        <v>5933</v>
      </c>
      <c r="C6959" s="5" t="s">
        <v>30</v>
      </c>
      <c r="D6959" s="5" t="s">
        <v>11866</v>
      </c>
      <c r="E6959" s="43">
        <v>200</v>
      </c>
      <c r="F6959" s="43"/>
      <c r="G6959" s="48">
        <f t="shared" si="171"/>
        <v>586775.67741935444</v>
      </c>
      <c r="H6959" s="388" t="s">
        <v>9567</v>
      </c>
    </row>
    <row r="6960" spans="1:8" x14ac:dyDescent="0.3">
      <c r="A6960" s="503">
        <v>45145</v>
      </c>
      <c r="B6960" s="430" t="s">
        <v>5933</v>
      </c>
      <c r="C6960" s="368" t="s">
        <v>54</v>
      </c>
      <c r="D6960" s="368" t="s">
        <v>11858</v>
      </c>
      <c r="E6960" s="369">
        <v>168846.77419354839</v>
      </c>
      <c r="F6960" s="43"/>
      <c r="G6960" s="48">
        <f t="shared" si="171"/>
        <v>417928.90322580608</v>
      </c>
      <c r="H6960" s="388" t="s">
        <v>9567</v>
      </c>
    </row>
    <row r="6961" spans="1:8" x14ac:dyDescent="0.3">
      <c r="A6961" s="503">
        <v>45145</v>
      </c>
      <c r="B6961" s="430" t="s">
        <v>11791</v>
      </c>
      <c r="C6961" s="368" t="s">
        <v>54</v>
      </c>
      <c r="D6961" s="368" t="s">
        <v>11857</v>
      </c>
      <c r="E6961" s="369">
        <v>130784.27419354839</v>
      </c>
      <c r="F6961" s="43"/>
      <c r="G6961" s="48">
        <f t="shared" si="171"/>
        <v>287144.62903225771</v>
      </c>
      <c r="H6961" s="388" t="s">
        <v>9567</v>
      </c>
    </row>
    <row r="6962" spans="1:8" x14ac:dyDescent="0.3">
      <c r="A6962" s="503">
        <v>45145</v>
      </c>
      <c r="B6962" s="396" t="s">
        <v>12135</v>
      </c>
      <c r="C6962" s="5" t="s">
        <v>5979</v>
      </c>
      <c r="D6962" s="5" t="s">
        <v>11859</v>
      </c>
      <c r="E6962" s="43">
        <v>50000</v>
      </c>
      <c r="F6962" s="43"/>
      <c r="G6962" s="48">
        <f t="shared" si="171"/>
        <v>237144.62903225771</v>
      </c>
      <c r="H6962" s="388" t="s">
        <v>9567</v>
      </c>
    </row>
    <row r="6963" spans="1:8" x14ac:dyDescent="0.3">
      <c r="A6963" s="503">
        <v>45145</v>
      </c>
      <c r="B6963" s="430" t="s">
        <v>11791</v>
      </c>
      <c r="C6963" s="368" t="s">
        <v>54</v>
      </c>
      <c r="D6963" s="368" t="s">
        <v>11863</v>
      </c>
      <c r="E6963" s="369">
        <v>36770</v>
      </c>
      <c r="F6963" s="43"/>
      <c r="G6963" s="48">
        <f t="shared" si="171"/>
        <v>200374.62903225771</v>
      </c>
      <c r="H6963" s="388" t="s">
        <v>9567</v>
      </c>
    </row>
    <row r="6964" spans="1:8" x14ac:dyDescent="0.3">
      <c r="A6964" s="503">
        <v>45145</v>
      </c>
      <c r="B6964" s="396"/>
      <c r="C6964" s="5" t="s">
        <v>84</v>
      </c>
      <c r="D6964" s="5" t="s">
        <v>11860</v>
      </c>
      <c r="E6964" s="43">
        <v>1000</v>
      </c>
      <c r="F6964" s="43"/>
      <c r="G6964" s="48">
        <f t="shared" si="171"/>
        <v>199374.62903225771</v>
      </c>
      <c r="H6964" s="388" t="s">
        <v>9567</v>
      </c>
    </row>
    <row r="6965" spans="1:8" x14ac:dyDescent="0.3">
      <c r="A6965" s="503">
        <v>45145</v>
      </c>
      <c r="B6965" s="430"/>
      <c r="C6965" s="368" t="s">
        <v>1512</v>
      </c>
      <c r="D6965" s="368" t="s">
        <v>11864</v>
      </c>
      <c r="E6965" s="369">
        <f>45500+63000+18000</f>
        <v>126500</v>
      </c>
      <c r="F6965" s="43"/>
      <c r="G6965" s="48">
        <f t="shared" si="171"/>
        <v>72874.629032257712</v>
      </c>
      <c r="H6965" s="388" t="s">
        <v>9567</v>
      </c>
    </row>
    <row r="6966" spans="1:8" x14ac:dyDescent="0.3">
      <c r="A6966" s="503">
        <v>45145</v>
      </c>
      <c r="B6966" s="396" t="s">
        <v>10959</v>
      </c>
      <c r="C6966" s="5" t="s">
        <v>9324</v>
      </c>
      <c r="D6966" s="5" t="s">
        <v>11861</v>
      </c>
      <c r="E6966" s="43">
        <v>30000</v>
      </c>
      <c r="F6966" s="43"/>
      <c r="G6966" s="48">
        <f t="shared" si="171"/>
        <v>42874.629032257712</v>
      </c>
      <c r="H6966" s="388" t="s">
        <v>9567</v>
      </c>
    </row>
    <row r="6967" spans="1:8" x14ac:dyDescent="0.3">
      <c r="A6967" s="503">
        <v>45145</v>
      </c>
      <c r="B6967" s="430"/>
      <c r="C6967" s="368" t="s">
        <v>1512</v>
      </c>
      <c r="D6967" s="368" t="s">
        <v>11862</v>
      </c>
      <c r="E6967" s="369">
        <v>39500</v>
      </c>
      <c r="F6967" s="43"/>
      <c r="G6967" s="48">
        <f t="shared" si="171"/>
        <v>3374.6290322577115</v>
      </c>
      <c r="H6967" s="388" t="s">
        <v>9567</v>
      </c>
    </row>
    <row r="6968" spans="1:8" x14ac:dyDescent="0.3">
      <c r="A6968" s="503">
        <v>45145</v>
      </c>
      <c r="B6968" s="396"/>
      <c r="C6968" s="5" t="s">
        <v>25</v>
      </c>
      <c r="D6968" s="5" t="s">
        <v>11865</v>
      </c>
      <c r="E6968" s="43">
        <v>2500</v>
      </c>
      <c r="F6968" s="43"/>
      <c r="G6968" s="48">
        <f t="shared" si="171"/>
        <v>874.62903225771151</v>
      </c>
      <c r="H6968" s="388" t="s">
        <v>9567</v>
      </c>
    </row>
    <row r="6969" spans="1:8" x14ac:dyDescent="0.3">
      <c r="A6969" s="503">
        <v>45145</v>
      </c>
      <c r="B6969" s="396" t="s">
        <v>12046</v>
      </c>
      <c r="C6969" s="5" t="s">
        <v>11716</v>
      </c>
      <c r="D6969" s="5" t="s">
        <v>11874</v>
      </c>
      <c r="E6969" s="43">
        <v>500</v>
      </c>
      <c r="F6969" s="43"/>
      <c r="G6969" s="48">
        <f t="shared" si="171"/>
        <v>374.62903225771151</v>
      </c>
      <c r="H6969" s="388" t="s">
        <v>9567</v>
      </c>
    </row>
    <row r="6970" spans="1:8" x14ac:dyDescent="0.3">
      <c r="A6970" s="503">
        <v>45147</v>
      </c>
      <c r="B6970" s="396" t="s">
        <v>11743</v>
      </c>
      <c r="C6970" s="5" t="s">
        <v>5793</v>
      </c>
      <c r="D6970" s="5" t="s">
        <v>8924</v>
      </c>
      <c r="E6970" s="43">
        <v>250</v>
      </c>
      <c r="F6970" s="43"/>
      <c r="G6970" s="48">
        <f t="shared" si="171"/>
        <v>124.62903225771151</v>
      </c>
      <c r="H6970" s="388" t="s">
        <v>9567</v>
      </c>
    </row>
    <row r="6971" spans="1:8" x14ac:dyDescent="0.3">
      <c r="A6971" s="503">
        <v>45147</v>
      </c>
      <c r="B6971" s="565"/>
      <c r="C6971" s="480"/>
      <c r="D6971" s="491" t="s">
        <v>11014</v>
      </c>
      <c r="E6971" s="480"/>
      <c r="F6971" s="43">
        <v>98000</v>
      </c>
      <c r="G6971" s="48">
        <f t="shared" si="171"/>
        <v>98124.629032257712</v>
      </c>
      <c r="H6971" s="388" t="s">
        <v>9567</v>
      </c>
    </row>
    <row r="6972" spans="1:8" x14ac:dyDescent="0.3">
      <c r="A6972" s="503">
        <v>45147</v>
      </c>
      <c r="B6972" s="396"/>
      <c r="C6972" s="5" t="s">
        <v>10125</v>
      </c>
      <c r="D6972" s="5" t="s">
        <v>11869</v>
      </c>
      <c r="E6972" s="43">
        <v>22500</v>
      </c>
      <c r="F6972" s="43"/>
      <c r="G6972" s="48">
        <f t="shared" ref="G6972:G6981" si="172">G6971+F6972-E6972</f>
        <v>75624.629032257712</v>
      </c>
      <c r="H6972" s="388" t="s">
        <v>9567</v>
      </c>
    </row>
    <row r="6973" spans="1:8" x14ac:dyDescent="0.3">
      <c r="A6973" s="503">
        <v>45147</v>
      </c>
      <c r="B6973" s="396" t="s">
        <v>12046</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11870</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12050</v>
      </c>
      <c r="C6976" s="5" t="s">
        <v>10800</v>
      </c>
      <c r="D6976" s="5" t="s">
        <v>11871</v>
      </c>
      <c r="E6976" s="43">
        <v>10000</v>
      </c>
      <c r="F6976" s="43"/>
      <c r="G6976" s="48">
        <f t="shared" si="172"/>
        <v>47624.629032257712</v>
      </c>
      <c r="H6976" s="388" t="s">
        <v>9567</v>
      </c>
    </row>
    <row r="6977" spans="1:8" x14ac:dyDescent="0.3">
      <c r="A6977" s="503">
        <v>45147</v>
      </c>
      <c r="B6977" s="396" t="s">
        <v>12049</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12134</v>
      </c>
      <c r="C6980" s="5" t="s">
        <v>11785</v>
      </c>
      <c r="D6980" s="5" t="s">
        <v>11823</v>
      </c>
      <c r="E6980" s="43">
        <v>4000</v>
      </c>
      <c r="F6980" s="43"/>
      <c r="G6980" s="48">
        <f t="shared" si="172"/>
        <v>33624.629032257712</v>
      </c>
      <c r="H6980" s="388" t="s">
        <v>9567</v>
      </c>
    </row>
    <row r="6981" spans="1:8" x14ac:dyDescent="0.3">
      <c r="A6981" s="503">
        <v>45147</v>
      </c>
      <c r="B6981" s="396" t="s">
        <v>12047</v>
      </c>
      <c r="C6981" s="5" t="s">
        <v>9457</v>
      </c>
      <c r="D6981" s="5" t="s">
        <v>11872</v>
      </c>
      <c r="E6981" s="43">
        <v>3000</v>
      </c>
      <c r="F6981" s="43"/>
      <c r="G6981" s="48">
        <f t="shared" si="172"/>
        <v>30624.629032257712</v>
      </c>
      <c r="H6981" s="388" t="s">
        <v>9567</v>
      </c>
    </row>
    <row r="6982" spans="1:8" x14ac:dyDescent="0.3">
      <c r="A6982" s="503">
        <v>45147</v>
      </c>
      <c r="B6982" s="396" t="s">
        <v>12046</v>
      </c>
      <c r="C6982" s="5" t="s">
        <v>84</v>
      </c>
      <c r="D6982" s="5" t="s">
        <v>11754</v>
      </c>
      <c r="E6982" s="43">
        <v>3000</v>
      </c>
      <c r="F6982" s="43"/>
      <c r="G6982" s="48">
        <f t="shared" ref="G6982" si="173">G6981+F6982-E6982</f>
        <v>27624.629032257712</v>
      </c>
      <c r="H6982" s="388" t="s">
        <v>9567</v>
      </c>
    </row>
    <row r="6983" spans="1:8" x14ac:dyDescent="0.3">
      <c r="A6983" s="503">
        <v>45147</v>
      </c>
      <c r="B6983" s="396" t="s">
        <v>25</v>
      </c>
      <c r="C6983" s="5" t="s">
        <v>25</v>
      </c>
      <c r="D6983" s="5" t="s">
        <v>11434</v>
      </c>
      <c r="E6983" s="43">
        <v>2500</v>
      </c>
      <c r="F6983" s="43"/>
      <c r="G6983" s="48">
        <f t="shared" ref="G6983:G7036" si="174">G6982+F6983-E6983</f>
        <v>25124.629032257712</v>
      </c>
      <c r="H6983" s="388" t="s">
        <v>9567</v>
      </c>
    </row>
    <row r="6984" spans="1:8" x14ac:dyDescent="0.3">
      <c r="A6984" s="503">
        <v>45147</v>
      </c>
      <c r="B6984" s="396"/>
      <c r="C6984" s="5" t="s">
        <v>9749</v>
      </c>
      <c r="D6984" s="5" t="s">
        <v>11873</v>
      </c>
      <c r="E6984" s="43">
        <v>1000</v>
      </c>
      <c r="F6984" s="43"/>
      <c r="G6984" s="48">
        <f t="shared" si="174"/>
        <v>24124.629032257712</v>
      </c>
      <c r="H6984" s="388" t="s">
        <v>9567</v>
      </c>
    </row>
    <row r="6985" spans="1:8" x14ac:dyDescent="0.3">
      <c r="A6985" s="503">
        <v>45147</v>
      </c>
      <c r="B6985" s="396"/>
      <c r="C6985" s="5" t="s">
        <v>11716</v>
      </c>
      <c r="D6985" s="5" t="s">
        <v>11875</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11877</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11505</v>
      </c>
      <c r="C6990" s="5" t="s">
        <v>9451</v>
      </c>
      <c r="D6990" s="5" t="s">
        <v>11878</v>
      </c>
      <c r="E6990" s="43">
        <v>13000</v>
      </c>
      <c r="F6990" s="43"/>
      <c r="G6990" s="48">
        <f t="shared" si="174"/>
        <v>4654.6290322577115</v>
      </c>
      <c r="H6990" s="388" t="s">
        <v>9567</v>
      </c>
    </row>
    <row r="6991" spans="1:8" x14ac:dyDescent="0.3">
      <c r="A6991" s="503">
        <v>45148</v>
      </c>
      <c r="B6991" s="396" t="s">
        <v>25</v>
      </c>
      <c r="C6991" s="5" t="s">
        <v>25</v>
      </c>
      <c r="D6991" s="5" t="s">
        <v>11434</v>
      </c>
      <c r="E6991" s="43">
        <v>2500</v>
      </c>
      <c r="F6991" s="43"/>
      <c r="G6991" s="48">
        <f t="shared" ref="G6991:G6992" si="175">G6990+F6991-E6991</f>
        <v>2154.6290322577115</v>
      </c>
      <c r="H6991" s="388" t="s">
        <v>9567</v>
      </c>
    </row>
    <row r="6992" spans="1:8" x14ac:dyDescent="0.3">
      <c r="A6992" s="503">
        <v>45148</v>
      </c>
      <c r="B6992" s="565"/>
      <c r="C6992" s="480"/>
      <c r="D6992" s="491" t="s">
        <v>11397</v>
      </c>
      <c r="E6992" s="480"/>
      <c r="F6992" s="43">
        <v>500000</v>
      </c>
      <c r="G6992" s="48">
        <f t="shared" si="175"/>
        <v>502154.62903225771</v>
      </c>
      <c r="H6992" s="388" t="s">
        <v>9567</v>
      </c>
    </row>
    <row r="6993" spans="1:8" x14ac:dyDescent="0.3">
      <c r="A6993" s="503">
        <v>45148</v>
      </c>
      <c r="B6993" s="396"/>
      <c r="C6993" s="5" t="s">
        <v>11879</v>
      </c>
      <c r="D6993" s="5" t="s">
        <v>11880</v>
      </c>
      <c r="E6993" s="43">
        <v>30000</v>
      </c>
      <c r="F6993" s="43"/>
      <c r="G6993" s="48">
        <f t="shared" si="174"/>
        <v>472154.62903225771</v>
      </c>
      <c r="H6993" s="388" t="s">
        <v>9567</v>
      </c>
    </row>
    <row r="6994" spans="1:8" x14ac:dyDescent="0.3">
      <c r="A6994" s="503">
        <v>45148</v>
      </c>
      <c r="B6994" s="396"/>
      <c r="C6994" s="5" t="s">
        <v>11716</v>
      </c>
      <c r="D6994" s="5" t="s">
        <v>11875</v>
      </c>
      <c r="E6994" s="43">
        <v>500</v>
      </c>
      <c r="F6994" s="43"/>
      <c r="G6994" s="48">
        <f t="shared" si="174"/>
        <v>471654.62903225771</v>
      </c>
      <c r="H6994" s="388" t="s">
        <v>9567</v>
      </c>
    </row>
    <row r="6995" spans="1:8" x14ac:dyDescent="0.3">
      <c r="A6995" s="503">
        <v>45148</v>
      </c>
      <c r="B6995" s="430"/>
      <c r="C6995" s="368" t="s">
        <v>1512</v>
      </c>
      <c r="D6995" s="368" t="s">
        <v>11881</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11882</v>
      </c>
      <c r="E6997" s="369">
        <f>80829+60000</f>
        <v>140829</v>
      </c>
      <c r="F6997" s="43"/>
      <c r="G6997" s="48">
        <f t="shared" si="174"/>
        <v>230902.24193548353</v>
      </c>
      <c r="H6997" s="388" t="s">
        <v>9567</v>
      </c>
    </row>
    <row r="6998" spans="1:8" x14ac:dyDescent="0.3">
      <c r="A6998" s="503">
        <v>45148</v>
      </c>
      <c r="B6998" s="430"/>
      <c r="C6998" s="368" t="s">
        <v>1512</v>
      </c>
      <c r="D6998" s="368" t="s">
        <v>11883</v>
      </c>
      <c r="E6998" s="369">
        <f>50000+54520+54200</f>
        <v>158720</v>
      </c>
      <c r="F6998" s="43"/>
      <c r="G6998" s="48">
        <f t="shared" si="174"/>
        <v>72182.241935483529</v>
      </c>
      <c r="H6998" s="388" t="s">
        <v>9567</v>
      </c>
    </row>
    <row r="6999" spans="1:8" x14ac:dyDescent="0.3">
      <c r="A6999" s="503">
        <v>45148</v>
      </c>
      <c r="B6999" s="396" t="s">
        <v>12044</v>
      </c>
      <c r="C6999" s="5" t="s">
        <v>25</v>
      </c>
      <c r="D6999" s="5" t="s">
        <v>11884</v>
      </c>
      <c r="E6999" s="43">
        <v>200</v>
      </c>
      <c r="F6999" s="43"/>
      <c r="G6999" s="48">
        <f t="shared" si="174"/>
        <v>71982.241935483529</v>
      </c>
      <c r="H6999" s="388" t="s">
        <v>9567</v>
      </c>
    </row>
    <row r="7000" spans="1:8" x14ac:dyDescent="0.3">
      <c r="A7000" s="503">
        <v>45149</v>
      </c>
      <c r="B7000" s="396" t="s">
        <v>11743</v>
      </c>
      <c r="C7000" s="5" t="s">
        <v>9524</v>
      </c>
      <c r="D7000" s="5" t="s">
        <v>11896</v>
      </c>
      <c r="E7000" s="43">
        <v>1000</v>
      </c>
      <c r="F7000" s="43"/>
      <c r="G7000" s="48">
        <f t="shared" si="174"/>
        <v>70982.241935483529</v>
      </c>
      <c r="H7000" s="388" t="s">
        <v>9567</v>
      </c>
    </row>
    <row r="7001" spans="1:8" x14ac:dyDescent="0.3">
      <c r="A7001" s="503">
        <v>45149</v>
      </c>
      <c r="B7001" s="396" t="s">
        <v>11743</v>
      </c>
      <c r="C7001" s="5" t="s">
        <v>9524</v>
      </c>
      <c r="D7001" s="5" t="s">
        <v>2013</v>
      </c>
      <c r="E7001" s="43">
        <v>1000</v>
      </c>
      <c r="F7001" s="43"/>
      <c r="G7001" s="48">
        <f t="shared" si="174"/>
        <v>69982.241935483529</v>
      </c>
      <c r="H7001" s="388" t="s">
        <v>9567</v>
      </c>
    </row>
    <row r="7002" spans="1:8" x14ac:dyDescent="0.3">
      <c r="A7002" s="503">
        <v>45149</v>
      </c>
      <c r="B7002" s="396" t="s">
        <v>12050</v>
      </c>
      <c r="C7002" s="206" t="s">
        <v>9749</v>
      </c>
      <c r="D7002" s="206" t="s">
        <v>11886</v>
      </c>
      <c r="E7002" s="529">
        <v>2000</v>
      </c>
      <c r="F7002" s="43"/>
      <c r="G7002" s="48">
        <f t="shared" si="174"/>
        <v>67982.241935483529</v>
      </c>
      <c r="H7002" s="388" t="s">
        <v>9567</v>
      </c>
    </row>
    <row r="7003" spans="1:8" x14ac:dyDescent="0.3">
      <c r="A7003" s="503">
        <v>45149</v>
      </c>
      <c r="B7003" s="396" t="s">
        <v>11899</v>
      </c>
      <c r="C7003" s="5" t="s">
        <v>10800</v>
      </c>
      <c r="D7003" s="5" t="s">
        <v>11900</v>
      </c>
      <c r="E7003" s="43">
        <v>2200</v>
      </c>
      <c r="F7003" s="43"/>
      <c r="G7003" s="48">
        <f t="shared" si="174"/>
        <v>65782.241935483529</v>
      </c>
      <c r="H7003" s="388" t="s">
        <v>9567</v>
      </c>
    </row>
    <row r="7004" spans="1:8" x14ac:dyDescent="0.3">
      <c r="A7004" s="503">
        <v>45149</v>
      </c>
      <c r="B7004" s="396" t="s">
        <v>12046</v>
      </c>
      <c r="C7004" s="5" t="s">
        <v>10800</v>
      </c>
      <c r="D7004" s="5" t="s">
        <v>11887</v>
      </c>
      <c r="E7004" s="43">
        <v>1760</v>
      </c>
      <c r="F7004" s="43"/>
      <c r="G7004" s="48">
        <f t="shared" si="174"/>
        <v>64022.241935483529</v>
      </c>
      <c r="H7004" s="388" t="s">
        <v>9567</v>
      </c>
    </row>
    <row r="7005" spans="1:8" x14ac:dyDescent="0.3">
      <c r="A7005" s="503">
        <v>45149</v>
      </c>
      <c r="B7005" s="396" t="s">
        <v>12135</v>
      </c>
      <c r="C7005" s="5" t="s">
        <v>7737</v>
      </c>
      <c r="D7005" s="5" t="s">
        <v>11888</v>
      </c>
      <c r="E7005" s="43">
        <v>5600</v>
      </c>
      <c r="F7005" s="43"/>
      <c r="G7005" s="48">
        <f t="shared" si="174"/>
        <v>58422.241935483529</v>
      </c>
      <c r="H7005" s="388" t="s">
        <v>9567</v>
      </c>
    </row>
    <row r="7006" spans="1:8" x14ac:dyDescent="0.3">
      <c r="A7006" s="503">
        <v>45149</v>
      </c>
      <c r="B7006" s="396"/>
      <c r="C7006" s="5" t="s">
        <v>247</v>
      </c>
      <c r="D7006" s="5" t="s">
        <v>11889</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11891</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5"/>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11893</v>
      </c>
      <c r="E7013" s="43">
        <v>6000</v>
      </c>
      <c r="F7013" s="43"/>
      <c r="G7013" s="48">
        <f t="shared" si="174"/>
        <v>442762.24193548353</v>
      </c>
      <c r="H7013" s="388" t="s">
        <v>9567</v>
      </c>
    </row>
    <row r="7014" spans="1:8" x14ac:dyDescent="0.3">
      <c r="A7014" s="503">
        <v>45149</v>
      </c>
      <c r="B7014" s="430" t="s">
        <v>11791</v>
      </c>
      <c r="C7014" s="368" t="s">
        <v>54</v>
      </c>
      <c r="D7014" s="368" t="s">
        <v>11894</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11895</v>
      </c>
      <c r="E7016" s="369">
        <v>265935.4838709677</v>
      </c>
      <c r="F7016" s="43"/>
      <c r="G7016" s="48">
        <f t="shared" si="174"/>
        <v>33609.016129031952</v>
      </c>
      <c r="H7016" s="388" t="s">
        <v>9567</v>
      </c>
    </row>
    <row r="7017" spans="1:8" x14ac:dyDescent="0.3">
      <c r="A7017" s="503">
        <v>45149</v>
      </c>
      <c r="B7017" s="396" t="s">
        <v>12046</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11897</v>
      </c>
      <c r="E7018" s="43">
        <v>10000</v>
      </c>
      <c r="F7018" s="43"/>
      <c r="G7018" s="48">
        <f t="shared" si="174"/>
        <v>16409.016129031952</v>
      </c>
      <c r="H7018" s="388" t="s">
        <v>9567</v>
      </c>
    </row>
    <row r="7019" spans="1:8" x14ac:dyDescent="0.3">
      <c r="A7019" s="503">
        <v>45149</v>
      </c>
      <c r="B7019" s="396" t="s">
        <v>12046</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11743</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11434</v>
      </c>
      <c r="E7022" s="43">
        <v>3500</v>
      </c>
      <c r="F7022" s="43"/>
      <c r="G7022" s="48">
        <f t="shared" si="174"/>
        <v>7109.016129031952</v>
      </c>
      <c r="H7022" s="388" t="s">
        <v>9567</v>
      </c>
    </row>
    <row r="7023" spans="1:8" x14ac:dyDescent="0.3">
      <c r="A7023" s="503">
        <v>45150</v>
      </c>
      <c r="B7023" s="396" t="s">
        <v>12047</v>
      </c>
      <c r="C7023" s="5" t="s">
        <v>5793</v>
      </c>
      <c r="D7023" s="5" t="s">
        <v>40</v>
      </c>
      <c r="E7023" s="43">
        <v>300</v>
      </c>
      <c r="F7023" s="43"/>
      <c r="G7023" s="48">
        <f t="shared" si="174"/>
        <v>6809.016129031952</v>
      </c>
      <c r="H7023" s="388" t="s">
        <v>9567</v>
      </c>
    </row>
    <row r="7024" spans="1:8" x14ac:dyDescent="0.3">
      <c r="A7024" s="503">
        <v>45150</v>
      </c>
      <c r="B7024" s="396" t="s">
        <v>11505</v>
      </c>
      <c r="C7024" s="5" t="s">
        <v>9451</v>
      </c>
      <c r="D7024" s="5" t="s">
        <v>11878</v>
      </c>
      <c r="E7024" s="43">
        <v>2000</v>
      </c>
      <c r="F7024" s="43"/>
      <c r="G7024" s="48">
        <f t="shared" si="174"/>
        <v>4809.016129031952</v>
      </c>
      <c r="H7024" s="388" t="s">
        <v>9567</v>
      </c>
    </row>
    <row r="7025" spans="1:8" x14ac:dyDescent="0.3">
      <c r="A7025" s="503">
        <v>45150</v>
      </c>
      <c r="B7025" s="565"/>
      <c r="C7025" s="480"/>
      <c r="D7025" s="491" t="s">
        <v>11397</v>
      </c>
      <c r="E7025" s="480"/>
      <c r="F7025" s="43">
        <v>550000</v>
      </c>
      <c r="G7025" s="48">
        <f t="shared" si="174"/>
        <v>554809.01612903201</v>
      </c>
      <c r="H7025" s="388" t="s">
        <v>9567</v>
      </c>
    </row>
    <row r="7026" spans="1:8" x14ac:dyDescent="0.3">
      <c r="A7026" s="503">
        <v>45150</v>
      </c>
      <c r="B7026" s="396" t="s">
        <v>12047</v>
      </c>
      <c r="C7026" s="5" t="s">
        <v>11905</v>
      </c>
      <c r="D7026" s="5" t="s">
        <v>11906</v>
      </c>
      <c r="E7026" s="43">
        <v>5000</v>
      </c>
      <c r="F7026" s="43"/>
      <c r="G7026" s="48">
        <f t="shared" si="174"/>
        <v>549809.01612903201</v>
      </c>
      <c r="H7026" s="388" t="s">
        <v>9567</v>
      </c>
    </row>
    <row r="7027" spans="1:8" x14ac:dyDescent="0.3">
      <c r="A7027" s="503">
        <v>45150</v>
      </c>
      <c r="B7027" s="396" t="s">
        <v>11505</v>
      </c>
      <c r="C7027" s="5" t="s">
        <v>9749</v>
      </c>
      <c r="D7027" s="5" t="s">
        <v>11901</v>
      </c>
      <c r="E7027" s="43">
        <v>19300</v>
      </c>
      <c r="F7027" s="43"/>
      <c r="G7027" s="48">
        <f t="shared" si="174"/>
        <v>530509.01612903201</v>
      </c>
      <c r="H7027" s="388" t="s">
        <v>9567</v>
      </c>
    </row>
    <row r="7028" spans="1:8" x14ac:dyDescent="0.3">
      <c r="A7028" s="503">
        <v>45150</v>
      </c>
      <c r="B7028" s="396" t="s">
        <v>12047</v>
      </c>
      <c r="C7028" s="5" t="s">
        <v>9749</v>
      </c>
      <c r="D7028" s="5" t="s">
        <v>11902</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11903</v>
      </c>
      <c r="E7030" s="43">
        <v>44020</v>
      </c>
      <c r="F7030" s="43"/>
      <c r="G7030" s="48">
        <f t="shared" si="174"/>
        <v>454989.01612903201</v>
      </c>
      <c r="H7030" s="388" t="s">
        <v>9567</v>
      </c>
    </row>
    <row r="7031" spans="1:8" x14ac:dyDescent="0.3">
      <c r="A7031" s="503">
        <v>45150</v>
      </c>
      <c r="B7031" s="396" t="s">
        <v>10319</v>
      </c>
      <c r="C7031" s="5" t="s">
        <v>10800</v>
      </c>
      <c r="D7031" s="5" t="s">
        <v>11904</v>
      </c>
      <c r="E7031" s="43">
        <v>42500</v>
      </c>
      <c r="F7031" s="43"/>
      <c r="G7031" s="48">
        <f t="shared" si="174"/>
        <v>412489.01612903201</v>
      </c>
      <c r="H7031" s="388" t="s">
        <v>9567</v>
      </c>
    </row>
    <row r="7032" spans="1:8" x14ac:dyDescent="0.3">
      <c r="A7032" s="503">
        <v>45150</v>
      </c>
      <c r="B7032" s="396" t="s">
        <v>11505</v>
      </c>
      <c r="C7032" s="5" t="s">
        <v>11907</v>
      </c>
      <c r="D7032" s="5" t="s">
        <v>11908</v>
      </c>
      <c r="E7032" s="43">
        <v>60000</v>
      </c>
      <c r="F7032" s="43"/>
      <c r="G7032" s="48">
        <f t="shared" si="174"/>
        <v>352489.01612903201</v>
      </c>
      <c r="H7032" s="388" t="s">
        <v>9567</v>
      </c>
    </row>
    <row r="7033" spans="1:8" x14ac:dyDescent="0.3">
      <c r="A7033" s="503">
        <v>45150</v>
      </c>
      <c r="B7033" s="396" t="s">
        <v>11743</v>
      </c>
      <c r="C7033" s="5" t="s">
        <v>10125</v>
      </c>
      <c r="D7033" s="5" t="s">
        <v>11909</v>
      </c>
      <c r="E7033" s="43">
        <v>18000</v>
      </c>
      <c r="F7033" s="43"/>
      <c r="G7033" s="48">
        <f t="shared" si="174"/>
        <v>334489.01612903201</v>
      </c>
      <c r="H7033" s="388" t="s">
        <v>9567</v>
      </c>
    </row>
    <row r="7034" spans="1:8" x14ac:dyDescent="0.3">
      <c r="A7034" s="503">
        <v>45150</v>
      </c>
      <c r="B7034" s="396" t="s">
        <v>10601</v>
      </c>
      <c r="C7034" s="5" t="s">
        <v>84</v>
      </c>
      <c r="D7034" s="5" t="s">
        <v>11910</v>
      </c>
      <c r="E7034" s="43">
        <v>2000</v>
      </c>
      <c r="F7034" s="43"/>
      <c r="G7034" s="48">
        <f t="shared" si="174"/>
        <v>332489.01612903201</v>
      </c>
      <c r="H7034" s="388" t="s">
        <v>9567</v>
      </c>
    </row>
    <row r="7035" spans="1:8" x14ac:dyDescent="0.3">
      <c r="A7035" s="503">
        <v>45150</v>
      </c>
      <c r="B7035" s="396" t="s">
        <v>10601</v>
      </c>
      <c r="C7035" s="5" t="s">
        <v>84</v>
      </c>
      <c r="D7035" s="5" t="s">
        <v>11911</v>
      </c>
      <c r="E7035" s="43">
        <v>25000</v>
      </c>
      <c r="F7035" s="43"/>
      <c r="G7035" s="48">
        <f t="shared" si="174"/>
        <v>307489.01612903201</v>
      </c>
      <c r="H7035" s="388" t="s">
        <v>9567</v>
      </c>
    </row>
    <row r="7036" spans="1:8" x14ac:dyDescent="0.3">
      <c r="A7036" s="503">
        <v>45150</v>
      </c>
      <c r="B7036" s="396" t="s">
        <v>6481</v>
      </c>
      <c r="C7036" s="5" t="s">
        <v>84</v>
      </c>
      <c r="D7036" s="5" t="s">
        <v>11912</v>
      </c>
      <c r="E7036" s="43">
        <v>10000</v>
      </c>
      <c r="F7036" s="43"/>
      <c r="G7036" s="48">
        <f t="shared" si="174"/>
        <v>297489.01612903201</v>
      </c>
      <c r="H7036" s="388" t="s">
        <v>9567</v>
      </c>
    </row>
    <row r="7037" spans="1:8" x14ac:dyDescent="0.3">
      <c r="A7037" s="503">
        <v>45150</v>
      </c>
      <c r="B7037" s="396" t="s">
        <v>12134</v>
      </c>
      <c r="C7037" s="5" t="s">
        <v>11513</v>
      </c>
      <c r="D7037" s="5" t="s">
        <v>11913</v>
      </c>
      <c r="E7037" s="43">
        <v>40000</v>
      </c>
      <c r="F7037" s="43"/>
      <c r="G7037" s="48">
        <f t="shared" ref="G7037:G7106" si="176">G7036+F7037-E7037</f>
        <v>257489.01612903201</v>
      </c>
      <c r="H7037" s="388" t="s">
        <v>9567</v>
      </c>
    </row>
    <row r="7038" spans="1:8" x14ac:dyDescent="0.3">
      <c r="A7038" s="503">
        <v>45153</v>
      </c>
      <c r="B7038" s="396" t="s">
        <v>693</v>
      </c>
      <c r="C7038" s="5" t="s">
        <v>107</v>
      </c>
      <c r="D7038" s="5" t="s">
        <v>11919</v>
      </c>
      <c r="E7038" s="43">
        <v>17000</v>
      </c>
      <c r="F7038" s="43"/>
      <c r="G7038" s="48">
        <f t="shared" si="176"/>
        <v>240489.01612903201</v>
      </c>
      <c r="H7038" s="388" t="s">
        <v>9567</v>
      </c>
    </row>
    <row r="7039" spans="1:8" x14ac:dyDescent="0.3">
      <c r="A7039" s="503">
        <v>45153</v>
      </c>
      <c r="B7039" s="396"/>
      <c r="C7039" s="5" t="s">
        <v>541</v>
      </c>
      <c r="D7039" s="5" t="s">
        <v>11920</v>
      </c>
      <c r="E7039" s="43">
        <v>35000</v>
      </c>
      <c r="F7039" s="43"/>
      <c r="G7039" s="48">
        <f t="shared" si="176"/>
        <v>205489.01612903201</v>
      </c>
      <c r="H7039" s="388" t="s">
        <v>9567</v>
      </c>
    </row>
    <row r="7040" spans="1:8" x14ac:dyDescent="0.3">
      <c r="A7040" s="503">
        <v>45153</v>
      </c>
      <c r="B7040" s="396" t="s">
        <v>11505</v>
      </c>
      <c r="C7040" s="5" t="s">
        <v>84</v>
      </c>
      <c r="D7040" s="5" t="s">
        <v>11927</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12047</v>
      </c>
      <c r="C7042" s="5" t="s">
        <v>5288</v>
      </c>
      <c r="D7042" s="5" t="s">
        <v>10805</v>
      </c>
      <c r="E7042" s="43">
        <v>30000</v>
      </c>
      <c r="F7042" s="43"/>
      <c r="G7042" s="48">
        <f t="shared" si="176"/>
        <v>135489.01612903201</v>
      </c>
      <c r="H7042" s="388" t="s">
        <v>9567</v>
      </c>
    </row>
    <row r="7043" spans="1:9" x14ac:dyDescent="0.3">
      <c r="A7043" s="503">
        <v>45153</v>
      </c>
      <c r="B7043" s="565"/>
      <c r="C7043" s="480"/>
      <c r="D7043" s="491" t="s">
        <v>11922</v>
      </c>
      <c r="E7043" s="480"/>
      <c r="F7043" s="43">
        <v>5000</v>
      </c>
      <c r="G7043" s="48">
        <f t="shared" si="176"/>
        <v>140489.01612903201</v>
      </c>
      <c r="H7043" s="388" t="s">
        <v>9567</v>
      </c>
    </row>
    <row r="7044" spans="1:9" x14ac:dyDescent="0.3">
      <c r="A7044" s="503">
        <v>45153</v>
      </c>
      <c r="B7044" s="396" t="s">
        <v>11505</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11923</v>
      </c>
      <c r="E7045" s="43">
        <v>4000</v>
      </c>
      <c r="F7045" s="43"/>
      <c r="G7045" s="48">
        <f t="shared" si="176"/>
        <v>135089.01612903201</v>
      </c>
      <c r="H7045" s="388" t="s">
        <v>9567</v>
      </c>
    </row>
    <row r="7046" spans="1:9" x14ac:dyDescent="0.3">
      <c r="A7046" s="503">
        <v>45153</v>
      </c>
      <c r="B7046" s="396" t="s">
        <v>12047</v>
      </c>
      <c r="C7046" s="5" t="s">
        <v>10800</v>
      </c>
      <c r="D7046" s="5" t="s">
        <v>11924</v>
      </c>
      <c r="E7046" s="43">
        <v>16050</v>
      </c>
      <c r="F7046" s="43"/>
      <c r="G7046" s="48">
        <f t="shared" si="176"/>
        <v>119039.01612903201</v>
      </c>
      <c r="H7046" s="388" t="s">
        <v>9567</v>
      </c>
    </row>
    <row r="7047" spans="1:9" x14ac:dyDescent="0.3">
      <c r="A7047" s="503">
        <v>45153</v>
      </c>
      <c r="B7047" s="396" t="s">
        <v>11146</v>
      </c>
      <c r="C7047" s="5" t="s">
        <v>9044</v>
      </c>
      <c r="D7047" s="5" t="s">
        <v>11926</v>
      </c>
      <c r="E7047" s="43">
        <v>5000</v>
      </c>
      <c r="F7047" s="43"/>
      <c r="G7047" s="48">
        <f t="shared" si="176"/>
        <v>114039.01612903201</v>
      </c>
      <c r="H7047" s="388" t="s">
        <v>9567</v>
      </c>
    </row>
    <row r="7048" spans="1:9" x14ac:dyDescent="0.3">
      <c r="A7048" s="503">
        <v>45153</v>
      </c>
      <c r="B7048" s="396" t="s">
        <v>12134</v>
      </c>
      <c r="C7048" s="5" t="s">
        <v>1616</v>
      </c>
      <c r="D7048" s="5" t="s">
        <v>11928</v>
      </c>
      <c r="E7048" s="43">
        <v>2750</v>
      </c>
      <c r="F7048" s="43"/>
      <c r="G7048" s="48">
        <f t="shared" si="176"/>
        <v>111289.01612903201</v>
      </c>
      <c r="H7048" s="388" t="s">
        <v>9567</v>
      </c>
    </row>
    <row r="7049" spans="1:9" x14ac:dyDescent="0.3">
      <c r="A7049" s="503">
        <v>45153</v>
      </c>
      <c r="B7049" s="396" t="s">
        <v>25</v>
      </c>
      <c r="C7049" s="5" t="s">
        <v>25</v>
      </c>
      <c r="D7049" s="5" t="s">
        <v>11434</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12047</v>
      </c>
      <c r="C7051" s="5" t="s">
        <v>5793</v>
      </c>
      <c r="D7051" s="5" t="s">
        <v>40</v>
      </c>
      <c r="E7051" s="43">
        <v>1000</v>
      </c>
      <c r="F7051" s="43"/>
      <c r="G7051" s="48">
        <f t="shared" si="176"/>
        <v>103789.01612903201</v>
      </c>
      <c r="H7051" s="388" t="s">
        <v>9567</v>
      </c>
    </row>
    <row r="7052" spans="1:9" x14ac:dyDescent="0.3">
      <c r="A7052" s="503">
        <v>45154</v>
      </c>
      <c r="B7052" s="396" t="s">
        <v>11743</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12047</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2"/>
    </row>
    <row r="7056" spans="1:9" x14ac:dyDescent="0.3">
      <c r="A7056" s="503">
        <v>45154</v>
      </c>
      <c r="B7056" s="396"/>
      <c r="C7056" s="5" t="s">
        <v>10800</v>
      </c>
      <c r="D7056" s="5" t="s">
        <v>11931</v>
      </c>
      <c r="E7056" s="65">
        <v>18000</v>
      </c>
      <c r="F7056" s="43"/>
      <c r="G7056" s="48">
        <f t="shared" si="176"/>
        <v>65213.01612903201</v>
      </c>
      <c r="H7056" s="388" t="s">
        <v>9567</v>
      </c>
      <c r="I7056" s="532"/>
    </row>
    <row r="7057" spans="1:9" x14ac:dyDescent="0.3">
      <c r="A7057" s="503">
        <v>45154</v>
      </c>
      <c r="B7057" s="396" t="s">
        <v>12047</v>
      </c>
      <c r="C7057" s="5" t="s">
        <v>5793</v>
      </c>
      <c r="D7057" s="5" t="s">
        <v>8924</v>
      </c>
      <c r="E7057" s="43">
        <v>300</v>
      </c>
      <c r="F7057" s="43"/>
      <c r="G7057" s="48">
        <f t="shared" si="176"/>
        <v>64913.01612903201</v>
      </c>
      <c r="H7057" s="388" t="s">
        <v>9567</v>
      </c>
      <c r="I7057" s="532"/>
    </row>
    <row r="7058" spans="1:9" x14ac:dyDescent="0.3">
      <c r="A7058" s="503">
        <v>45154</v>
      </c>
      <c r="B7058" s="396" t="s">
        <v>12047</v>
      </c>
      <c r="C7058" s="5" t="s">
        <v>5793</v>
      </c>
      <c r="D7058" s="5" t="s">
        <v>40</v>
      </c>
      <c r="E7058" s="43">
        <v>2000</v>
      </c>
      <c r="F7058" s="43"/>
      <c r="G7058" s="48">
        <f t="shared" si="176"/>
        <v>62913.01612903201</v>
      </c>
      <c r="H7058" s="388" t="s">
        <v>9567</v>
      </c>
      <c r="I7058" s="532"/>
    </row>
    <row r="7059" spans="1:9" x14ac:dyDescent="0.3">
      <c r="A7059" s="503">
        <v>45154</v>
      </c>
      <c r="B7059" s="396" t="s">
        <v>12044</v>
      </c>
      <c r="C7059" s="5" t="s">
        <v>9794</v>
      </c>
      <c r="D7059" s="5" t="s">
        <v>9795</v>
      </c>
      <c r="E7059" s="43">
        <v>2600</v>
      </c>
      <c r="F7059" s="43"/>
      <c r="G7059" s="48">
        <f t="shared" si="176"/>
        <v>60313.01612903201</v>
      </c>
      <c r="H7059" s="388" t="s">
        <v>9567</v>
      </c>
      <c r="I7059" s="532"/>
    </row>
    <row r="7060" spans="1:9" x14ac:dyDescent="0.3">
      <c r="A7060" s="503">
        <v>45154</v>
      </c>
      <c r="B7060" s="396" t="s">
        <v>10751</v>
      </c>
      <c r="C7060" s="5" t="s">
        <v>5793</v>
      </c>
      <c r="D7060" s="5" t="s">
        <v>40</v>
      </c>
      <c r="E7060" s="43">
        <v>2000</v>
      </c>
      <c r="F7060" s="43"/>
      <c r="G7060" s="48">
        <f t="shared" si="176"/>
        <v>58313.01612903201</v>
      </c>
      <c r="H7060" s="388" t="s">
        <v>9567</v>
      </c>
      <c r="I7060" s="532"/>
    </row>
    <row r="7061" spans="1:9" x14ac:dyDescent="0.3">
      <c r="A7061" s="503">
        <v>45154</v>
      </c>
      <c r="B7061" s="396" t="s">
        <v>12046</v>
      </c>
      <c r="C7061" s="5" t="s">
        <v>5793</v>
      </c>
      <c r="D7061" s="5" t="s">
        <v>40</v>
      </c>
      <c r="E7061" s="43">
        <v>2000</v>
      </c>
      <c r="F7061" s="43"/>
      <c r="G7061" s="48">
        <f t="shared" si="176"/>
        <v>56313.01612903201</v>
      </c>
      <c r="H7061" s="388" t="s">
        <v>9567</v>
      </c>
      <c r="I7061" s="532"/>
    </row>
    <row r="7062" spans="1:9" x14ac:dyDescent="0.3">
      <c r="A7062" s="503">
        <v>45154</v>
      </c>
      <c r="B7062" s="396" t="s">
        <v>12045</v>
      </c>
      <c r="C7062" s="5" t="s">
        <v>5793</v>
      </c>
      <c r="D7062" s="5" t="s">
        <v>40</v>
      </c>
      <c r="E7062" s="43">
        <v>2000</v>
      </c>
      <c r="F7062" s="43"/>
      <c r="G7062" s="48">
        <f t="shared" si="176"/>
        <v>54313.01612903201</v>
      </c>
      <c r="H7062" s="388" t="s">
        <v>9567</v>
      </c>
      <c r="I7062" s="532"/>
    </row>
    <row r="7063" spans="1:9" x14ac:dyDescent="0.3">
      <c r="A7063" s="503">
        <v>45154</v>
      </c>
      <c r="B7063" s="396" t="s">
        <v>12134</v>
      </c>
      <c r="C7063" s="5" t="s">
        <v>1074</v>
      </c>
      <c r="D7063" s="5" t="s">
        <v>6280</v>
      </c>
      <c r="E7063" s="43">
        <v>2500</v>
      </c>
      <c r="F7063" s="43"/>
      <c r="G7063" s="48">
        <f t="shared" si="176"/>
        <v>51813.01612903201</v>
      </c>
      <c r="H7063" s="388" t="s">
        <v>9567</v>
      </c>
      <c r="I7063" s="532"/>
    </row>
    <row r="7064" spans="1:9" x14ac:dyDescent="0.3">
      <c r="A7064" s="503">
        <v>45154</v>
      </c>
      <c r="B7064" s="396" t="s">
        <v>25</v>
      </c>
      <c r="C7064" s="5" t="s">
        <v>1074</v>
      </c>
      <c r="D7064" s="5" t="s">
        <v>6280</v>
      </c>
      <c r="E7064" s="43">
        <v>7000</v>
      </c>
      <c r="F7064" s="43"/>
      <c r="G7064" s="48">
        <f t="shared" si="176"/>
        <v>44813.01612903201</v>
      </c>
      <c r="H7064" s="388" t="s">
        <v>9567</v>
      </c>
      <c r="I7064" s="532"/>
    </row>
    <row r="7065" spans="1:9" x14ac:dyDescent="0.3">
      <c r="A7065" s="503">
        <v>45155</v>
      </c>
      <c r="B7065" s="396" t="s">
        <v>12047</v>
      </c>
      <c r="C7065" s="5" t="s">
        <v>8928</v>
      </c>
      <c r="D7065" s="5" t="s">
        <v>11936</v>
      </c>
      <c r="E7065" s="43">
        <v>20000</v>
      </c>
      <c r="F7065" s="43"/>
      <c r="G7065" s="48">
        <f t="shared" si="176"/>
        <v>24813.01612903201</v>
      </c>
      <c r="H7065" s="388" t="s">
        <v>9567</v>
      </c>
    </row>
    <row r="7066" spans="1:9" x14ac:dyDescent="0.3">
      <c r="A7066" s="503">
        <v>45154</v>
      </c>
      <c r="B7066" s="565"/>
      <c r="C7066" s="480"/>
      <c r="D7066" s="491" t="s">
        <v>11932</v>
      </c>
      <c r="E7066" s="480"/>
      <c r="F7066" s="43">
        <v>156000</v>
      </c>
      <c r="G7066" s="48">
        <f t="shared" si="176"/>
        <v>180813.01612903201</v>
      </c>
      <c r="H7066" s="388" t="s">
        <v>9567</v>
      </c>
      <c r="I7066" s="532"/>
    </row>
    <row r="7067" spans="1:9" x14ac:dyDescent="0.3">
      <c r="A7067" s="503">
        <v>45154</v>
      </c>
      <c r="B7067" s="565"/>
      <c r="C7067" s="480"/>
      <c r="D7067" s="491" t="s">
        <v>4106</v>
      </c>
      <c r="E7067" s="480"/>
      <c r="F7067" s="43">
        <v>139860</v>
      </c>
      <c r="G7067" s="48">
        <f t="shared" si="176"/>
        <v>320673.01612903201</v>
      </c>
      <c r="H7067" s="388" t="s">
        <v>9567</v>
      </c>
      <c r="I7067" s="532"/>
    </row>
    <row r="7068" spans="1:9" x14ac:dyDescent="0.3">
      <c r="A7068" s="503">
        <v>45155</v>
      </c>
      <c r="B7068" s="396"/>
      <c r="C7068" s="5" t="s">
        <v>14</v>
      </c>
      <c r="D7068" s="5" t="s">
        <v>11937</v>
      </c>
      <c r="E7068" s="43">
        <v>102300</v>
      </c>
      <c r="F7068" s="43"/>
      <c r="G7068" s="48">
        <f t="shared" si="176"/>
        <v>218373.01612903201</v>
      </c>
      <c r="H7068" s="388" t="s">
        <v>9567</v>
      </c>
    </row>
    <row r="7069" spans="1:9" x14ac:dyDescent="0.3">
      <c r="A7069" s="503">
        <v>45155</v>
      </c>
      <c r="B7069" s="565"/>
      <c r="C7069" s="480"/>
      <c r="D7069" s="491" t="s">
        <v>11971</v>
      </c>
      <c r="E7069" s="480"/>
      <c r="F7069" s="43">
        <v>325000</v>
      </c>
      <c r="G7069" s="48">
        <f t="shared" si="176"/>
        <v>543373.01612903201</v>
      </c>
      <c r="H7069" s="388" t="s">
        <v>9567</v>
      </c>
      <c r="I7069" s="532"/>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12047</v>
      </c>
      <c r="C7071" s="5" t="s">
        <v>5793</v>
      </c>
      <c r="D7071" s="5" t="s">
        <v>40</v>
      </c>
      <c r="E7071" s="43">
        <v>2000</v>
      </c>
      <c r="F7071" s="43"/>
      <c r="G7071" s="48">
        <f t="shared" si="176"/>
        <v>538873.01612903201</v>
      </c>
      <c r="H7071" s="388" t="s">
        <v>9567</v>
      </c>
    </row>
    <row r="7072" spans="1:9" x14ac:dyDescent="0.3">
      <c r="A7072" s="503">
        <v>45155</v>
      </c>
      <c r="B7072" s="396" t="s">
        <v>12050</v>
      </c>
      <c r="C7072" s="5" t="s">
        <v>10800</v>
      </c>
      <c r="D7072" s="5" t="s">
        <v>11940</v>
      </c>
      <c r="E7072" s="531">
        <v>65000</v>
      </c>
      <c r="F7072" s="43"/>
      <c r="G7072" s="48">
        <f t="shared" si="176"/>
        <v>473873.01612903201</v>
      </c>
      <c r="H7072" s="388" t="s">
        <v>9567</v>
      </c>
    </row>
    <row r="7073" spans="1:8" x14ac:dyDescent="0.3">
      <c r="A7073" s="503">
        <v>45155</v>
      </c>
      <c r="B7073" s="396" t="s">
        <v>12045</v>
      </c>
      <c r="C7073" s="5" t="s">
        <v>10800</v>
      </c>
      <c r="D7073" s="5" t="s">
        <v>11941</v>
      </c>
      <c r="E7073" s="65">
        <v>40000</v>
      </c>
      <c r="F7073" s="43"/>
      <c r="G7073" s="48">
        <f t="shared" si="176"/>
        <v>433873.01612903201</v>
      </c>
      <c r="H7073" s="388" t="s">
        <v>9567</v>
      </c>
    </row>
    <row r="7074" spans="1:8" x14ac:dyDescent="0.3">
      <c r="A7074" s="503">
        <v>45155</v>
      </c>
      <c r="B7074" s="396" t="s">
        <v>11743</v>
      </c>
      <c r="C7074" s="5" t="s">
        <v>9524</v>
      </c>
      <c r="D7074" s="5" t="s">
        <v>11942</v>
      </c>
      <c r="E7074" s="43">
        <v>2000</v>
      </c>
      <c r="F7074" s="43"/>
      <c r="G7074" s="48">
        <f t="shared" si="176"/>
        <v>431873.01612903201</v>
      </c>
      <c r="H7074" s="388" t="s">
        <v>9567</v>
      </c>
    </row>
    <row r="7075" spans="1:8" x14ac:dyDescent="0.3">
      <c r="A7075" s="503">
        <v>45155</v>
      </c>
      <c r="B7075" s="396" t="s">
        <v>12050</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11434</v>
      </c>
      <c r="E7076" s="43">
        <v>3500</v>
      </c>
      <c r="F7076" s="43"/>
      <c r="G7076" s="48">
        <f t="shared" si="176"/>
        <v>428173.01612903201</v>
      </c>
      <c r="H7076" s="388" t="s">
        <v>9567</v>
      </c>
    </row>
    <row r="7077" spans="1:8" x14ac:dyDescent="0.3">
      <c r="A7077" s="503">
        <v>45155</v>
      </c>
      <c r="B7077" s="396" t="s">
        <v>11505</v>
      </c>
      <c r="C7077" s="5" t="s">
        <v>9749</v>
      </c>
      <c r="D7077" s="5" t="s">
        <v>11943</v>
      </c>
      <c r="E7077" s="43">
        <v>230</v>
      </c>
      <c r="F7077" s="43"/>
      <c r="G7077" s="48">
        <f t="shared" si="176"/>
        <v>427943.01612903201</v>
      </c>
      <c r="H7077" s="388" t="s">
        <v>9567</v>
      </c>
    </row>
    <row r="7078" spans="1:8" x14ac:dyDescent="0.3">
      <c r="A7078" s="503">
        <v>45155</v>
      </c>
      <c r="B7078" s="396" t="s">
        <v>10751</v>
      </c>
      <c r="C7078" s="5" t="s">
        <v>9749</v>
      </c>
      <c r="D7078" s="5" t="s">
        <v>11944</v>
      </c>
      <c r="E7078" s="65">
        <v>12936</v>
      </c>
      <c r="F7078" s="43"/>
      <c r="G7078" s="48">
        <f t="shared" si="176"/>
        <v>415007.01612903201</v>
      </c>
      <c r="H7078" s="388" t="s">
        <v>9567</v>
      </c>
    </row>
    <row r="7079" spans="1:8" x14ac:dyDescent="0.3">
      <c r="A7079" s="503">
        <v>45155</v>
      </c>
      <c r="B7079" s="396" t="s">
        <v>11146</v>
      </c>
      <c r="C7079" s="5" t="s">
        <v>9044</v>
      </c>
      <c r="D7079" s="5" t="s">
        <v>11926</v>
      </c>
      <c r="E7079" s="43">
        <v>4500</v>
      </c>
      <c r="F7079" s="43"/>
      <c r="G7079" s="48">
        <f t="shared" si="176"/>
        <v>410507.01612903201</v>
      </c>
      <c r="H7079" s="388" t="s">
        <v>9567</v>
      </c>
    </row>
    <row r="7080" spans="1:8" x14ac:dyDescent="0.3">
      <c r="A7080" s="503">
        <v>45155</v>
      </c>
      <c r="B7080" s="396" t="s">
        <v>11505</v>
      </c>
      <c r="C7080" s="5" t="s">
        <v>9044</v>
      </c>
      <c r="D7080" s="5" t="s">
        <v>11926</v>
      </c>
      <c r="E7080" s="43">
        <v>5000</v>
      </c>
      <c r="F7080" s="43"/>
      <c r="G7080" s="48">
        <f t="shared" si="176"/>
        <v>405507.01612903201</v>
      </c>
      <c r="H7080" s="388" t="s">
        <v>9567</v>
      </c>
    </row>
    <row r="7081" spans="1:8" x14ac:dyDescent="0.3">
      <c r="A7081" s="503">
        <v>45155</v>
      </c>
      <c r="B7081" s="396"/>
      <c r="C7081" s="5" t="s">
        <v>14</v>
      </c>
      <c r="D7081" s="5" t="s">
        <v>11945</v>
      </c>
      <c r="E7081" s="43">
        <v>20000</v>
      </c>
      <c r="F7081" s="43"/>
      <c r="G7081" s="48">
        <f t="shared" si="176"/>
        <v>385507.01612903201</v>
      </c>
      <c r="H7081" s="388" t="s">
        <v>9567</v>
      </c>
    </row>
    <row r="7082" spans="1:8" x14ac:dyDescent="0.3">
      <c r="A7082" s="503">
        <v>45155</v>
      </c>
      <c r="B7082" s="396" t="s">
        <v>12044</v>
      </c>
      <c r="C7082" s="5" t="s">
        <v>10800</v>
      </c>
      <c r="D7082" s="5" t="s">
        <v>11946</v>
      </c>
      <c r="E7082" s="65">
        <v>48000</v>
      </c>
      <c r="F7082" s="43"/>
      <c r="G7082" s="48">
        <f t="shared" si="176"/>
        <v>337507.01612903201</v>
      </c>
      <c r="H7082" s="388" t="s">
        <v>9567</v>
      </c>
    </row>
    <row r="7083" spans="1:8" x14ac:dyDescent="0.3">
      <c r="A7083" s="503">
        <v>45155</v>
      </c>
      <c r="B7083" s="396" t="s">
        <v>10751</v>
      </c>
      <c r="C7083" s="5" t="s">
        <v>10800</v>
      </c>
      <c r="D7083" s="5" t="s">
        <v>11953</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12049</v>
      </c>
      <c r="C7085" s="5" t="s">
        <v>4055</v>
      </c>
      <c r="D7085" s="5" t="s">
        <v>11947</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12045</v>
      </c>
      <c r="C7088" s="5" t="s">
        <v>5793</v>
      </c>
      <c r="D7088" s="5" t="s">
        <v>40</v>
      </c>
      <c r="E7088" s="43">
        <v>1500</v>
      </c>
      <c r="F7088" s="43"/>
      <c r="G7088" s="48">
        <f>G7087+F7088-E7088</f>
        <v>266607.01612903201</v>
      </c>
      <c r="H7088" s="388" t="s">
        <v>9567</v>
      </c>
    </row>
    <row r="7089" spans="1:8" x14ac:dyDescent="0.3">
      <c r="A7089" s="503">
        <v>45156</v>
      </c>
      <c r="B7089" s="396" t="s">
        <v>12045</v>
      </c>
      <c r="C7089" s="5" t="s">
        <v>9749</v>
      </c>
      <c r="D7089" s="5" t="s">
        <v>11954</v>
      </c>
      <c r="E7089" s="65">
        <v>35500</v>
      </c>
      <c r="F7089" s="43"/>
      <c r="G7089" s="48">
        <f t="shared" si="176"/>
        <v>231107.01612903201</v>
      </c>
      <c r="H7089" s="388" t="s">
        <v>9567</v>
      </c>
    </row>
    <row r="7090" spans="1:8" x14ac:dyDescent="0.3">
      <c r="A7090" s="503">
        <v>45156</v>
      </c>
      <c r="B7090" s="396" t="s">
        <v>25</v>
      </c>
      <c r="C7090" s="5" t="s">
        <v>4400</v>
      </c>
      <c r="D7090" s="5" t="s">
        <v>11948</v>
      </c>
      <c r="E7090" s="43">
        <f>4670*2</f>
        <v>9340</v>
      </c>
      <c r="F7090" s="43"/>
      <c r="G7090" s="48">
        <f t="shared" si="176"/>
        <v>221767.01612903201</v>
      </c>
      <c r="H7090" s="388" t="s">
        <v>9567</v>
      </c>
    </row>
    <row r="7091" spans="1:8" x14ac:dyDescent="0.3">
      <c r="A7091" s="503">
        <v>45156</v>
      </c>
      <c r="B7091" s="396" t="s">
        <v>11791</v>
      </c>
      <c r="C7091" s="5" t="s">
        <v>8009</v>
      </c>
      <c r="D7091" s="5" t="s">
        <v>11949</v>
      </c>
      <c r="E7091" s="43">
        <v>10000</v>
      </c>
      <c r="F7091" s="43"/>
      <c r="G7091" s="48">
        <f t="shared" si="176"/>
        <v>211767.01612903201</v>
      </c>
      <c r="H7091" s="388" t="s">
        <v>9567</v>
      </c>
    </row>
    <row r="7092" spans="1:8" x14ac:dyDescent="0.3">
      <c r="A7092" s="503">
        <v>45156</v>
      </c>
      <c r="B7092" s="396" t="s">
        <v>12046</v>
      </c>
      <c r="C7092" s="5" t="s">
        <v>11785</v>
      </c>
      <c r="D7092" s="5" t="s">
        <v>11718</v>
      </c>
      <c r="E7092" s="43">
        <v>900</v>
      </c>
      <c r="F7092" s="43"/>
      <c r="G7092" s="48">
        <f t="shared" si="176"/>
        <v>210867.01612903201</v>
      </c>
      <c r="H7092" s="388" t="s">
        <v>9567</v>
      </c>
    </row>
    <row r="7093" spans="1:8" x14ac:dyDescent="0.3">
      <c r="A7093" s="503">
        <v>45156</v>
      </c>
      <c r="B7093" s="396" t="s">
        <v>12045</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11950</v>
      </c>
      <c r="E7094" s="43">
        <v>10000</v>
      </c>
      <c r="F7094" s="43"/>
      <c r="G7094" s="48">
        <f t="shared" si="176"/>
        <v>199167.01612903201</v>
      </c>
      <c r="H7094" s="388" t="s">
        <v>9567</v>
      </c>
    </row>
    <row r="7095" spans="1:8" x14ac:dyDescent="0.3">
      <c r="A7095" s="503">
        <v>45156</v>
      </c>
      <c r="B7095" s="396"/>
      <c r="C7095" s="5" t="s">
        <v>84</v>
      </c>
      <c r="D7095" s="5" t="s">
        <v>11951</v>
      </c>
      <c r="E7095" s="43">
        <v>3000</v>
      </c>
      <c r="F7095" s="43"/>
      <c r="G7095" s="48">
        <f t="shared" si="176"/>
        <v>196167.01612903201</v>
      </c>
      <c r="H7095" s="388" t="s">
        <v>9567</v>
      </c>
    </row>
    <row r="7096" spans="1:8" x14ac:dyDescent="0.3">
      <c r="A7096" s="503">
        <v>45156</v>
      </c>
      <c r="B7096" s="396" t="s">
        <v>10319</v>
      </c>
      <c r="C7096" s="5" t="s">
        <v>9749</v>
      </c>
      <c r="D7096" s="5" t="s">
        <v>11952</v>
      </c>
      <c r="E7096" s="43">
        <v>24000</v>
      </c>
      <c r="F7096" s="43"/>
      <c r="G7096" s="48">
        <f t="shared" si="176"/>
        <v>172167.01612903201</v>
      </c>
      <c r="H7096" s="388" t="s">
        <v>9567</v>
      </c>
    </row>
    <row r="7097" spans="1:8" x14ac:dyDescent="0.3">
      <c r="A7097" s="503">
        <v>45156</v>
      </c>
      <c r="B7097" s="396" t="s">
        <v>12047</v>
      </c>
      <c r="C7097" s="5" t="s">
        <v>10800</v>
      </c>
      <c r="D7097" s="5" t="s">
        <v>11957</v>
      </c>
      <c r="E7097" s="43">
        <v>56000</v>
      </c>
      <c r="F7097" s="43"/>
      <c r="G7097" s="48">
        <f t="shared" si="176"/>
        <v>116167.01612903201</v>
      </c>
      <c r="H7097" s="388" t="s">
        <v>9567</v>
      </c>
    </row>
    <row r="7098" spans="1:8" x14ac:dyDescent="0.3">
      <c r="A7098" s="503">
        <v>45156</v>
      </c>
      <c r="B7098" s="342" t="s">
        <v>12053</v>
      </c>
      <c r="C7098" s="5" t="s">
        <v>5134</v>
      </c>
      <c r="D7098" s="5" t="s">
        <v>11958</v>
      </c>
      <c r="E7098" s="43">
        <v>18950</v>
      </c>
      <c r="F7098" s="43"/>
      <c r="G7098" s="48">
        <f t="shared" si="176"/>
        <v>97217.01612903201</v>
      </c>
      <c r="H7098" s="388" t="s">
        <v>9567</v>
      </c>
    </row>
    <row r="7099" spans="1:8" x14ac:dyDescent="0.3">
      <c r="A7099" s="503">
        <v>45156</v>
      </c>
      <c r="B7099" s="396" t="s">
        <v>6481</v>
      </c>
      <c r="C7099" s="5" t="s">
        <v>11959</v>
      </c>
      <c r="D7099" s="5" t="s">
        <v>11960</v>
      </c>
      <c r="E7099" s="43">
        <v>25000</v>
      </c>
      <c r="F7099" s="43"/>
      <c r="G7099" s="48">
        <f t="shared" si="176"/>
        <v>72217.01612903201</v>
      </c>
      <c r="H7099" s="388" t="s">
        <v>9567</v>
      </c>
    </row>
    <row r="7100" spans="1:8" x14ac:dyDescent="0.3">
      <c r="A7100" s="503">
        <v>45157</v>
      </c>
      <c r="B7100" s="396"/>
      <c r="C7100" s="5" t="s">
        <v>25</v>
      </c>
      <c r="D7100" s="5" t="s">
        <v>11434</v>
      </c>
      <c r="E7100" s="43">
        <v>3000</v>
      </c>
      <c r="F7100" s="43"/>
      <c r="G7100" s="48">
        <f t="shared" si="176"/>
        <v>69217.01612903201</v>
      </c>
      <c r="H7100" s="388" t="s">
        <v>9567</v>
      </c>
    </row>
    <row r="7101" spans="1:8" x14ac:dyDescent="0.3">
      <c r="A7101" s="503">
        <v>45157</v>
      </c>
      <c r="B7101" s="396" t="s">
        <v>12047</v>
      </c>
      <c r="C7101" s="5" t="s">
        <v>5793</v>
      </c>
      <c r="D7101" s="5" t="s">
        <v>40</v>
      </c>
      <c r="E7101" s="43">
        <v>2000</v>
      </c>
      <c r="F7101" s="43"/>
      <c r="G7101" s="48">
        <f t="shared" si="176"/>
        <v>67217.01612903201</v>
      </c>
      <c r="H7101" s="388" t="s">
        <v>9567</v>
      </c>
    </row>
    <row r="7102" spans="1:8" x14ac:dyDescent="0.3">
      <c r="A7102" s="503">
        <v>45157</v>
      </c>
      <c r="B7102" s="396" t="s">
        <v>12046</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12047</v>
      </c>
      <c r="C7104" s="5" t="s">
        <v>5793</v>
      </c>
      <c r="D7104" s="5" t="s">
        <v>40</v>
      </c>
      <c r="E7104" s="43">
        <v>1500</v>
      </c>
      <c r="F7104" s="43"/>
      <c r="G7104" s="48">
        <f t="shared" si="176"/>
        <v>59117.01612903201</v>
      </c>
      <c r="H7104" s="388" t="s">
        <v>9567</v>
      </c>
    </row>
    <row r="7105" spans="1:9" x14ac:dyDescent="0.3">
      <c r="A7105" s="503">
        <v>45159</v>
      </c>
      <c r="B7105" s="396" t="s">
        <v>12046</v>
      </c>
      <c r="C7105" s="5" t="s">
        <v>9749</v>
      </c>
      <c r="D7105" s="5" t="s">
        <v>11976</v>
      </c>
      <c r="E7105" s="43">
        <v>13200</v>
      </c>
      <c r="F7105" s="43"/>
      <c r="G7105" s="48">
        <f t="shared" si="176"/>
        <v>45917.01612903201</v>
      </c>
      <c r="H7105" s="388" t="s">
        <v>9567</v>
      </c>
    </row>
    <row r="7106" spans="1:9" x14ac:dyDescent="0.3">
      <c r="A7106" s="503">
        <v>45159</v>
      </c>
      <c r="B7106" s="396" t="s">
        <v>12046</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12044</v>
      </c>
      <c r="C7108" s="5" t="s">
        <v>9749</v>
      </c>
      <c r="D7108" s="5" t="s">
        <v>11967</v>
      </c>
      <c r="E7108" s="43">
        <v>5120</v>
      </c>
      <c r="F7108" s="43"/>
      <c r="G7108" s="48">
        <f t="shared" si="177"/>
        <v>35417.01612903201</v>
      </c>
      <c r="H7108" s="388" t="s">
        <v>9567</v>
      </c>
    </row>
    <row r="7109" spans="1:9" x14ac:dyDescent="0.3">
      <c r="A7109" s="503">
        <v>45159</v>
      </c>
      <c r="B7109" s="396" t="s">
        <v>11505</v>
      </c>
      <c r="C7109" s="5" t="s">
        <v>84</v>
      </c>
      <c r="D7109" s="5" t="s">
        <v>11968</v>
      </c>
      <c r="E7109" s="43">
        <v>2000</v>
      </c>
      <c r="F7109" s="43"/>
      <c r="G7109" s="48">
        <f t="shared" si="177"/>
        <v>33417.01612903201</v>
      </c>
      <c r="H7109" s="388" t="s">
        <v>9567</v>
      </c>
    </row>
    <row r="7110" spans="1:9" x14ac:dyDescent="0.3">
      <c r="A7110" s="503">
        <v>45159</v>
      </c>
      <c r="B7110" s="396" t="s">
        <v>12047</v>
      </c>
      <c r="C7110" s="5" t="s">
        <v>5288</v>
      </c>
      <c r="D7110" s="5" t="s">
        <v>11969</v>
      </c>
      <c r="E7110" s="43">
        <v>31200</v>
      </c>
      <c r="F7110" s="43"/>
      <c r="G7110" s="48">
        <f t="shared" si="177"/>
        <v>2217.0161290320102</v>
      </c>
      <c r="H7110" s="388" t="s">
        <v>9567</v>
      </c>
    </row>
    <row r="7111" spans="1:9" x14ac:dyDescent="0.3">
      <c r="A7111" s="503">
        <v>45159</v>
      </c>
      <c r="B7111" s="396" t="s">
        <v>12047</v>
      </c>
      <c r="C7111" s="5" t="s">
        <v>30</v>
      </c>
      <c r="D7111" s="5" t="s">
        <v>11970</v>
      </c>
      <c r="E7111" s="43">
        <v>250</v>
      </c>
      <c r="F7111" s="43"/>
      <c r="G7111" s="48">
        <f t="shared" si="177"/>
        <v>1967.0161290320102</v>
      </c>
      <c r="H7111" s="388" t="s">
        <v>9567</v>
      </c>
    </row>
    <row r="7112" spans="1:9" x14ac:dyDescent="0.3">
      <c r="A7112" s="503">
        <v>45160</v>
      </c>
      <c r="B7112" s="565"/>
      <c r="C7112" s="480"/>
      <c r="D7112" s="491" t="s">
        <v>11831</v>
      </c>
      <c r="E7112" s="480"/>
      <c r="F7112" s="43">
        <v>50000</v>
      </c>
      <c r="G7112" s="48">
        <f t="shared" si="177"/>
        <v>51967.01612903201</v>
      </c>
      <c r="H7112" s="388" t="s">
        <v>9567</v>
      </c>
      <c r="I7112" s="532"/>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11973</v>
      </c>
      <c r="E7115" s="43">
        <v>1850</v>
      </c>
      <c r="F7115" s="43"/>
      <c r="G7115" s="48">
        <f t="shared" si="177"/>
        <v>45717.01612903201</v>
      </c>
      <c r="H7115" s="388" t="s">
        <v>9567</v>
      </c>
    </row>
    <row r="7116" spans="1:9" x14ac:dyDescent="0.3">
      <c r="A7116" s="503">
        <v>45160</v>
      </c>
      <c r="B7116" s="396" t="s">
        <v>12046</v>
      </c>
      <c r="C7116" s="5" t="s">
        <v>9749</v>
      </c>
      <c r="D7116" s="5" t="s">
        <v>11974</v>
      </c>
      <c r="E7116" s="43">
        <v>5500</v>
      </c>
      <c r="F7116" s="43"/>
      <c r="G7116" s="48">
        <f t="shared" si="177"/>
        <v>40217.01612903201</v>
      </c>
      <c r="H7116" s="388" t="s">
        <v>9567</v>
      </c>
    </row>
    <row r="7117" spans="1:9" x14ac:dyDescent="0.3">
      <c r="A7117" s="503">
        <v>45160</v>
      </c>
      <c r="B7117" s="396" t="s">
        <v>11505</v>
      </c>
      <c r="C7117" s="5" t="s">
        <v>84</v>
      </c>
      <c r="D7117" s="5" t="s">
        <v>11975</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12044</v>
      </c>
      <c r="C7119" s="5" t="s">
        <v>9749</v>
      </c>
      <c r="D7119" s="5" t="s">
        <v>11977</v>
      </c>
      <c r="E7119" s="43">
        <v>1740</v>
      </c>
      <c r="F7119" s="43"/>
      <c r="G7119" s="48">
        <f t="shared" si="177"/>
        <v>32277.01612903201</v>
      </c>
      <c r="H7119" s="388" t="s">
        <v>9567</v>
      </c>
    </row>
    <row r="7120" spans="1:9" x14ac:dyDescent="0.3">
      <c r="A7120" s="503">
        <v>45160</v>
      </c>
      <c r="B7120" s="396" t="s">
        <v>10751</v>
      </c>
      <c r="C7120" s="5" t="s">
        <v>10800</v>
      </c>
      <c r="D7120" s="5" t="s">
        <v>11978</v>
      </c>
      <c r="E7120" s="43">
        <v>30000</v>
      </c>
      <c r="F7120" s="43"/>
      <c r="G7120" s="48">
        <f t="shared" si="177"/>
        <v>2277.0161290320102</v>
      </c>
      <c r="H7120" s="388" t="s">
        <v>9567</v>
      </c>
    </row>
    <row r="7121" spans="1:9" x14ac:dyDescent="0.3">
      <c r="A7121" s="503">
        <v>45160</v>
      </c>
      <c r="B7121" s="396" t="s">
        <v>12049</v>
      </c>
      <c r="C7121" s="5" t="s">
        <v>10800</v>
      </c>
      <c r="D7121" s="5" t="s">
        <v>11979</v>
      </c>
      <c r="E7121" s="43">
        <v>1800</v>
      </c>
      <c r="F7121" s="43"/>
      <c r="G7121" s="48">
        <f t="shared" si="177"/>
        <v>477.01612903201021</v>
      </c>
      <c r="H7121" s="388" t="s">
        <v>9567</v>
      </c>
    </row>
    <row r="7122" spans="1:9" x14ac:dyDescent="0.3">
      <c r="A7122" s="503">
        <v>45161</v>
      </c>
      <c r="B7122" s="565"/>
      <c r="C7122" s="480"/>
      <c r="D7122" s="491" t="s">
        <v>11980</v>
      </c>
      <c r="E7122" s="480"/>
      <c r="F7122" s="43">
        <v>200000</v>
      </c>
      <c r="G7122" s="48">
        <f t="shared" ref="G7122" si="178">G7121+F7122-E7122</f>
        <v>200477.01612903201</v>
      </c>
      <c r="H7122" s="388" t="s">
        <v>9567</v>
      </c>
      <c r="I7122" s="532"/>
    </row>
    <row r="7123" spans="1:9" x14ac:dyDescent="0.3">
      <c r="A7123" s="503">
        <v>45161</v>
      </c>
      <c r="B7123" s="396" t="s">
        <v>12047</v>
      </c>
      <c r="C7123" s="5" t="s">
        <v>5288</v>
      </c>
      <c r="D7123" s="5" t="s">
        <v>11981</v>
      </c>
      <c r="E7123" s="43">
        <v>18000</v>
      </c>
      <c r="F7123" s="43"/>
      <c r="G7123" s="48">
        <f t="shared" si="177"/>
        <v>182477.01612903201</v>
      </c>
      <c r="H7123" s="388" t="s">
        <v>9567</v>
      </c>
    </row>
    <row r="7124" spans="1:9" x14ac:dyDescent="0.3">
      <c r="A7124" s="503">
        <v>45161</v>
      </c>
      <c r="B7124" s="396" t="s">
        <v>12047</v>
      </c>
      <c r="C7124" s="5" t="s">
        <v>5288</v>
      </c>
      <c r="D7124" s="5" t="s">
        <v>11982</v>
      </c>
      <c r="E7124" s="43">
        <v>25000</v>
      </c>
      <c r="F7124" s="43"/>
      <c r="G7124" s="48">
        <f t="shared" si="177"/>
        <v>157477.01612903201</v>
      </c>
      <c r="H7124" s="388" t="s">
        <v>9567</v>
      </c>
    </row>
    <row r="7125" spans="1:9" x14ac:dyDescent="0.3">
      <c r="A7125" s="503">
        <v>45161</v>
      </c>
      <c r="B7125" s="565"/>
      <c r="C7125" s="480"/>
      <c r="D7125" s="491" t="s">
        <v>11983</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11823</v>
      </c>
      <c r="E7127" s="43">
        <v>1000</v>
      </c>
      <c r="F7127" s="43"/>
      <c r="G7127" s="48">
        <f t="shared" si="177"/>
        <v>153977.01612903201</v>
      </c>
      <c r="H7127" s="388" t="s">
        <v>9567</v>
      </c>
    </row>
    <row r="7128" spans="1:9" x14ac:dyDescent="0.3">
      <c r="A7128" s="503">
        <v>45161</v>
      </c>
      <c r="B7128" s="396" t="s">
        <v>25</v>
      </c>
      <c r="C7128" s="5" t="s">
        <v>25</v>
      </c>
      <c r="D7128" s="5" t="s">
        <v>11434</v>
      </c>
      <c r="E7128" s="43">
        <v>3000</v>
      </c>
      <c r="F7128" s="43"/>
      <c r="G7128" s="48">
        <f t="shared" si="177"/>
        <v>150977.01612903201</v>
      </c>
      <c r="H7128" s="388" t="s">
        <v>9567</v>
      </c>
    </row>
    <row r="7129" spans="1:9" x14ac:dyDescent="0.3">
      <c r="A7129" s="503">
        <v>45161</v>
      </c>
      <c r="B7129" s="396" t="s">
        <v>12048</v>
      </c>
      <c r="C7129" s="5" t="s">
        <v>10695</v>
      </c>
      <c r="D7129" s="5" t="s">
        <v>11986</v>
      </c>
      <c r="E7129" s="43">
        <v>1000</v>
      </c>
      <c r="F7129" s="43"/>
      <c r="G7129" s="48">
        <f t="shared" si="177"/>
        <v>149977.01612903201</v>
      </c>
      <c r="H7129" s="388" t="s">
        <v>9567</v>
      </c>
    </row>
    <row r="7130" spans="1:9" x14ac:dyDescent="0.3">
      <c r="A7130" s="503">
        <v>45161</v>
      </c>
      <c r="B7130" s="396" t="s">
        <v>12045</v>
      </c>
      <c r="C7130" s="5" t="s">
        <v>9749</v>
      </c>
      <c r="D7130" s="5" t="s">
        <v>11987</v>
      </c>
      <c r="E7130" s="43">
        <v>1500</v>
      </c>
      <c r="F7130" s="43"/>
      <c r="G7130" s="48">
        <f t="shared" si="177"/>
        <v>148477.01612903201</v>
      </c>
      <c r="H7130" s="388" t="s">
        <v>9567</v>
      </c>
    </row>
    <row r="7131" spans="1:9" x14ac:dyDescent="0.3">
      <c r="A7131" s="503">
        <v>45161</v>
      </c>
      <c r="B7131" s="396" t="s">
        <v>12044</v>
      </c>
      <c r="C7131" s="5" t="s">
        <v>9749</v>
      </c>
      <c r="D7131" s="5" t="s">
        <v>11967</v>
      </c>
      <c r="E7131" s="43">
        <v>9640</v>
      </c>
      <c r="F7131" s="43"/>
      <c r="G7131" s="48">
        <f t="shared" si="177"/>
        <v>138837.01612903201</v>
      </c>
      <c r="H7131" s="388" t="s">
        <v>9567</v>
      </c>
    </row>
    <row r="7132" spans="1:9" x14ac:dyDescent="0.3">
      <c r="A7132" s="503">
        <v>45161</v>
      </c>
      <c r="B7132" s="565"/>
      <c r="C7132" s="480"/>
      <c r="D7132" s="491" t="s">
        <v>11971</v>
      </c>
      <c r="E7132" s="480"/>
      <c r="F7132" s="43">
        <v>70000</v>
      </c>
      <c r="G7132" s="48">
        <f t="shared" si="177"/>
        <v>208837.01612903201</v>
      </c>
      <c r="H7132" s="388" t="s">
        <v>9567</v>
      </c>
      <c r="I7132" s="532"/>
    </row>
    <row r="7133" spans="1:9" x14ac:dyDescent="0.3">
      <c r="A7133" s="503">
        <v>45161</v>
      </c>
      <c r="B7133" s="396" t="s">
        <v>12046</v>
      </c>
      <c r="C7133" s="5" t="s">
        <v>11990</v>
      </c>
      <c r="D7133" s="5" t="s">
        <v>11991</v>
      </c>
      <c r="E7133" s="43">
        <v>3000</v>
      </c>
      <c r="F7133" s="43"/>
      <c r="G7133" s="48">
        <f t="shared" si="177"/>
        <v>205837.01612903201</v>
      </c>
      <c r="H7133" s="388" t="s">
        <v>9567</v>
      </c>
    </row>
    <row r="7134" spans="1:9" x14ac:dyDescent="0.3">
      <c r="A7134" s="503">
        <v>45161</v>
      </c>
      <c r="B7134" s="396" t="s">
        <v>12044</v>
      </c>
      <c r="C7134" s="5" t="s">
        <v>9451</v>
      </c>
      <c r="D7134" s="5" t="s">
        <v>11993</v>
      </c>
      <c r="E7134" s="43">
        <v>8000</v>
      </c>
      <c r="F7134" s="43"/>
      <c r="G7134" s="48">
        <f t="shared" si="177"/>
        <v>197837.01612903201</v>
      </c>
      <c r="H7134" s="388" t="s">
        <v>9567</v>
      </c>
    </row>
    <row r="7135" spans="1:9" x14ac:dyDescent="0.3">
      <c r="A7135" s="503">
        <v>45161</v>
      </c>
      <c r="B7135" s="396" t="s">
        <v>11743</v>
      </c>
      <c r="C7135" s="5" t="s">
        <v>11216</v>
      </c>
      <c r="D7135" s="5" t="s">
        <v>11845</v>
      </c>
      <c r="E7135" s="43">
        <v>10616</v>
      </c>
      <c r="F7135" s="43"/>
      <c r="G7135" s="48">
        <f t="shared" si="177"/>
        <v>187221.01612903201</v>
      </c>
      <c r="H7135" s="388" t="s">
        <v>9567</v>
      </c>
    </row>
    <row r="7136" spans="1:9" x14ac:dyDescent="0.3">
      <c r="A7136" s="503">
        <v>45161</v>
      </c>
      <c r="B7136" s="396" t="s">
        <v>12045</v>
      </c>
      <c r="C7136" s="5" t="s">
        <v>11216</v>
      </c>
      <c r="D7136" s="5" t="s">
        <v>11845</v>
      </c>
      <c r="E7136" s="43">
        <v>9986</v>
      </c>
      <c r="F7136" s="43"/>
      <c r="G7136" s="48">
        <f t="shared" si="177"/>
        <v>177235.01612903201</v>
      </c>
      <c r="H7136" s="388" t="s">
        <v>9567</v>
      </c>
    </row>
    <row r="7137" spans="1:8" x14ac:dyDescent="0.3">
      <c r="A7137" s="503">
        <v>45161</v>
      </c>
      <c r="B7137" s="396" t="s">
        <v>12046</v>
      </c>
      <c r="C7137" s="5" t="s">
        <v>84</v>
      </c>
      <c r="D7137" s="5" t="s">
        <v>11994</v>
      </c>
      <c r="E7137" s="43">
        <v>22000</v>
      </c>
      <c r="F7137" s="43"/>
      <c r="G7137" s="48">
        <f t="shared" si="177"/>
        <v>155235.01612903201</v>
      </c>
      <c r="H7137" s="388" t="s">
        <v>9567</v>
      </c>
    </row>
    <row r="7138" spans="1:8" x14ac:dyDescent="0.3">
      <c r="A7138" s="503">
        <v>45161</v>
      </c>
      <c r="B7138" s="396"/>
      <c r="C7138" s="5" t="s">
        <v>84</v>
      </c>
      <c r="D7138" s="5" t="s">
        <v>11995</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11791</v>
      </c>
      <c r="C7140" s="5" t="s">
        <v>54</v>
      </c>
      <c r="D7140" s="5" t="s">
        <v>10079</v>
      </c>
      <c r="E7140" s="43">
        <v>20000</v>
      </c>
      <c r="F7140" s="43"/>
      <c r="G7140" s="48">
        <f t="shared" si="177"/>
        <v>125035.01612903201</v>
      </c>
      <c r="H7140" s="388" t="s">
        <v>9567</v>
      </c>
    </row>
    <row r="7141" spans="1:8" x14ac:dyDescent="0.3">
      <c r="A7141" s="503">
        <v>45161</v>
      </c>
      <c r="B7141" s="396" t="s">
        <v>12047</v>
      </c>
      <c r="C7141" s="5" t="s">
        <v>10800</v>
      </c>
      <c r="D7141" s="5" t="s">
        <v>11996</v>
      </c>
      <c r="E7141" s="43">
        <v>44000</v>
      </c>
      <c r="F7141" s="43"/>
      <c r="G7141" s="48">
        <f t="shared" si="177"/>
        <v>81035.01612903201</v>
      </c>
      <c r="H7141" s="388" t="s">
        <v>9567</v>
      </c>
    </row>
    <row r="7142" spans="1:8" x14ac:dyDescent="0.3">
      <c r="A7142" s="503">
        <v>45161</v>
      </c>
      <c r="B7142" s="396" t="s">
        <v>12047</v>
      </c>
      <c r="C7142" s="5" t="s">
        <v>5793</v>
      </c>
      <c r="D7142" s="5" t="s">
        <v>8924</v>
      </c>
      <c r="E7142" s="43">
        <v>200</v>
      </c>
      <c r="F7142" s="43"/>
      <c r="G7142" s="48">
        <f t="shared" si="177"/>
        <v>80835.01612903201</v>
      </c>
      <c r="H7142" s="388" t="s">
        <v>9567</v>
      </c>
    </row>
    <row r="7143" spans="1:8" x14ac:dyDescent="0.3">
      <c r="A7143" s="503">
        <v>45162</v>
      </c>
      <c r="B7143" s="342" t="s">
        <v>12053</v>
      </c>
      <c r="C7143" s="5" t="s">
        <v>9749</v>
      </c>
      <c r="D7143" s="5" t="s">
        <v>11999</v>
      </c>
      <c r="E7143" s="43">
        <v>450</v>
      </c>
      <c r="F7143" s="43"/>
      <c r="G7143" s="48">
        <f t="shared" si="177"/>
        <v>80385.01612903201</v>
      </c>
      <c r="H7143" s="388" t="s">
        <v>9567</v>
      </c>
    </row>
    <row r="7144" spans="1:8" x14ac:dyDescent="0.3">
      <c r="A7144" s="503">
        <v>45162</v>
      </c>
      <c r="B7144" s="396" t="s">
        <v>11505</v>
      </c>
      <c r="C7144" s="5" t="s">
        <v>9749</v>
      </c>
      <c r="D7144" s="5" t="s">
        <v>12000</v>
      </c>
      <c r="E7144" s="43">
        <v>26000</v>
      </c>
      <c r="F7144" s="43"/>
      <c r="G7144" s="48">
        <f t="shared" si="177"/>
        <v>54385.01612903201</v>
      </c>
      <c r="H7144" s="388" t="s">
        <v>9567</v>
      </c>
    </row>
    <row r="7145" spans="1:8" x14ac:dyDescent="0.3">
      <c r="A7145" s="503">
        <v>45162</v>
      </c>
      <c r="B7145" s="396" t="s">
        <v>12044</v>
      </c>
      <c r="C7145" s="5" t="s">
        <v>9749</v>
      </c>
      <c r="D7145" s="5" t="s">
        <v>12001</v>
      </c>
      <c r="E7145" s="43">
        <v>3100</v>
      </c>
      <c r="F7145" s="43"/>
      <c r="G7145" s="48">
        <f t="shared" si="177"/>
        <v>51285.01612903201</v>
      </c>
      <c r="H7145" s="388" t="s">
        <v>9567</v>
      </c>
    </row>
    <row r="7146" spans="1:8" x14ac:dyDescent="0.3">
      <c r="A7146" s="503">
        <v>45163</v>
      </c>
      <c r="B7146" s="396" t="s">
        <v>10601</v>
      </c>
      <c r="C7146" s="5" t="s">
        <v>84</v>
      </c>
      <c r="D7146" s="5" t="s">
        <v>11997</v>
      </c>
      <c r="E7146" s="43">
        <v>5000</v>
      </c>
      <c r="F7146" s="43"/>
      <c r="G7146" s="48">
        <f t="shared" si="177"/>
        <v>46285.01612903201</v>
      </c>
      <c r="H7146" s="388" t="s">
        <v>9567</v>
      </c>
    </row>
    <row r="7147" spans="1:8" x14ac:dyDescent="0.3">
      <c r="A7147" s="503">
        <v>45163</v>
      </c>
      <c r="B7147" s="396" t="s">
        <v>10601</v>
      </c>
      <c r="C7147" s="5" t="s">
        <v>84</v>
      </c>
      <c r="D7147" s="5" t="s">
        <v>11998</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11434</v>
      </c>
      <c r="E7149" s="43">
        <v>3000</v>
      </c>
      <c r="F7149" s="43"/>
      <c r="G7149" s="48">
        <f t="shared" si="177"/>
        <v>32285.01612903201</v>
      </c>
      <c r="H7149" s="388" t="s">
        <v>9567</v>
      </c>
    </row>
    <row r="7150" spans="1:8" x14ac:dyDescent="0.3">
      <c r="A7150" s="503">
        <v>45163</v>
      </c>
      <c r="B7150" s="396" t="s">
        <v>12047</v>
      </c>
      <c r="C7150" s="5" t="s">
        <v>9749</v>
      </c>
      <c r="D7150" s="5" t="s">
        <v>12002</v>
      </c>
      <c r="E7150" s="43">
        <v>1100</v>
      </c>
      <c r="F7150" s="43"/>
      <c r="G7150" s="48">
        <f t="shared" si="177"/>
        <v>31185.01612903201</v>
      </c>
      <c r="H7150" s="388" t="s">
        <v>9567</v>
      </c>
    </row>
    <row r="7151" spans="1:8" x14ac:dyDescent="0.3">
      <c r="A7151" s="503">
        <v>45163</v>
      </c>
      <c r="B7151" s="396" t="s">
        <v>12047</v>
      </c>
      <c r="C7151" s="5" t="s">
        <v>5793</v>
      </c>
      <c r="D7151" s="5" t="s">
        <v>40</v>
      </c>
      <c r="E7151" s="43">
        <f>250+300+300</f>
        <v>850</v>
      </c>
      <c r="F7151" s="43"/>
      <c r="G7151" s="48">
        <f t="shared" si="177"/>
        <v>30335.01612903201</v>
      </c>
      <c r="H7151" s="388" t="s">
        <v>9567</v>
      </c>
    </row>
    <row r="7152" spans="1:8" x14ac:dyDescent="0.3">
      <c r="A7152" s="503">
        <v>45163</v>
      </c>
      <c r="B7152" s="396" t="s">
        <v>12044</v>
      </c>
      <c r="C7152" s="5" t="s">
        <v>5793</v>
      </c>
      <c r="D7152" s="5" t="s">
        <v>40</v>
      </c>
      <c r="E7152" s="43">
        <v>1000</v>
      </c>
      <c r="F7152" s="43"/>
      <c r="G7152" s="48">
        <f t="shared" si="177"/>
        <v>29335.01612903201</v>
      </c>
      <c r="H7152" s="388" t="s">
        <v>9567</v>
      </c>
    </row>
    <row r="7153" spans="1:9" x14ac:dyDescent="0.3">
      <c r="A7153" s="503">
        <v>45163</v>
      </c>
      <c r="B7153" s="396" t="s">
        <v>11505</v>
      </c>
      <c r="C7153" s="5" t="s">
        <v>5793</v>
      </c>
      <c r="D7153" s="5" t="s">
        <v>40</v>
      </c>
      <c r="E7153" s="43">
        <v>1000</v>
      </c>
      <c r="F7153" s="43"/>
      <c r="G7153" s="48">
        <f t="shared" si="177"/>
        <v>28335.01612903201</v>
      </c>
      <c r="H7153" s="388" t="s">
        <v>9567</v>
      </c>
    </row>
    <row r="7154" spans="1:9" x14ac:dyDescent="0.3">
      <c r="A7154" s="503">
        <v>45163</v>
      </c>
      <c r="B7154" s="396" t="s">
        <v>12046</v>
      </c>
      <c r="C7154" s="5" t="s">
        <v>5162</v>
      </c>
      <c r="D7154" s="5" t="s">
        <v>12003</v>
      </c>
      <c r="E7154" s="43">
        <v>5000</v>
      </c>
      <c r="F7154" s="43"/>
      <c r="G7154" s="48">
        <f t="shared" si="177"/>
        <v>23335.01612903201</v>
      </c>
      <c r="H7154" s="388" t="s">
        <v>9567</v>
      </c>
    </row>
    <row r="7155" spans="1:9" x14ac:dyDescent="0.3">
      <c r="A7155" s="503">
        <v>45163</v>
      </c>
      <c r="B7155" s="396" t="s">
        <v>10319</v>
      </c>
      <c r="C7155" s="5" t="s">
        <v>247</v>
      </c>
      <c r="D7155" s="5" t="s">
        <v>11449</v>
      </c>
      <c r="E7155" s="43">
        <v>15000</v>
      </c>
      <c r="F7155" s="43"/>
      <c r="G7155" s="48">
        <f t="shared" si="177"/>
        <v>8335.0161290320102</v>
      </c>
      <c r="H7155" s="388" t="s">
        <v>9567</v>
      </c>
    </row>
    <row r="7156" spans="1:9" x14ac:dyDescent="0.3">
      <c r="A7156" s="503">
        <v>45164</v>
      </c>
      <c r="B7156" s="565"/>
      <c r="C7156" s="480"/>
      <c r="D7156" s="491" t="s">
        <v>11980</v>
      </c>
      <c r="E7156" s="480"/>
      <c r="F7156" s="43">
        <v>398500</v>
      </c>
      <c r="G7156" s="48">
        <f t="shared" si="177"/>
        <v>406835.01612903201</v>
      </c>
      <c r="H7156" s="388" t="s">
        <v>9567</v>
      </c>
      <c r="I7156" s="532"/>
    </row>
    <row r="7157" spans="1:9" x14ac:dyDescent="0.3">
      <c r="A7157" s="503">
        <v>45164</v>
      </c>
      <c r="B7157" s="396" t="s">
        <v>11791</v>
      </c>
      <c r="C7157" s="5" t="s">
        <v>12005</v>
      </c>
      <c r="D7157" s="5" t="s">
        <v>12006</v>
      </c>
      <c r="E7157" s="43">
        <v>100000</v>
      </c>
      <c r="F7157" s="43"/>
      <c r="G7157" s="48">
        <f t="shared" si="177"/>
        <v>306835.01612903201</v>
      </c>
      <c r="H7157" s="388" t="s">
        <v>9567</v>
      </c>
    </row>
    <row r="7158" spans="1:9" x14ac:dyDescent="0.3">
      <c r="A7158" s="503">
        <v>45164</v>
      </c>
      <c r="B7158" s="396" t="s">
        <v>12044</v>
      </c>
      <c r="C7158" s="5" t="s">
        <v>9749</v>
      </c>
      <c r="D7158" s="5" t="s">
        <v>12007</v>
      </c>
      <c r="E7158" s="43">
        <v>133700</v>
      </c>
      <c r="F7158" s="43"/>
      <c r="G7158" s="48">
        <f t="shared" si="177"/>
        <v>173135.01612903201</v>
      </c>
      <c r="H7158" s="388" t="s">
        <v>9567</v>
      </c>
    </row>
    <row r="7159" spans="1:9" x14ac:dyDescent="0.3">
      <c r="A7159" s="503">
        <v>45164</v>
      </c>
      <c r="B7159" s="396"/>
      <c r="C7159" s="5" t="s">
        <v>541</v>
      </c>
      <c r="D7159" s="5" t="s">
        <v>12008</v>
      </c>
      <c r="E7159" s="43">
        <v>4000</v>
      </c>
      <c r="F7159" s="43"/>
      <c r="G7159" s="48">
        <f t="shared" si="177"/>
        <v>169135.01612903201</v>
      </c>
      <c r="H7159" s="388" t="s">
        <v>9567</v>
      </c>
    </row>
    <row r="7160" spans="1:9" x14ac:dyDescent="0.3">
      <c r="A7160" s="503">
        <v>45164</v>
      </c>
      <c r="B7160" s="396" t="s">
        <v>12047</v>
      </c>
      <c r="C7160" s="5" t="s">
        <v>5793</v>
      </c>
      <c r="D7160" s="5" t="s">
        <v>40</v>
      </c>
      <c r="E7160" s="43">
        <v>1700</v>
      </c>
      <c r="F7160" s="43"/>
      <c r="G7160" s="48">
        <f t="shared" si="177"/>
        <v>167435.01612903201</v>
      </c>
      <c r="H7160" s="388" t="s">
        <v>9567</v>
      </c>
    </row>
    <row r="7161" spans="1:9" x14ac:dyDescent="0.3">
      <c r="A7161" s="503">
        <v>45164</v>
      </c>
      <c r="B7161" s="396" t="s">
        <v>11505</v>
      </c>
      <c r="C7161" s="5" t="s">
        <v>11785</v>
      </c>
      <c r="D7161" s="5" t="s">
        <v>12012</v>
      </c>
      <c r="E7161" s="43">
        <v>1000</v>
      </c>
      <c r="F7161" s="43"/>
      <c r="G7161" s="48">
        <f t="shared" si="177"/>
        <v>166435.01612903201</v>
      </c>
      <c r="H7161" s="388" t="s">
        <v>9567</v>
      </c>
    </row>
    <row r="7162" spans="1:9" x14ac:dyDescent="0.3">
      <c r="A7162" s="503">
        <v>45164</v>
      </c>
      <c r="B7162" s="396" t="s">
        <v>25</v>
      </c>
      <c r="C7162" s="5" t="s">
        <v>84</v>
      </c>
      <c r="D7162" s="5" t="s">
        <v>12013</v>
      </c>
      <c r="E7162" s="43">
        <v>5000</v>
      </c>
      <c r="F7162" s="43"/>
      <c r="G7162" s="48">
        <f t="shared" si="177"/>
        <v>161435.01612903201</v>
      </c>
      <c r="H7162" s="388" t="s">
        <v>9567</v>
      </c>
    </row>
    <row r="7163" spans="1:9" x14ac:dyDescent="0.3">
      <c r="A7163" s="503">
        <v>45166</v>
      </c>
      <c r="B7163" s="396" t="s">
        <v>12134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5"/>
      <c r="C7165" s="480"/>
      <c r="D7165" s="491" t="s">
        <v>4106</v>
      </c>
      <c r="E7165" s="480"/>
      <c r="F7165" s="43">
        <v>200000</v>
      </c>
      <c r="G7165" s="48">
        <f t="shared" si="177"/>
        <v>200865.01612903201</v>
      </c>
      <c r="H7165" s="388" t="s">
        <v>9567</v>
      </c>
      <c r="I7165" s="532"/>
    </row>
    <row r="7166" spans="1:9" x14ac:dyDescent="0.3">
      <c r="A7166" s="503">
        <v>45166</v>
      </c>
      <c r="B7166" s="396" t="s">
        <v>11743</v>
      </c>
      <c r="C7166" s="5" t="s">
        <v>10695</v>
      </c>
      <c r="D7166" s="5" t="s">
        <v>12015</v>
      </c>
      <c r="E7166" s="43">
        <v>25000</v>
      </c>
      <c r="F7166" s="43"/>
      <c r="G7166" s="48">
        <f t="shared" si="177"/>
        <v>175865.01612903201</v>
      </c>
      <c r="H7166" s="388" t="s">
        <v>9567</v>
      </c>
    </row>
    <row r="7167" spans="1:9" x14ac:dyDescent="0.3">
      <c r="A7167" s="503">
        <v>45166</v>
      </c>
      <c r="B7167" s="396" t="s">
        <v>25</v>
      </c>
      <c r="C7167" s="5" t="s">
        <v>25</v>
      </c>
      <c r="D7167" s="5" t="s">
        <v>11434</v>
      </c>
      <c r="E7167" s="43">
        <v>3000</v>
      </c>
      <c r="F7167" s="43"/>
      <c r="G7167" s="48">
        <f t="shared" si="177"/>
        <v>172865.01612903201</v>
      </c>
      <c r="H7167" s="388" t="s">
        <v>9567</v>
      </c>
    </row>
    <row r="7168" spans="1:9" x14ac:dyDescent="0.3">
      <c r="A7168" s="503">
        <v>45166</v>
      </c>
      <c r="B7168" s="396" t="s">
        <v>12044</v>
      </c>
      <c r="C7168" s="5" t="s">
        <v>10800</v>
      </c>
      <c r="D7168" s="5" t="s">
        <v>4342</v>
      </c>
      <c r="E7168" s="43">
        <v>10000</v>
      </c>
      <c r="F7168" s="43"/>
      <c r="G7168" s="48">
        <f t="shared" si="177"/>
        <v>162865.01612903201</v>
      </c>
      <c r="H7168" s="388" t="s">
        <v>9567</v>
      </c>
    </row>
    <row r="7169" spans="1:9" x14ac:dyDescent="0.3">
      <c r="A7169" s="503">
        <v>45166</v>
      </c>
      <c r="B7169" s="396" t="s">
        <v>12044</v>
      </c>
      <c r="C7169" s="5" t="s">
        <v>10800</v>
      </c>
      <c r="D7169" s="5" t="s">
        <v>12016</v>
      </c>
      <c r="E7169" s="43">
        <v>51000</v>
      </c>
      <c r="F7169" s="43"/>
      <c r="G7169" s="48">
        <f t="shared" si="177"/>
        <v>111865.01612903201</v>
      </c>
      <c r="H7169" s="388" t="s">
        <v>9567</v>
      </c>
    </row>
    <row r="7170" spans="1:9" x14ac:dyDescent="0.3">
      <c r="A7170" s="503">
        <v>45166</v>
      </c>
      <c r="B7170" s="396" t="s">
        <v>12046</v>
      </c>
      <c r="C7170" s="5" t="s">
        <v>5793</v>
      </c>
      <c r="D7170" s="5" t="s">
        <v>8924</v>
      </c>
      <c r="E7170" s="43">
        <v>500</v>
      </c>
      <c r="F7170" s="43"/>
      <c r="G7170" s="48">
        <f t="shared" si="177"/>
        <v>111365.01612903201</v>
      </c>
      <c r="H7170" s="388" t="s">
        <v>9567</v>
      </c>
    </row>
    <row r="7171" spans="1:9" x14ac:dyDescent="0.3">
      <c r="A7171" s="503">
        <v>45166</v>
      </c>
      <c r="B7171" s="396" t="s">
        <v>12047</v>
      </c>
      <c r="C7171" s="5" t="s">
        <v>5793</v>
      </c>
      <c r="D7171" s="5" t="s">
        <v>40</v>
      </c>
      <c r="E7171" s="43">
        <v>1800</v>
      </c>
      <c r="F7171" s="43"/>
      <c r="G7171" s="48">
        <f t="shared" ref="G7171:G7179" si="179">G7170+F7171-E7171</f>
        <v>109565.01612903201</v>
      </c>
      <c r="H7171" s="388" t="s">
        <v>9567</v>
      </c>
    </row>
    <row r="7172" spans="1:9" x14ac:dyDescent="0.3">
      <c r="A7172" s="503">
        <v>45166</v>
      </c>
      <c r="B7172" s="396" t="s">
        <v>12047</v>
      </c>
      <c r="C7172" s="5" t="s">
        <v>10800</v>
      </c>
      <c r="D7172" s="5" t="s">
        <v>4342</v>
      </c>
      <c r="E7172" s="65">
        <v>22830</v>
      </c>
      <c r="F7172" s="65"/>
      <c r="G7172" s="48">
        <f t="shared" si="179"/>
        <v>86735.01612903201</v>
      </c>
      <c r="H7172" s="388" t="s">
        <v>9567</v>
      </c>
    </row>
    <row r="7173" spans="1:9" x14ac:dyDescent="0.3">
      <c r="A7173" s="503">
        <v>45166</v>
      </c>
      <c r="B7173" s="396" t="s">
        <v>12046</v>
      </c>
      <c r="C7173" s="5" t="s">
        <v>10800</v>
      </c>
      <c r="D7173" s="5" t="s">
        <v>12017</v>
      </c>
      <c r="E7173" s="43">
        <v>69000</v>
      </c>
      <c r="F7173" s="43"/>
      <c r="G7173" s="48">
        <f t="shared" si="179"/>
        <v>17735.01612903201</v>
      </c>
      <c r="H7173" s="388" t="s">
        <v>9567</v>
      </c>
    </row>
    <row r="7174" spans="1:9" x14ac:dyDescent="0.3">
      <c r="A7174" s="503">
        <v>45166</v>
      </c>
      <c r="B7174" s="396" t="s">
        <v>12044</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11434</v>
      </c>
      <c r="E7176" s="43">
        <v>3500</v>
      </c>
      <c r="F7176" s="43"/>
      <c r="G7176" s="48">
        <f t="shared" si="179"/>
        <v>2735.0161290320102</v>
      </c>
      <c r="H7176" s="388" t="s">
        <v>9567</v>
      </c>
    </row>
    <row r="7177" spans="1:9" x14ac:dyDescent="0.3">
      <c r="A7177" s="503">
        <v>45167</v>
      </c>
      <c r="B7177" s="565"/>
      <c r="C7177" s="480"/>
      <c r="D7177" s="491" t="s">
        <v>11980</v>
      </c>
      <c r="E7177" s="480"/>
      <c r="F7177" s="43">
        <v>100000</v>
      </c>
      <c r="G7177" s="48">
        <f t="shared" si="179"/>
        <v>102735.01612903201</v>
      </c>
      <c r="H7177" s="388" t="s">
        <v>9567</v>
      </c>
      <c r="I7177" s="532"/>
    </row>
    <row r="7178" spans="1:9" x14ac:dyDescent="0.3">
      <c r="A7178" s="503">
        <v>45167</v>
      </c>
      <c r="B7178" s="396"/>
      <c r="C7178" s="5" t="s">
        <v>5162</v>
      </c>
      <c r="D7178" s="5" t="s">
        <v>3910</v>
      </c>
      <c r="E7178" s="43">
        <v>5000</v>
      </c>
      <c r="F7178" s="43"/>
      <c r="G7178" s="48">
        <f t="shared" si="179"/>
        <v>97735.01612903201</v>
      </c>
      <c r="H7178" s="388" t="s">
        <v>9567</v>
      </c>
      <c r="I7178" s="532"/>
    </row>
    <row r="7179" spans="1:9" x14ac:dyDescent="0.3">
      <c r="A7179" s="503">
        <v>45167</v>
      </c>
      <c r="B7179" s="396" t="s">
        <v>11505</v>
      </c>
      <c r="C7179" s="5" t="s">
        <v>9044</v>
      </c>
      <c r="D7179" s="5" t="s">
        <v>10994</v>
      </c>
      <c r="E7179" s="43">
        <v>8000</v>
      </c>
      <c r="F7179" s="43"/>
      <c r="G7179" s="48">
        <f t="shared" si="179"/>
        <v>89735.01612903201</v>
      </c>
      <c r="H7179" s="388" t="s">
        <v>9567</v>
      </c>
    </row>
    <row r="7180" spans="1:9" x14ac:dyDescent="0.3">
      <c r="A7180" s="503">
        <v>45167</v>
      </c>
      <c r="B7180" s="396" t="s">
        <v>12050</v>
      </c>
      <c r="C7180" s="61" t="s">
        <v>10800</v>
      </c>
      <c r="D7180" s="61" t="s">
        <v>12025</v>
      </c>
      <c r="E7180" s="62">
        <v>17400</v>
      </c>
      <c r="F7180" s="43"/>
      <c r="G7180" s="48">
        <f t="shared" ref="G7180:G7244" si="180">G7179+F7180-E7180</f>
        <v>72335.01612903201</v>
      </c>
      <c r="H7180" s="388" t="s">
        <v>9567</v>
      </c>
    </row>
    <row r="7181" spans="1:9" x14ac:dyDescent="0.3">
      <c r="A7181" s="503">
        <v>45167</v>
      </c>
      <c r="B7181" s="396" t="s">
        <v>12044</v>
      </c>
      <c r="C7181" s="5" t="s">
        <v>10800</v>
      </c>
      <c r="D7181" s="5" t="s">
        <v>12026</v>
      </c>
      <c r="E7181" s="43">
        <v>6924</v>
      </c>
      <c r="F7181" s="43"/>
      <c r="G7181" s="48">
        <f t="shared" si="180"/>
        <v>65411.01612903201</v>
      </c>
      <c r="H7181" s="388" t="s">
        <v>9567</v>
      </c>
    </row>
    <row r="7182" spans="1:9" x14ac:dyDescent="0.3">
      <c r="A7182" s="503">
        <v>45167</v>
      </c>
      <c r="B7182" s="396" t="s">
        <v>12045</v>
      </c>
      <c r="C7182" s="5" t="s">
        <v>10800</v>
      </c>
      <c r="D7182" s="5" t="s">
        <v>12027</v>
      </c>
      <c r="E7182" s="43">
        <v>480</v>
      </c>
      <c r="F7182" s="43"/>
      <c r="G7182" s="48">
        <f t="shared" si="180"/>
        <v>64931.01612903201</v>
      </c>
      <c r="H7182" s="388" t="s">
        <v>9567</v>
      </c>
    </row>
    <row r="7183" spans="1:9" x14ac:dyDescent="0.3">
      <c r="A7183" s="503">
        <v>45167</v>
      </c>
      <c r="B7183" s="396" t="s">
        <v>12045</v>
      </c>
      <c r="C7183" s="5" t="s">
        <v>9451</v>
      </c>
      <c r="D7183" s="5" t="s">
        <v>12028</v>
      </c>
      <c r="E7183" s="43">
        <v>7000</v>
      </c>
      <c r="F7183" s="43"/>
      <c r="G7183" s="48">
        <f t="shared" si="180"/>
        <v>57931.01612903201</v>
      </c>
      <c r="H7183" s="388" t="s">
        <v>9567</v>
      </c>
    </row>
    <row r="7184" spans="1:9" x14ac:dyDescent="0.3">
      <c r="A7184" s="503">
        <v>45167</v>
      </c>
      <c r="B7184" s="396" t="s">
        <v>12045</v>
      </c>
      <c r="C7184" s="5" t="s">
        <v>5793</v>
      </c>
      <c r="D7184" s="5" t="s">
        <v>40</v>
      </c>
      <c r="E7184" s="43">
        <v>1600</v>
      </c>
      <c r="F7184" s="43"/>
      <c r="G7184" s="48">
        <f t="shared" si="180"/>
        <v>56331.01612903201</v>
      </c>
      <c r="H7184" s="388" t="s">
        <v>9567</v>
      </c>
    </row>
    <row r="7185" spans="1:9" x14ac:dyDescent="0.3">
      <c r="A7185" s="503">
        <v>45167</v>
      </c>
      <c r="B7185" s="396" t="s">
        <v>12050</v>
      </c>
      <c r="C7185" s="5" t="s">
        <v>5793</v>
      </c>
      <c r="D7185" s="5" t="s">
        <v>40</v>
      </c>
      <c r="E7185" s="43">
        <v>3000</v>
      </c>
      <c r="F7185" s="43"/>
      <c r="G7185" s="48">
        <f t="shared" si="180"/>
        <v>53331.01612903201</v>
      </c>
      <c r="H7185" s="388" t="s">
        <v>9567</v>
      </c>
    </row>
    <row r="7186" spans="1:9" x14ac:dyDescent="0.3">
      <c r="A7186" s="503">
        <v>45167</v>
      </c>
      <c r="B7186" s="396" t="s">
        <v>12045</v>
      </c>
      <c r="C7186" s="5" t="s">
        <v>5793</v>
      </c>
      <c r="D7186" s="5" t="s">
        <v>40</v>
      </c>
      <c r="E7186" s="43">
        <v>1600</v>
      </c>
      <c r="F7186" s="43"/>
      <c r="G7186" s="48">
        <f t="shared" si="180"/>
        <v>51731.01612903201</v>
      </c>
      <c r="H7186" s="388" t="s">
        <v>9567</v>
      </c>
    </row>
    <row r="7187" spans="1:9" x14ac:dyDescent="0.3">
      <c r="A7187" s="503">
        <v>45167</v>
      </c>
      <c r="B7187" s="396" t="s">
        <v>12047</v>
      </c>
      <c r="C7187" s="5" t="s">
        <v>5793</v>
      </c>
      <c r="D7187" s="5" t="s">
        <v>40</v>
      </c>
      <c r="E7187" s="43">
        <v>1000</v>
      </c>
      <c r="F7187" s="43"/>
      <c r="G7187" s="48">
        <f t="shared" si="180"/>
        <v>50731.01612903201</v>
      </c>
      <c r="H7187" s="388" t="s">
        <v>9567</v>
      </c>
    </row>
    <row r="7188" spans="1:9" x14ac:dyDescent="0.3">
      <c r="A7188" s="503">
        <v>45167</v>
      </c>
      <c r="B7188" s="396" t="s">
        <v>11743</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11434</v>
      </c>
      <c r="E7191" s="43">
        <v>3500</v>
      </c>
      <c r="F7191" s="43"/>
      <c r="G7191" s="48">
        <f t="shared" si="180"/>
        <v>30731.01612903201</v>
      </c>
      <c r="H7191" s="388" t="s">
        <v>9567</v>
      </c>
    </row>
    <row r="7192" spans="1:9" x14ac:dyDescent="0.3">
      <c r="A7192" s="503">
        <v>45168</v>
      </c>
      <c r="B7192" s="396" t="s">
        <v>11505</v>
      </c>
      <c r="C7192" s="5" t="s">
        <v>12029</v>
      </c>
      <c r="D7192" s="5" t="s">
        <v>12030</v>
      </c>
      <c r="E7192" s="43">
        <v>1500</v>
      </c>
      <c r="F7192" s="43"/>
      <c r="G7192" s="48">
        <f t="shared" si="180"/>
        <v>29231.01612903201</v>
      </c>
      <c r="H7192" s="388" t="s">
        <v>9567</v>
      </c>
    </row>
    <row r="7193" spans="1:9" x14ac:dyDescent="0.3">
      <c r="A7193" s="503">
        <v>45168</v>
      </c>
      <c r="B7193" s="565"/>
      <c r="C7193" s="480"/>
      <c r="D7193" s="491" t="s">
        <v>12031</v>
      </c>
      <c r="E7193" s="480"/>
      <c r="F7193" s="43">
        <v>30000</v>
      </c>
      <c r="G7193" s="48">
        <f t="shared" si="180"/>
        <v>59231.01612903201</v>
      </c>
      <c r="H7193" s="388" t="s">
        <v>9567</v>
      </c>
      <c r="I7193" s="532"/>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12044</v>
      </c>
      <c r="C7195" s="5" t="s">
        <v>9749</v>
      </c>
      <c r="D7195" s="5" t="s">
        <v>12033</v>
      </c>
      <c r="E7195" s="43">
        <v>20000</v>
      </c>
      <c r="F7195" s="43"/>
      <c r="G7195" s="48">
        <f t="shared" si="180"/>
        <v>34231.01612903201</v>
      </c>
      <c r="H7195" s="388" t="s">
        <v>9567</v>
      </c>
    </row>
    <row r="7196" spans="1:9" x14ac:dyDescent="0.3">
      <c r="A7196" s="503">
        <v>45168</v>
      </c>
      <c r="B7196" s="396" t="s">
        <v>12045</v>
      </c>
      <c r="C7196" s="5" t="s">
        <v>5793</v>
      </c>
      <c r="D7196" s="5" t="s">
        <v>40</v>
      </c>
      <c r="E7196" s="43">
        <v>1500</v>
      </c>
      <c r="F7196" s="43"/>
      <c r="G7196" s="48">
        <f t="shared" si="180"/>
        <v>32731.01612903201</v>
      </c>
      <c r="H7196" s="388" t="s">
        <v>9567</v>
      </c>
    </row>
    <row r="7197" spans="1:9" x14ac:dyDescent="0.3">
      <c r="A7197" s="503">
        <v>45168</v>
      </c>
      <c r="B7197" s="396"/>
      <c r="C7197" s="5" t="s">
        <v>84</v>
      </c>
      <c r="D7197" s="5" t="s">
        <v>12038</v>
      </c>
      <c r="E7197" s="43">
        <v>1000</v>
      </c>
      <c r="F7197" s="43"/>
      <c r="G7197" s="48">
        <f t="shared" si="180"/>
        <v>31731.01612903201</v>
      </c>
      <c r="H7197" s="388" t="s">
        <v>9567</v>
      </c>
    </row>
    <row r="7198" spans="1:9" x14ac:dyDescent="0.3">
      <c r="A7198" s="503">
        <v>45169</v>
      </c>
      <c r="B7198" s="396" t="s">
        <v>12044</v>
      </c>
      <c r="C7198" s="5" t="s">
        <v>541</v>
      </c>
      <c r="D7198" s="5" t="s">
        <v>11823</v>
      </c>
      <c r="E7198" s="43">
        <v>5000</v>
      </c>
      <c r="F7198" s="43"/>
      <c r="G7198" s="48">
        <f t="shared" si="180"/>
        <v>26731.01612903201</v>
      </c>
      <c r="H7198" s="388" t="s">
        <v>9567</v>
      </c>
    </row>
    <row r="7199" spans="1:9" x14ac:dyDescent="0.3">
      <c r="A7199" s="503">
        <v>45169</v>
      </c>
      <c r="B7199" s="396" t="s">
        <v>25</v>
      </c>
      <c r="C7199" s="5" t="s">
        <v>25</v>
      </c>
      <c r="D7199" s="5" t="s">
        <v>11434</v>
      </c>
      <c r="E7199" s="43">
        <v>3500</v>
      </c>
      <c r="F7199" s="43"/>
      <c r="G7199" s="48">
        <f t="shared" si="180"/>
        <v>23231.01612903201</v>
      </c>
      <c r="H7199" s="388" t="s">
        <v>9567</v>
      </c>
    </row>
    <row r="7200" spans="1:9" x14ac:dyDescent="0.3">
      <c r="A7200" s="503">
        <v>45169</v>
      </c>
      <c r="B7200" s="396"/>
      <c r="C7200" s="5" t="s">
        <v>4550</v>
      </c>
      <c r="D7200" s="5" t="s">
        <v>12036</v>
      </c>
      <c r="E7200" s="43">
        <v>15000</v>
      </c>
      <c r="F7200" s="43"/>
      <c r="G7200" s="48">
        <f t="shared" si="180"/>
        <v>8231.0161290320102</v>
      </c>
      <c r="H7200" s="388" t="s">
        <v>9567</v>
      </c>
    </row>
    <row r="7201" spans="1:9" x14ac:dyDescent="0.3">
      <c r="A7201" s="503">
        <v>45169</v>
      </c>
      <c r="B7201" s="396"/>
      <c r="C7201" s="5" t="s">
        <v>4550</v>
      </c>
      <c r="D7201" s="5" t="s">
        <v>12037</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5"/>
      <c r="C7203" s="480"/>
      <c r="D7203" s="491" t="s">
        <v>4106</v>
      </c>
      <c r="E7203" s="480"/>
      <c r="F7203" s="43">
        <v>150000</v>
      </c>
      <c r="G7203" s="48">
        <f t="shared" si="180"/>
        <v>152881.01612903201</v>
      </c>
      <c r="H7203" s="388" t="s">
        <v>9567</v>
      </c>
      <c r="I7203" s="532"/>
    </row>
    <row r="7204" spans="1:9" x14ac:dyDescent="0.3">
      <c r="A7204" s="503">
        <v>45170</v>
      </c>
      <c r="B7204" s="396" t="s">
        <v>12047</v>
      </c>
      <c r="C7204" s="5" t="s">
        <v>6430</v>
      </c>
      <c r="D7204" s="5" t="s">
        <v>12043</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11951</v>
      </c>
      <c r="E7206" s="43">
        <v>3000</v>
      </c>
      <c r="F7206" s="43"/>
      <c r="G7206" s="48">
        <f t="shared" si="180"/>
        <v>139481.01612903201</v>
      </c>
      <c r="H7206" s="388" t="s">
        <v>9567</v>
      </c>
    </row>
    <row r="7207" spans="1:9" x14ac:dyDescent="0.3">
      <c r="A7207" s="503">
        <v>45170</v>
      </c>
      <c r="B7207" s="396" t="s">
        <v>12050</v>
      </c>
      <c r="C7207" s="5" t="s">
        <v>12058</v>
      </c>
      <c r="D7207" s="5" t="s">
        <v>12059</v>
      </c>
      <c r="E7207" s="43">
        <v>39000</v>
      </c>
      <c r="F7207" s="43"/>
      <c r="G7207" s="48">
        <f t="shared" si="180"/>
        <v>100481.01612903201</v>
      </c>
      <c r="H7207" s="388" t="s">
        <v>9567</v>
      </c>
    </row>
    <row r="7208" spans="1:9" x14ac:dyDescent="0.3">
      <c r="A7208" s="503">
        <v>45170</v>
      </c>
      <c r="B7208" s="396" t="s">
        <v>12050</v>
      </c>
      <c r="C7208" s="5" t="s">
        <v>10800</v>
      </c>
      <c r="D7208" s="5" t="s">
        <v>12060</v>
      </c>
      <c r="E7208" s="43">
        <v>8640</v>
      </c>
      <c r="F7208" s="43"/>
      <c r="G7208" s="48">
        <f t="shared" si="180"/>
        <v>91841.01612903201</v>
      </c>
      <c r="H7208" s="388" t="s">
        <v>9567</v>
      </c>
    </row>
    <row r="7209" spans="1:9" x14ac:dyDescent="0.3">
      <c r="A7209" s="503">
        <v>45171</v>
      </c>
      <c r="B7209" s="396" t="s">
        <v>25</v>
      </c>
      <c r="C7209" s="5" t="s">
        <v>25</v>
      </c>
      <c r="D7209" s="5" t="s">
        <v>11434</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12056</v>
      </c>
      <c r="E7211" s="43">
        <v>4000</v>
      </c>
      <c r="F7211" s="43"/>
      <c r="G7211" s="48">
        <f t="shared" si="180"/>
        <v>81841.01612903201</v>
      </c>
      <c r="H7211" s="388" t="s">
        <v>9567</v>
      </c>
    </row>
    <row r="7212" spans="1:9" x14ac:dyDescent="0.3">
      <c r="A7212" s="503">
        <v>45171</v>
      </c>
      <c r="B7212" s="396" t="s">
        <v>12046</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12134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11434</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12046</v>
      </c>
      <c r="C7220" s="5"/>
      <c r="D7220" s="5" t="s">
        <v>12057</v>
      </c>
      <c r="E7220" s="43">
        <v>5000</v>
      </c>
      <c r="F7220" s="43"/>
      <c r="G7220" s="48">
        <f t="shared" si="180"/>
        <v>46901.01612903201</v>
      </c>
      <c r="H7220" s="388" t="s">
        <v>9567</v>
      </c>
    </row>
    <row r="7221" spans="1:8" x14ac:dyDescent="0.3">
      <c r="A7221" s="503">
        <v>45173</v>
      </c>
      <c r="B7221" s="396" t="s">
        <v>12044</v>
      </c>
      <c r="C7221" s="5"/>
      <c r="D7221" s="5" t="s">
        <v>12061</v>
      </c>
      <c r="E7221" s="43">
        <v>34000</v>
      </c>
      <c r="F7221" s="43"/>
      <c r="G7221" s="48">
        <f t="shared" si="180"/>
        <v>12901.01612903201</v>
      </c>
      <c r="H7221" s="388" t="s">
        <v>9567</v>
      </c>
    </row>
    <row r="7222" spans="1:8" x14ac:dyDescent="0.3">
      <c r="A7222" s="503">
        <v>45173</v>
      </c>
      <c r="B7222" s="396" t="s">
        <v>12047</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5"/>
      <c r="C7224" s="480"/>
      <c r="D7224" s="491" t="s">
        <v>4106</v>
      </c>
      <c r="E7224" s="480"/>
      <c r="F7224" s="43">
        <v>150000</v>
      </c>
      <c r="G7224" s="48">
        <f t="shared" si="180"/>
        <v>154201.01612903201</v>
      </c>
      <c r="H7224" s="388" t="s">
        <v>9567</v>
      </c>
    </row>
    <row r="7225" spans="1:8" x14ac:dyDescent="0.3">
      <c r="A7225" s="503">
        <v>45173</v>
      </c>
      <c r="B7225" s="396" t="s">
        <v>12054</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12062</v>
      </c>
      <c r="E7226" s="43">
        <v>10000</v>
      </c>
      <c r="F7226" s="43"/>
      <c r="G7226" s="48">
        <f t="shared" si="180"/>
        <v>114201.01612903201</v>
      </c>
      <c r="H7226" s="388" t="s">
        <v>9567</v>
      </c>
    </row>
    <row r="7227" spans="1:8" x14ac:dyDescent="0.3">
      <c r="A7227" s="503">
        <v>45173</v>
      </c>
      <c r="B7227" s="396" t="s">
        <v>12047</v>
      </c>
      <c r="C7227" s="5" t="s">
        <v>6430</v>
      </c>
      <c r="D7227" s="5" t="s">
        <v>294</v>
      </c>
      <c r="E7227" s="43">
        <v>20000</v>
      </c>
      <c r="F7227" s="43"/>
      <c r="G7227" s="48">
        <f t="shared" si="180"/>
        <v>94201.01612903201</v>
      </c>
      <c r="H7227" s="388" t="s">
        <v>9567</v>
      </c>
    </row>
    <row r="7228" spans="1:8" x14ac:dyDescent="0.3">
      <c r="A7228" s="503">
        <v>45173</v>
      </c>
      <c r="B7228" s="396" t="s">
        <v>12050</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12063</v>
      </c>
      <c r="E7229" s="43">
        <v>23000</v>
      </c>
      <c r="F7229" s="43"/>
      <c r="G7229" s="48">
        <f t="shared" si="180"/>
        <v>21201.01612903201</v>
      </c>
      <c r="H7229" s="388" t="s">
        <v>9567</v>
      </c>
    </row>
    <row r="7230" spans="1:8" x14ac:dyDescent="0.3">
      <c r="A7230" s="503">
        <v>45173</v>
      </c>
      <c r="B7230" s="396" t="s">
        <v>12046</v>
      </c>
      <c r="C7230" s="5" t="s">
        <v>5162</v>
      </c>
      <c r="D7230" s="5" t="s">
        <v>5813</v>
      </c>
      <c r="E7230" s="43">
        <v>2000</v>
      </c>
      <c r="F7230" s="43"/>
      <c r="G7230" s="48">
        <f t="shared" si="180"/>
        <v>19201.01612903201</v>
      </c>
      <c r="H7230" s="388" t="s">
        <v>9567</v>
      </c>
    </row>
    <row r="7231" spans="1:8" x14ac:dyDescent="0.3">
      <c r="A7231" s="503">
        <v>45174</v>
      </c>
      <c r="B7231" s="396" t="s">
        <v>12046</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12064</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5"/>
      <c r="C7234" s="480"/>
      <c r="D7234" s="491" t="s">
        <v>4364</v>
      </c>
      <c r="E7234" s="480"/>
      <c r="F7234" s="43">
        <v>100000</v>
      </c>
      <c r="G7234" s="48">
        <f t="shared" si="180"/>
        <v>104801.01612903201</v>
      </c>
      <c r="H7234" s="388" t="s">
        <v>9567</v>
      </c>
    </row>
    <row r="7235" spans="1:8" x14ac:dyDescent="0.3">
      <c r="A7235" s="503">
        <v>45174</v>
      </c>
      <c r="B7235" s="396" t="s">
        <v>12045</v>
      </c>
      <c r="C7235" s="5" t="s">
        <v>9749</v>
      </c>
      <c r="D7235" s="5" t="s">
        <v>4342</v>
      </c>
      <c r="E7235" s="43">
        <v>62965</v>
      </c>
      <c r="F7235" s="43"/>
      <c r="G7235" s="48">
        <f t="shared" si="180"/>
        <v>41836.01612903201</v>
      </c>
      <c r="H7235" s="388" t="s">
        <v>9567</v>
      </c>
    </row>
    <row r="7236" spans="1:8" x14ac:dyDescent="0.3">
      <c r="A7236" s="503">
        <v>45174</v>
      </c>
      <c r="B7236" s="396" t="s">
        <v>12048</v>
      </c>
      <c r="C7236" s="5" t="s">
        <v>9749</v>
      </c>
      <c r="D7236" s="5" t="s">
        <v>4342</v>
      </c>
      <c r="E7236" s="43">
        <v>2800</v>
      </c>
      <c r="F7236" s="43"/>
      <c r="G7236" s="48">
        <f t="shared" si="180"/>
        <v>39036.01612903201</v>
      </c>
      <c r="H7236" s="388" t="s">
        <v>9567</v>
      </c>
    </row>
    <row r="7237" spans="1:8" x14ac:dyDescent="0.3">
      <c r="A7237" s="503">
        <v>45174</v>
      </c>
      <c r="B7237" s="396" t="s">
        <v>12044</v>
      </c>
      <c r="C7237" s="5" t="s">
        <v>9749</v>
      </c>
      <c r="D7237" s="5" t="s">
        <v>12068</v>
      </c>
      <c r="E7237" s="43">
        <v>2950</v>
      </c>
      <c r="F7237" s="43"/>
      <c r="G7237" s="48">
        <f t="shared" si="180"/>
        <v>36086.01612903201</v>
      </c>
      <c r="H7237" s="388" t="s">
        <v>9567</v>
      </c>
    </row>
    <row r="7238" spans="1:8" x14ac:dyDescent="0.3">
      <c r="A7238" s="503">
        <v>45174</v>
      </c>
      <c r="B7238" s="396" t="s">
        <v>12045</v>
      </c>
      <c r="C7238" s="5" t="s">
        <v>9749</v>
      </c>
      <c r="D7238" s="5" t="s">
        <v>12069</v>
      </c>
      <c r="E7238" s="43">
        <v>16500</v>
      </c>
      <c r="F7238" s="43"/>
      <c r="G7238" s="48">
        <f t="shared" si="180"/>
        <v>19586.01612903201</v>
      </c>
      <c r="H7238" s="388" t="s">
        <v>9567</v>
      </c>
    </row>
    <row r="7239" spans="1:8" x14ac:dyDescent="0.3">
      <c r="A7239" s="503">
        <v>45174</v>
      </c>
      <c r="B7239" s="396" t="s">
        <v>12045</v>
      </c>
      <c r="C7239" s="5" t="s">
        <v>5793</v>
      </c>
      <c r="D7239" s="5" t="s">
        <v>40</v>
      </c>
      <c r="E7239" s="43">
        <v>700</v>
      </c>
      <c r="F7239" s="43"/>
      <c r="G7239" s="48">
        <f t="shared" si="180"/>
        <v>18886.01612903201</v>
      </c>
      <c r="H7239" s="388" t="s">
        <v>9567</v>
      </c>
    </row>
    <row r="7240" spans="1:8" x14ac:dyDescent="0.3">
      <c r="A7240" s="503">
        <v>45174</v>
      </c>
      <c r="B7240" s="396" t="s">
        <v>12045</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11434</v>
      </c>
      <c r="E7241" s="43">
        <v>3500</v>
      </c>
      <c r="F7241" s="43"/>
      <c r="G7241" s="48">
        <f t="shared" si="180"/>
        <v>14056.01612903201</v>
      </c>
      <c r="H7241" s="388" t="s">
        <v>9567</v>
      </c>
    </row>
    <row r="7242" spans="1:8" x14ac:dyDescent="0.3">
      <c r="A7242" s="503">
        <v>45175</v>
      </c>
      <c r="B7242" s="565"/>
      <c r="C7242" s="480"/>
      <c r="D7242" s="491" t="s">
        <v>4364</v>
      </c>
      <c r="E7242" s="480"/>
      <c r="F7242" s="43">
        <v>1300000</v>
      </c>
      <c r="G7242" s="48">
        <f t="shared" si="180"/>
        <v>1314056.016129032</v>
      </c>
      <c r="H7242" s="388" t="s">
        <v>9567</v>
      </c>
    </row>
    <row r="7243" spans="1:8" x14ac:dyDescent="0.3">
      <c r="A7243" s="503">
        <v>45175</v>
      </c>
      <c r="B7243" s="406"/>
      <c r="C7243" s="61" t="s">
        <v>54</v>
      </c>
      <c r="D7243" s="61" t="s">
        <v>12083</v>
      </c>
      <c r="E7243" s="62">
        <v>47120</v>
      </c>
      <c r="F7243" s="43"/>
      <c r="G7243" s="48">
        <f t="shared" si="180"/>
        <v>1266936.016129032</v>
      </c>
      <c r="H7243" s="388" t="s">
        <v>9567</v>
      </c>
    </row>
    <row r="7244" spans="1:8" x14ac:dyDescent="0.3">
      <c r="A7244" s="503">
        <v>45175</v>
      </c>
      <c r="B7244" s="396" t="s">
        <v>12047</v>
      </c>
      <c r="C7244" s="5" t="s">
        <v>6430</v>
      </c>
      <c r="D7244" s="5" t="s">
        <v>294</v>
      </c>
      <c r="E7244" s="43">
        <v>20000</v>
      </c>
      <c r="F7244" s="43"/>
      <c r="G7244" s="48">
        <f t="shared" si="180"/>
        <v>1246936.016129032</v>
      </c>
      <c r="H7244" s="388" t="s">
        <v>9567</v>
      </c>
    </row>
    <row r="7245" spans="1:8" x14ac:dyDescent="0.3">
      <c r="A7245" s="503">
        <v>45175</v>
      </c>
      <c r="B7245" s="396" t="s">
        <v>12135</v>
      </c>
      <c r="C7245" s="5" t="s">
        <v>5979</v>
      </c>
      <c r="D7245" s="5" t="s">
        <v>438</v>
      </c>
      <c r="E7245" s="43">
        <v>25000</v>
      </c>
      <c r="F7245" s="43"/>
      <c r="G7245" s="48">
        <f t="shared" ref="G7245:G7308" si="181">G7244+F7245-E7245</f>
        <v>1221936.016129032</v>
      </c>
      <c r="H7245" s="388" t="s">
        <v>9567</v>
      </c>
    </row>
    <row r="7246" spans="1:8" x14ac:dyDescent="0.3">
      <c r="A7246" s="503">
        <v>45175</v>
      </c>
      <c r="B7246" s="556" t="s">
        <v>12046</v>
      </c>
      <c r="C7246" s="5" t="s">
        <v>12075</v>
      </c>
      <c r="D7246" s="5" t="s">
        <v>438</v>
      </c>
      <c r="E7246" s="43">
        <v>25000</v>
      </c>
      <c r="F7246" s="43"/>
      <c r="G7246" s="48">
        <f t="shared" si="181"/>
        <v>1196936.016129032</v>
      </c>
      <c r="H7246" s="388" t="s">
        <v>9567</v>
      </c>
    </row>
    <row r="7247" spans="1:8" x14ac:dyDescent="0.3">
      <c r="A7247" s="503">
        <v>45175</v>
      </c>
      <c r="B7247" s="556" t="s">
        <v>12046</v>
      </c>
      <c r="C7247" s="5" t="s">
        <v>12076</v>
      </c>
      <c r="D7247" s="5" t="s">
        <v>12077</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12053</v>
      </c>
      <c r="C7249" s="5" t="s">
        <v>5134</v>
      </c>
      <c r="D7249" s="5" t="s">
        <v>12078</v>
      </c>
      <c r="E7249" s="43">
        <v>28950</v>
      </c>
      <c r="F7249" s="43"/>
      <c r="G7249" s="48">
        <f t="shared" si="181"/>
        <v>1009857.016129032</v>
      </c>
      <c r="H7249" s="388" t="s">
        <v>9567</v>
      </c>
    </row>
    <row r="7250" spans="1:8" x14ac:dyDescent="0.3">
      <c r="A7250" s="503">
        <v>45175</v>
      </c>
      <c r="B7250" s="406"/>
      <c r="C7250" s="61" t="s">
        <v>54</v>
      </c>
      <c r="D7250" s="61" t="s">
        <v>12093</v>
      </c>
      <c r="E7250" s="62">
        <f>38000+42100+44950+44000+60000</f>
        <v>229050</v>
      </c>
      <c r="F7250" s="43"/>
      <c r="G7250" s="48">
        <f t="shared" si="181"/>
        <v>780807.01612903201</v>
      </c>
      <c r="H7250" s="388" t="s">
        <v>9567</v>
      </c>
    </row>
    <row r="7251" spans="1:8" x14ac:dyDescent="0.3">
      <c r="A7251" s="503">
        <v>45175</v>
      </c>
      <c r="B7251" s="557" t="s">
        <v>12055</v>
      </c>
      <c r="C7251" s="61" t="s">
        <v>54</v>
      </c>
      <c r="D7251" s="61" t="s">
        <v>12082</v>
      </c>
      <c r="E7251" s="62">
        <f>129794+20000</f>
        <v>149794</v>
      </c>
      <c r="F7251" s="43"/>
      <c r="G7251" s="48">
        <f t="shared" si="181"/>
        <v>631013.01612903201</v>
      </c>
      <c r="H7251" s="388" t="s">
        <v>9567</v>
      </c>
    </row>
    <row r="7252" spans="1:8" x14ac:dyDescent="0.3">
      <c r="A7252" s="503">
        <v>45175</v>
      </c>
      <c r="B7252" s="557" t="s">
        <v>12080</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6" t="s">
        <v>12080</v>
      </c>
      <c r="C7254" s="5" t="s">
        <v>26</v>
      </c>
      <c r="D7254" s="5" t="s">
        <v>11352</v>
      </c>
      <c r="E7254" s="43">
        <v>3000</v>
      </c>
      <c r="F7254" s="43"/>
      <c r="G7254" s="48">
        <f t="shared" si="181"/>
        <v>495888.82258064492</v>
      </c>
      <c r="H7254" s="388" t="s">
        <v>9567</v>
      </c>
    </row>
    <row r="7255" spans="1:8" x14ac:dyDescent="0.3">
      <c r="A7255" s="503">
        <v>45175</v>
      </c>
      <c r="B7255" s="556" t="s">
        <v>12080</v>
      </c>
      <c r="C7255" s="5" t="s">
        <v>30</v>
      </c>
      <c r="D7255" s="5" t="s">
        <v>12081</v>
      </c>
      <c r="E7255" s="43">
        <v>500</v>
      </c>
      <c r="F7255" s="43"/>
      <c r="G7255" s="48">
        <f t="shared" si="181"/>
        <v>495388.82258064492</v>
      </c>
      <c r="H7255" s="388" t="s">
        <v>9567</v>
      </c>
    </row>
    <row r="7256" spans="1:8" x14ac:dyDescent="0.3">
      <c r="A7256" s="503">
        <v>45175</v>
      </c>
      <c r="B7256" s="556" t="s">
        <v>12080</v>
      </c>
      <c r="C7256" s="5"/>
      <c r="D7256" s="5" t="s">
        <v>12089</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7" t="s">
        <v>12054</v>
      </c>
      <c r="C7258" s="61" t="s">
        <v>54</v>
      </c>
      <c r="D7258" s="61" t="s">
        <v>12084</v>
      </c>
      <c r="E7258" s="62">
        <f>19350+31450+56935</f>
        <v>107735</v>
      </c>
      <c r="F7258" s="43"/>
      <c r="G7258" s="48">
        <f t="shared" si="181"/>
        <v>383153.82258064492</v>
      </c>
      <c r="H7258" s="388" t="s">
        <v>9567</v>
      </c>
    </row>
    <row r="7259" spans="1:8" x14ac:dyDescent="0.3">
      <c r="A7259" s="503">
        <v>45175</v>
      </c>
      <c r="B7259" s="396"/>
      <c r="C7259" s="5" t="s">
        <v>14</v>
      </c>
      <c r="D7259" s="5" t="s">
        <v>12085</v>
      </c>
      <c r="E7259" s="43">
        <v>5000</v>
      </c>
      <c r="F7259" s="43"/>
      <c r="G7259" s="48">
        <f t="shared" si="181"/>
        <v>378153.82258064492</v>
      </c>
      <c r="H7259" s="388" t="s">
        <v>9567</v>
      </c>
    </row>
    <row r="7260" spans="1:8" x14ac:dyDescent="0.3">
      <c r="A7260" s="503">
        <v>45175</v>
      </c>
      <c r="B7260" s="406" t="s">
        <v>12086</v>
      </c>
      <c r="C7260" s="61" t="s">
        <v>54</v>
      </c>
      <c r="D7260" s="61" t="s">
        <v>12087</v>
      </c>
      <c r="E7260" s="62">
        <v>88065</v>
      </c>
      <c r="F7260" s="43"/>
      <c r="G7260" s="48">
        <f t="shared" si="181"/>
        <v>290088.82258064492</v>
      </c>
      <c r="H7260" s="388" t="s">
        <v>9567</v>
      </c>
    </row>
    <row r="7261" spans="1:8" x14ac:dyDescent="0.3">
      <c r="A7261" s="503">
        <v>45175</v>
      </c>
      <c r="B7261" s="406" t="s">
        <v>11743</v>
      </c>
      <c r="C7261" s="61" t="s">
        <v>54</v>
      </c>
      <c r="D7261" s="61" t="s">
        <v>9857</v>
      </c>
      <c r="E7261" s="62">
        <v>65000</v>
      </c>
      <c r="F7261" s="43"/>
      <c r="G7261" s="48">
        <f t="shared" si="181"/>
        <v>225088.82258064492</v>
      </c>
      <c r="H7261" s="388" t="s">
        <v>9567</v>
      </c>
    </row>
    <row r="7262" spans="1:8" x14ac:dyDescent="0.3">
      <c r="A7262" s="503">
        <v>45175</v>
      </c>
      <c r="B7262" s="557" t="s">
        <v>12079</v>
      </c>
      <c r="C7262" s="61" t="s">
        <v>54</v>
      </c>
      <c r="D7262" s="61" t="s">
        <v>12088</v>
      </c>
      <c r="E7262" s="62">
        <v>126000</v>
      </c>
      <c r="F7262" s="43"/>
      <c r="G7262" s="48">
        <f t="shared" si="181"/>
        <v>99088.822580644919</v>
      </c>
      <c r="H7262" s="388" t="s">
        <v>9567</v>
      </c>
    </row>
    <row r="7263" spans="1:8" x14ac:dyDescent="0.3">
      <c r="A7263" s="503">
        <v>45175</v>
      </c>
      <c r="B7263" s="396" t="s">
        <v>12047</v>
      </c>
      <c r="C7263" s="5" t="s">
        <v>30</v>
      </c>
      <c r="D7263" s="5" t="s">
        <v>11970</v>
      </c>
      <c r="E7263" s="43">
        <v>500</v>
      </c>
      <c r="F7263" s="43"/>
      <c r="G7263" s="48">
        <f t="shared" si="181"/>
        <v>98588.822580644919</v>
      </c>
      <c r="H7263" s="388" t="s">
        <v>9567</v>
      </c>
    </row>
    <row r="7264" spans="1:8" x14ac:dyDescent="0.3">
      <c r="A7264" s="503">
        <v>45175</v>
      </c>
      <c r="B7264" s="556" t="s">
        <v>25</v>
      </c>
      <c r="C7264" s="5"/>
      <c r="D7264" s="5" t="s">
        <v>6543</v>
      </c>
      <c r="E7264" s="43">
        <v>2500</v>
      </c>
      <c r="F7264" s="43"/>
      <c r="G7264" s="48">
        <f t="shared" si="181"/>
        <v>96088.822580644919</v>
      </c>
      <c r="H7264" s="388" t="s">
        <v>9567</v>
      </c>
    </row>
    <row r="7265" spans="1:9" x14ac:dyDescent="0.3">
      <c r="A7265" s="503">
        <v>45175</v>
      </c>
      <c r="B7265" s="556" t="s">
        <v>12079</v>
      </c>
      <c r="C7265" s="5"/>
      <c r="D7265" s="5" t="s">
        <v>11559</v>
      </c>
      <c r="E7265" s="43">
        <v>300</v>
      </c>
      <c r="F7265" s="43"/>
      <c r="G7265" s="48">
        <f t="shared" si="181"/>
        <v>95788.822580644919</v>
      </c>
      <c r="H7265" s="388" t="s">
        <v>9567</v>
      </c>
    </row>
    <row r="7266" spans="1:9" x14ac:dyDescent="0.3">
      <c r="A7266" s="503">
        <v>45175</v>
      </c>
      <c r="B7266" s="396" t="s">
        <v>12049</v>
      </c>
      <c r="C7266" s="5" t="s">
        <v>5793</v>
      </c>
      <c r="D7266" s="5" t="s">
        <v>40</v>
      </c>
      <c r="E7266" s="43">
        <v>500</v>
      </c>
      <c r="F7266" s="43"/>
      <c r="G7266" s="48">
        <f t="shared" si="181"/>
        <v>95288.822580644919</v>
      </c>
      <c r="H7266" s="388" t="s">
        <v>9567</v>
      </c>
    </row>
    <row r="7267" spans="1:9" x14ac:dyDescent="0.3">
      <c r="A7267" s="503">
        <v>45176</v>
      </c>
      <c r="B7267" s="396" t="s">
        <v>12046</v>
      </c>
      <c r="C7267" s="61" t="s">
        <v>54</v>
      </c>
      <c r="D7267" s="61" t="s">
        <v>12092</v>
      </c>
      <c r="E7267" s="62">
        <v>46150</v>
      </c>
      <c r="F7267" s="43"/>
      <c r="G7267" s="48">
        <f t="shared" si="181"/>
        <v>49138.822580644919</v>
      </c>
      <c r="H7267" s="388" t="s">
        <v>9567</v>
      </c>
    </row>
    <row r="7268" spans="1:9" x14ac:dyDescent="0.3">
      <c r="A7268" s="503">
        <v>45176</v>
      </c>
      <c r="B7268" s="342" t="s">
        <v>12052</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5"/>
      <c r="C7270" s="480"/>
      <c r="D7270" s="491" t="s">
        <v>4106</v>
      </c>
      <c r="E7270" s="480"/>
      <c r="F7270" s="43">
        <v>180000</v>
      </c>
      <c r="G7270" s="48">
        <f t="shared" si="181"/>
        <v>203138.82258064492</v>
      </c>
      <c r="H7270" s="388" t="s">
        <v>9567</v>
      </c>
    </row>
    <row r="7271" spans="1:9" x14ac:dyDescent="0.3">
      <c r="A7271" s="503">
        <v>45176</v>
      </c>
      <c r="B7271" s="396" t="s">
        <v>12135</v>
      </c>
      <c r="C7271" s="61" t="s">
        <v>54</v>
      </c>
      <c r="D7271" s="61" t="s">
        <v>12094</v>
      </c>
      <c r="E7271" s="62">
        <f>18180+5860</f>
        <v>24040</v>
      </c>
      <c r="F7271" s="43"/>
      <c r="G7271" s="48">
        <f t="shared" si="181"/>
        <v>179098.82258064492</v>
      </c>
      <c r="H7271" s="388" t="s">
        <v>9567</v>
      </c>
      <c r="I7271" s="532"/>
    </row>
    <row r="7272" spans="1:9" x14ac:dyDescent="0.3">
      <c r="A7272" s="503">
        <v>45176</v>
      </c>
      <c r="B7272" s="558"/>
      <c r="C7272" s="61" t="s">
        <v>54</v>
      </c>
      <c r="D7272" s="61" t="s">
        <v>12095</v>
      </c>
      <c r="E7272" s="62">
        <f>14530+55450+37000</f>
        <v>106980</v>
      </c>
      <c r="F7272" s="43"/>
      <c r="G7272" s="48">
        <f t="shared" si="181"/>
        <v>72118.822580644919</v>
      </c>
      <c r="H7272" s="388" t="s">
        <v>9567</v>
      </c>
    </row>
    <row r="7273" spans="1:9" x14ac:dyDescent="0.3">
      <c r="A7273" s="503">
        <v>45177</v>
      </c>
      <c r="B7273" s="396"/>
      <c r="C7273" s="5" t="s">
        <v>84</v>
      </c>
      <c r="D7273" s="5" t="s">
        <v>12096</v>
      </c>
      <c r="E7273" s="43">
        <v>3000</v>
      </c>
      <c r="F7273" s="43"/>
      <c r="G7273" s="48">
        <f t="shared" si="181"/>
        <v>69118.822580644919</v>
      </c>
      <c r="H7273" s="388" t="s">
        <v>9567</v>
      </c>
    </row>
    <row r="7274" spans="1:9" x14ac:dyDescent="0.3">
      <c r="A7274" s="503">
        <v>45177</v>
      </c>
      <c r="B7274" s="396" t="s">
        <v>12049</v>
      </c>
      <c r="C7274" s="5" t="s">
        <v>11174</v>
      </c>
      <c r="D7274" s="5" t="s">
        <v>12001</v>
      </c>
      <c r="E7274" s="43">
        <v>1860</v>
      </c>
      <c r="F7274" s="43"/>
      <c r="G7274" s="48">
        <f t="shared" si="181"/>
        <v>67258.822580644919</v>
      </c>
      <c r="H7274" s="388" t="s">
        <v>9567</v>
      </c>
    </row>
    <row r="7275" spans="1:9" x14ac:dyDescent="0.3">
      <c r="A7275" s="503">
        <v>45177</v>
      </c>
      <c r="B7275" s="396" t="s">
        <v>12044</v>
      </c>
      <c r="C7275" s="5" t="s">
        <v>26</v>
      </c>
      <c r="D7275" s="5" t="s">
        <v>12099</v>
      </c>
      <c r="E7275" s="43">
        <v>3250</v>
      </c>
      <c r="F7275" s="43"/>
      <c r="G7275" s="48">
        <f t="shared" si="181"/>
        <v>64008.822580644919</v>
      </c>
      <c r="H7275" s="388" t="s">
        <v>9567</v>
      </c>
    </row>
    <row r="7276" spans="1:9" x14ac:dyDescent="0.3">
      <c r="A7276" s="503">
        <v>45177</v>
      </c>
      <c r="B7276" s="396" t="s">
        <v>25</v>
      </c>
      <c r="C7276" s="5" t="s">
        <v>25</v>
      </c>
      <c r="D7276" s="5" t="s">
        <v>11434</v>
      </c>
      <c r="E7276" s="43">
        <v>3500</v>
      </c>
      <c r="F7276" s="43"/>
      <c r="G7276" s="48">
        <f t="shared" si="181"/>
        <v>60508.822580644919</v>
      </c>
      <c r="H7276" s="388" t="s">
        <v>9567</v>
      </c>
    </row>
    <row r="7277" spans="1:9" x14ac:dyDescent="0.3">
      <c r="A7277" s="503">
        <v>45177</v>
      </c>
      <c r="B7277" s="396" t="s">
        <v>25</v>
      </c>
      <c r="C7277" s="5" t="s">
        <v>12100</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5"/>
      <c r="C7279" s="480"/>
      <c r="D7279" s="491" t="s">
        <v>4364</v>
      </c>
      <c r="E7279" s="480"/>
      <c r="F7279" s="43">
        <v>500000</v>
      </c>
      <c r="G7279" s="48">
        <f t="shared" si="181"/>
        <v>553508.82258064486</v>
      </c>
      <c r="H7279" s="388" t="s">
        <v>9567</v>
      </c>
    </row>
    <row r="7280" spans="1:9" x14ac:dyDescent="0.3">
      <c r="A7280" s="503">
        <v>45178</v>
      </c>
      <c r="B7280" s="396" t="s">
        <v>11505</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58" t="s">
        <v>10601</v>
      </c>
      <c r="C7282" s="61" t="s">
        <v>1512</v>
      </c>
      <c r="D7282" s="61" t="s">
        <v>12102</v>
      </c>
      <c r="E7282" s="62">
        <v>292919.35483870964</v>
      </c>
      <c r="F7282" s="43"/>
      <c r="G7282" s="48">
        <f t="shared" si="181"/>
        <v>249389.46774193522</v>
      </c>
      <c r="H7282" s="388" t="s">
        <v>9567</v>
      </c>
    </row>
    <row r="7283" spans="1:8" x14ac:dyDescent="0.3">
      <c r="A7283" s="503">
        <v>45178</v>
      </c>
      <c r="B7283" s="396" t="s">
        <v>25</v>
      </c>
      <c r="C7283" s="5"/>
      <c r="D7283" s="5" t="s">
        <v>12103</v>
      </c>
      <c r="E7283" s="43">
        <v>2870</v>
      </c>
      <c r="F7283" s="43"/>
      <c r="G7283" s="48">
        <f t="shared" si="181"/>
        <v>246519.46774193522</v>
      </c>
      <c r="H7283" s="388" t="s">
        <v>9567</v>
      </c>
    </row>
    <row r="7284" spans="1:8" x14ac:dyDescent="0.3">
      <c r="A7284" s="503">
        <v>45178</v>
      </c>
      <c r="B7284" s="396" t="s">
        <v>12044</v>
      </c>
      <c r="C7284" s="5" t="s">
        <v>12104</v>
      </c>
      <c r="D7284" s="5" t="s">
        <v>11540</v>
      </c>
      <c r="E7284" s="43">
        <v>50000</v>
      </c>
      <c r="F7284" s="43"/>
      <c r="G7284" s="48">
        <f t="shared" si="181"/>
        <v>196519.46774193522</v>
      </c>
      <c r="H7284" s="388" t="s">
        <v>9567</v>
      </c>
    </row>
    <row r="7285" spans="1:8" x14ac:dyDescent="0.3">
      <c r="A7285" s="503">
        <v>45178</v>
      </c>
      <c r="B7285" s="396" t="s">
        <v>12046</v>
      </c>
      <c r="C7285" s="5" t="s">
        <v>5793</v>
      </c>
      <c r="D7285" s="5" t="s">
        <v>40</v>
      </c>
      <c r="E7285" s="43">
        <v>1200</v>
      </c>
      <c r="F7285" s="43"/>
      <c r="G7285" s="48">
        <f t="shared" si="181"/>
        <v>195319.46774193522</v>
      </c>
      <c r="H7285" s="388" t="s">
        <v>9567</v>
      </c>
    </row>
    <row r="7286" spans="1:8" x14ac:dyDescent="0.3">
      <c r="A7286" s="503">
        <v>45178</v>
      </c>
      <c r="B7286" s="396" t="s">
        <v>12044</v>
      </c>
      <c r="C7286" s="61" t="s">
        <v>1512</v>
      </c>
      <c r="D7286" s="61" t="s">
        <v>12105</v>
      </c>
      <c r="E7286" s="62">
        <v>24670</v>
      </c>
      <c r="F7286" s="43"/>
      <c r="G7286" s="48">
        <f t="shared" si="181"/>
        <v>170649.46774193522</v>
      </c>
      <c r="H7286" s="388" t="s">
        <v>9567</v>
      </c>
    </row>
    <row r="7287" spans="1:8" x14ac:dyDescent="0.3">
      <c r="A7287" s="503">
        <v>45180</v>
      </c>
      <c r="B7287" s="396"/>
      <c r="C7287" s="5"/>
      <c r="D7287" s="5" t="s">
        <v>12108</v>
      </c>
      <c r="E7287" s="43">
        <f>7240-300</f>
        <v>6940</v>
      </c>
      <c r="F7287" s="43"/>
      <c r="G7287" s="48">
        <f t="shared" si="181"/>
        <v>163709.46774193522</v>
      </c>
      <c r="H7287" s="388" t="s">
        <v>9567</v>
      </c>
    </row>
    <row r="7288" spans="1:8" x14ac:dyDescent="0.3">
      <c r="A7288" s="503">
        <v>45180</v>
      </c>
      <c r="B7288" s="396" t="s">
        <v>10601</v>
      </c>
      <c r="C7288" s="5" t="s">
        <v>6430</v>
      </c>
      <c r="D7288" s="5" t="s">
        <v>12109</v>
      </c>
      <c r="E7288" s="43">
        <v>10000</v>
      </c>
      <c r="F7288" s="43"/>
      <c r="G7288" s="48">
        <f t="shared" si="181"/>
        <v>153709.46774193522</v>
      </c>
      <c r="H7288" s="388" t="s">
        <v>9567</v>
      </c>
    </row>
    <row r="7289" spans="1:8" x14ac:dyDescent="0.3">
      <c r="A7289" s="503">
        <v>45180</v>
      </c>
      <c r="B7289" s="396" t="s">
        <v>25</v>
      </c>
      <c r="C7289" s="5" t="s">
        <v>25</v>
      </c>
      <c r="D7289" s="5" t="s">
        <v>11434</v>
      </c>
      <c r="E7289" s="43">
        <v>3500</v>
      </c>
      <c r="F7289" s="43"/>
      <c r="G7289" s="48">
        <f t="shared" si="181"/>
        <v>150209.46774193522</v>
      </c>
      <c r="H7289" s="388" t="s">
        <v>9567</v>
      </c>
    </row>
    <row r="7290" spans="1:8" x14ac:dyDescent="0.3">
      <c r="A7290" s="503">
        <v>45180</v>
      </c>
      <c r="B7290" s="558" t="s">
        <v>12047</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12046</v>
      </c>
      <c r="C7292" s="5" t="s">
        <v>5162</v>
      </c>
      <c r="D7292" s="5" t="s">
        <v>294</v>
      </c>
      <c r="E7292" s="43">
        <v>5000</v>
      </c>
      <c r="F7292" s="43"/>
      <c r="G7292" s="48">
        <f t="shared" si="181"/>
        <v>113059.46774193522</v>
      </c>
      <c r="H7292" s="388" t="s">
        <v>9567</v>
      </c>
    </row>
    <row r="7293" spans="1:8" x14ac:dyDescent="0.3">
      <c r="A7293" s="503">
        <v>45180</v>
      </c>
      <c r="B7293" s="396" t="s">
        <v>12046</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12047</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12113</v>
      </c>
      <c r="E7296" s="43">
        <v>5000</v>
      </c>
      <c r="F7296" s="43"/>
      <c r="G7296" s="48">
        <f t="shared" si="181"/>
        <v>100759.46774193522</v>
      </c>
      <c r="H7296" s="388" t="s">
        <v>9567</v>
      </c>
    </row>
    <row r="7297" spans="1:8" x14ac:dyDescent="0.3">
      <c r="A7297" s="503">
        <v>45180</v>
      </c>
      <c r="B7297" s="398"/>
      <c r="C7297" s="73" t="s">
        <v>9749</v>
      </c>
      <c r="D7297" s="73" t="s">
        <v>12114</v>
      </c>
      <c r="E7297" s="183">
        <v>14400</v>
      </c>
      <c r="F7297" s="43"/>
      <c r="G7297" s="48">
        <f t="shared" si="181"/>
        <v>86359.467741935223</v>
      </c>
      <c r="H7297" s="388" t="s">
        <v>9567</v>
      </c>
    </row>
    <row r="7298" spans="1:8" x14ac:dyDescent="0.3">
      <c r="A7298" s="503">
        <v>45180</v>
      </c>
      <c r="B7298" s="396" t="s">
        <v>12045</v>
      </c>
      <c r="C7298" s="5" t="s">
        <v>10695</v>
      </c>
      <c r="D7298" s="5" t="s">
        <v>12116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12045</v>
      </c>
      <c r="C7300" s="5" t="s">
        <v>5793</v>
      </c>
      <c r="D7300" s="5" t="s">
        <v>40</v>
      </c>
      <c r="E7300" s="43">
        <v>1700</v>
      </c>
      <c r="F7300" s="43"/>
      <c r="G7300" s="48">
        <f t="shared" si="181"/>
        <v>77659.467741935223</v>
      </c>
      <c r="H7300" s="388" t="s">
        <v>9567</v>
      </c>
    </row>
    <row r="7301" spans="1:8" x14ac:dyDescent="0.3">
      <c r="A7301" s="503">
        <v>45181</v>
      </c>
      <c r="B7301" s="396" t="s">
        <v>11743</v>
      </c>
      <c r="C7301" s="5" t="s">
        <v>9524</v>
      </c>
      <c r="D7301" s="5" t="s">
        <v>12117</v>
      </c>
      <c r="E7301" s="43">
        <v>1960</v>
      </c>
      <c r="F7301" s="43"/>
      <c r="G7301" s="48">
        <f t="shared" si="181"/>
        <v>75699.467741935223</v>
      </c>
      <c r="H7301" s="388" t="s">
        <v>9567</v>
      </c>
    </row>
    <row r="7302" spans="1:8" x14ac:dyDescent="0.3">
      <c r="A7302" s="503">
        <v>45181</v>
      </c>
      <c r="B7302" s="396" t="s">
        <v>10601</v>
      </c>
      <c r="C7302" s="5" t="s">
        <v>6430</v>
      </c>
      <c r="D7302" s="5" t="s">
        <v>12118</v>
      </c>
      <c r="E7302" s="43">
        <v>10000</v>
      </c>
      <c r="F7302" s="43"/>
      <c r="G7302" s="48">
        <f t="shared" si="181"/>
        <v>65699.467741935223</v>
      </c>
      <c r="H7302" s="388" t="s">
        <v>9567</v>
      </c>
    </row>
    <row r="7303" spans="1:8" x14ac:dyDescent="0.3">
      <c r="A7303" s="503">
        <v>45181</v>
      </c>
      <c r="B7303" s="396"/>
      <c r="C7303" s="5" t="s">
        <v>84</v>
      </c>
      <c r="D7303" s="5" t="s">
        <v>12119</v>
      </c>
      <c r="E7303" s="43">
        <v>3000</v>
      </c>
      <c r="F7303" s="43"/>
      <c r="G7303" s="48">
        <f t="shared" si="181"/>
        <v>62699.467741935223</v>
      </c>
      <c r="H7303" s="388" t="s">
        <v>9567</v>
      </c>
    </row>
    <row r="7304" spans="1:8" x14ac:dyDescent="0.3">
      <c r="A7304" s="503">
        <v>45181</v>
      </c>
      <c r="B7304" s="398"/>
      <c r="C7304" s="73" t="s">
        <v>9749</v>
      </c>
      <c r="D7304" s="73" t="s">
        <v>12114</v>
      </c>
      <c r="E7304" s="183">
        <v>600</v>
      </c>
      <c r="F7304" s="43"/>
      <c r="G7304" s="48">
        <f t="shared" si="181"/>
        <v>62099.467741935223</v>
      </c>
      <c r="H7304" s="388" t="s">
        <v>9567</v>
      </c>
    </row>
    <row r="7305" spans="1:8" x14ac:dyDescent="0.3">
      <c r="A7305" s="503">
        <v>45181</v>
      </c>
      <c r="B7305" s="565"/>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12132</v>
      </c>
      <c r="E7306" s="62">
        <v>65000</v>
      </c>
      <c r="F7306" s="43"/>
      <c r="G7306" s="48">
        <f t="shared" si="181"/>
        <v>145099.46774193522</v>
      </c>
      <c r="H7306" s="388" t="s">
        <v>9567</v>
      </c>
    </row>
    <row r="7307" spans="1:8" x14ac:dyDescent="0.3">
      <c r="A7307" s="503">
        <v>45182</v>
      </c>
      <c r="B7307" s="396" t="s">
        <v>12044</v>
      </c>
      <c r="C7307" s="5" t="s">
        <v>12122</v>
      </c>
      <c r="D7307" s="5" t="s">
        <v>12123</v>
      </c>
      <c r="E7307" s="43">
        <v>10000</v>
      </c>
      <c r="F7307" s="43"/>
      <c r="G7307" s="48">
        <f t="shared" si="181"/>
        <v>135099.46774193522</v>
      </c>
      <c r="H7307" s="388" t="s">
        <v>9567</v>
      </c>
    </row>
    <row r="7308" spans="1:8" x14ac:dyDescent="0.3">
      <c r="A7308" s="503">
        <v>45182</v>
      </c>
      <c r="B7308" s="396" t="s">
        <v>12047</v>
      </c>
      <c r="C7308" s="5" t="s">
        <v>5793</v>
      </c>
      <c r="D7308" s="5" t="s">
        <v>12124</v>
      </c>
      <c r="E7308" s="43">
        <v>300</v>
      </c>
      <c r="F7308" s="43"/>
      <c r="G7308" s="48">
        <f t="shared" si="181"/>
        <v>134799.46774193522</v>
      </c>
      <c r="H7308" s="388" t="s">
        <v>9567</v>
      </c>
    </row>
    <row r="7309" spans="1:8" x14ac:dyDescent="0.3">
      <c r="A7309" s="503">
        <v>45182</v>
      </c>
      <c r="B7309" s="396" t="s">
        <v>25</v>
      </c>
      <c r="C7309" s="5" t="s">
        <v>25</v>
      </c>
      <c r="D7309" s="5" t="s">
        <v>11434</v>
      </c>
      <c r="E7309" s="43">
        <v>3500</v>
      </c>
      <c r="F7309" s="43"/>
      <c r="G7309" s="48">
        <f t="shared" ref="G7309:G7376" si="182">G7308+F7309-E7309</f>
        <v>131299.46774193522</v>
      </c>
      <c r="H7309" s="388" t="s">
        <v>9567</v>
      </c>
    </row>
    <row r="7310" spans="1:8" x14ac:dyDescent="0.3">
      <c r="A7310" s="503">
        <v>45182</v>
      </c>
      <c r="B7310" s="396" t="s">
        <v>10319</v>
      </c>
      <c r="C7310" s="5" t="s">
        <v>247</v>
      </c>
      <c r="D7310" s="5" t="s">
        <v>12126</v>
      </c>
      <c r="E7310" s="43">
        <v>15800</v>
      </c>
      <c r="F7310" s="43"/>
      <c r="G7310" s="48">
        <f t="shared" si="182"/>
        <v>115499.46774193522</v>
      </c>
      <c r="H7310" s="388" t="s">
        <v>9567</v>
      </c>
    </row>
    <row r="7311" spans="1:8" x14ac:dyDescent="0.3">
      <c r="A7311" s="503">
        <v>45182</v>
      </c>
      <c r="B7311" s="342" t="s">
        <v>12051</v>
      </c>
      <c r="C7311" s="5" t="s">
        <v>11357</v>
      </c>
      <c r="D7311" s="5" t="s">
        <v>5508</v>
      </c>
      <c r="E7311" s="43">
        <v>10000</v>
      </c>
      <c r="F7311" s="43"/>
      <c r="G7311" s="48">
        <f t="shared" si="182"/>
        <v>105499.46774193522</v>
      </c>
      <c r="H7311" s="388" t="s">
        <v>9567</v>
      </c>
    </row>
    <row r="7312" spans="1:8" x14ac:dyDescent="0.3">
      <c r="A7312" s="503">
        <v>45182</v>
      </c>
      <c r="B7312" s="396" t="s">
        <v>12054</v>
      </c>
      <c r="C7312" s="5" t="s">
        <v>7648</v>
      </c>
      <c r="D7312" s="5" t="s">
        <v>12127</v>
      </c>
      <c r="E7312" s="43">
        <v>17000</v>
      </c>
      <c r="F7312" s="43"/>
      <c r="G7312" s="48">
        <f t="shared" si="182"/>
        <v>88499.467741935223</v>
      </c>
      <c r="H7312" s="388" t="s">
        <v>9567</v>
      </c>
    </row>
    <row r="7313" spans="1:14" x14ac:dyDescent="0.3">
      <c r="A7313" s="503">
        <v>45182</v>
      </c>
      <c r="B7313" s="396" t="s">
        <v>12046</v>
      </c>
      <c r="C7313" s="5" t="s">
        <v>11174</v>
      </c>
      <c r="D7313" s="5" t="s">
        <v>12128</v>
      </c>
      <c r="E7313" s="43">
        <v>3140</v>
      </c>
      <c r="F7313" s="43"/>
      <c r="G7313" s="48">
        <f t="shared" si="182"/>
        <v>85359.467741935223</v>
      </c>
      <c r="H7313" s="388" t="s">
        <v>9567</v>
      </c>
    </row>
    <row r="7314" spans="1:14" x14ac:dyDescent="0.3">
      <c r="A7314" s="503">
        <v>45182</v>
      </c>
      <c r="B7314" s="396" t="s">
        <v>12045</v>
      </c>
      <c r="C7314" s="5" t="s">
        <v>11174</v>
      </c>
      <c r="D7314" s="5" t="s">
        <v>12129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12046</v>
      </c>
      <c r="C7316" s="5" t="s">
        <v>5793</v>
      </c>
      <c r="D7316" s="5" t="s">
        <v>40</v>
      </c>
      <c r="E7316" s="43">
        <v>1700</v>
      </c>
      <c r="F7316" s="43"/>
      <c r="G7316" s="48">
        <f t="shared" si="182"/>
        <v>62289.467741935223</v>
      </c>
      <c r="H7316" s="388" t="s">
        <v>9567</v>
      </c>
    </row>
    <row r="7317" spans="1:14" x14ac:dyDescent="0.3">
      <c r="A7317" s="503">
        <v>45182</v>
      </c>
      <c r="B7317" s="396" t="s">
        <v>12134</v>
      </c>
      <c r="C7317" s="5" t="s">
        <v>1616</v>
      </c>
      <c r="D7317" s="5" t="s">
        <v>12130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12047</v>
      </c>
      <c r="C7320" s="5" t="s">
        <v>5793</v>
      </c>
      <c r="D7320" s="5" t="s">
        <v>12131</v>
      </c>
      <c r="E7320" s="43">
        <v>1800</v>
      </c>
      <c r="F7320" s="43"/>
      <c r="G7320" s="48">
        <f t="shared" si="182"/>
        <v>30189.467741935223</v>
      </c>
      <c r="H7320" s="388" t="s">
        <v>9567</v>
      </c>
    </row>
    <row r="7321" spans="1:14" x14ac:dyDescent="0.3">
      <c r="A7321" s="503">
        <v>45182</v>
      </c>
      <c r="B7321" s="396" t="s">
        <v>12045</v>
      </c>
      <c r="C7321" s="5" t="s">
        <v>30</v>
      </c>
      <c r="D7321" s="5" t="s">
        <v>10662</v>
      </c>
      <c r="E7321" s="43">
        <v>1500</v>
      </c>
      <c r="F7321" s="43"/>
      <c r="G7321" s="48">
        <f t="shared" si="182"/>
        <v>28689.467741935223</v>
      </c>
      <c r="H7321" s="388" t="s">
        <v>9567</v>
      </c>
    </row>
    <row r="7322" spans="1:14" x14ac:dyDescent="0.3">
      <c r="A7322" s="503">
        <v>45182</v>
      </c>
      <c r="B7322" s="396" t="s">
        <v>12047</v>
      </c>
      <c r="C7322" s="5" t="s">
        <v>5793</v>
      </c>
      <c r="D7322" s="5" t="s">
        <v>40</v>
      </c>
      <c r="E7322" s="43">
        <v>2700</v>
      </c>
      <c r="F7322" s="43"/>
      <c r="G7322" s="48">
        <f t="shared" si="182"/>
        <v>25989.467741935223</v>
      </c>
      <c r="H7322" s="388" t="s">
        <v>9567</v>
      </c>
    </row>
    <row r="7323" spans="1:14" x14ac:dyDescent="0.3">
      <c r="A7323" s="503">
        <v>45182</v>
      </c>
      <c r="B7323" s="396" t="s">
        <v>12086</v>
      </c>
      <c r="C7323" s="5" t="s">
        <v>12136</v>
      </c>
      <c r="D7323" s="5" t="s">
        <v>12137</v>
      </c>
      <c r="E7323" s="43">
        <v>7000</v>
      </c>
      <c r="F7323" s="43"/>
      <c r="G7323" s="48">
        <f t="shared" si="182"/>
        <v>18989.467741935223</v>
      </c>
      <c r="H7323" s="388" t="s">
        <v>9567</v>
      </c>
    </row>
    <row r="7324" spans="1:14" x14ac:dyDescent="0.3">
      <c r="A7324" s="503">
        <v>45182</v>
      </c>
      <c r="B7324" s="396" t="s">
        <v>12086</v>
      </c>
      <c r="C7324" s="5" t="s">
        <v>5793</v>
      </c>
      <c r="D7324" s="5" t="s">
        <v>12138</v>
      </c>
      <c r="E7324" s="43">
        <v>10000</v>
      </c>
      <c r="F7324" s="43"/>
      <c r="G7324" s="48">
        <f t="shared" si="182"/>
        <v>8989.4677419352229</v>
      </c>
      <c r="H7324" s="388" t="s">
        <v>9567</v>
      </c>
    </row>
    <row r="7325" spans="1:14" x14ac:dyDescent="0.3">
      <c r="A7325" s="503">
        <v>45182</v>
      </c>
      <c r="B7325" s="396" t="s">
        <v>12133</v>
      </c>
      <c r="C7325" s="5" t="s">
        <v>11174</v>
      </c>
      <c r="D7325" s="5" t="s">
        <v>12139</v>
      </c>
      <c r="E7325" s="43">
        <v>1800</v>
      </c>
      <c r="F7325" s="43"/>
      <c r="G7325" s="48">
        <f t="shared" si="182"/>
        <v>7189.4677419352229</v>
      </c>
      <c r="H7325" s="388" t="s">
        <v>9567</v>
      </c>
    </row>
    <row r="7326" spans="1:14" x14ac:dyDescent="0.3">
      <c r="A7326" s="503">
        <v>45182</v>
      </c>
      <c r="B7326" s="396" t="s">
        <v>12086</v>
      </c>
      <c r="C7326" s="5"/>
      <c r="D7326" s="5" t="s">
        <v>12156</v>
      </c>
      <c r="E7326" s="43">
        <v>4700</v>
      </c>
      <c r="F7326" s="43"/>
      <c r="G7326" s="48">
        <f t="shared" si="182"/>
        <v>2489.4677419352229</v>
      </c>
      <c r="H7326" s="388" t="s">
        <v>9567</v>
      </c>
    </row>
    <row r="7327" spans="1:14" x14ac:dyDescent="0.3">
      <c r="A7327" s="503">
        <v>45183</v>
      </c>
      <c r="B7327" s="565"/>
      <c r="C7327" s="480"/>
      <c r="D7327" s="491" t="s">
        <v>4364</v>
      </c>
      <c r="E7327" s="480"/>
      <c r="F7327" s="28">
        <v>1500000</v>
      </c>
      <c r="G7327" s="48">
        <f t="shared" si="182"/>
        <v>1502489.4677419353</v>
      </c>
      <c r="H7327" s="388" t="s">
        <v>9567</v>
      </c>
    </row>
    <row r="7328" spans="1:14" s="387" customFormat="1" x14ac:dyDescent="0.3">
      <c r="A7328" s="503">
        <v>45183</v>
      </c>
      <c r="B7328" s="568" t="s">
        <v>11743</v>
      </c>
      <c r="C7328" s="44" t="s">
        <v>12140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68" t="s">
        <v>12046</v>
      </c>
      <c r="C7329" s="44" t="s">
        <v>12140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68" t="s">
        <v>12141</v>
      </c>
      <c r="C7330" s="44" t="s">
        <v>12140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68" t="s">
        <v>12047</v>
      </c>
      <c r="C7331" s="44" t="s">
        <v>5793</v>
      </c>
      <c r="D7331" s="44" t="s">
        <v>12163</v>
      </c>
      <c r="E7331" s="28">
        <v>1000</v>
      </c>
      <c r="F7331" s="28"/>
      <c r="G7331" s="48">
        <f t="shared" si="182"/>
        <v>1301489.4677419353</v>
      </c>
      <c r="H7331" s="388" t="s">
        <v>9567</v>
      </c>
      <c r="I7331" s="155"/>
      <c r="J7331" s="155"/>
      <c r="K7331" s="155"/>
      <c r="N7331" s="155"/>
    </row>
    <row r="7332" spans="1:14" s="387" customFormat="1" x14ac:dyDescent="0.3">
      <c r="A7332" s="503">
        <v>45184</v>
      </c>
      <c r="B7332" s="568" t="s">
        <v>12134</v>
      </c>
      <c r="C7332" s="44" t="s">
        <v>1074</v>
      </c>
      <c r="D7332" s="44" t="s">
        <v>12164</v>
      </c>
      <c r="E7332" s="28">
        <v>2500</v>
      </c>
      <c r="F7332" s="28"/>
      <c r="G7332" s="48">
        <f t="shared" si="182"/>
        <v>1298989.4677419353</v>
      </c>
      <c r="H7332" s="388" t="s">
        <v>9567</v>
      </c>
      <c r="I7332" s="155"/>
      <c r="J7332" s="155"/>
      <c r="K7332" s="155"/>
      <c r="N7332" s="155"/>
    </row>
    <row r="7333" spans="1:14" s="387" customFormat="1" x14ac:dyDescent="0.3">
      <c r="A7333" s="503">
        <v>45184</v>
      </c>
      <c r="B7333" s="568" t="s">
        <v>25</v>
      </c>
      <c r="C7333" s="44" t="s">
        <v>1074</v>
      </c>
      <c r="D7333" s="44" t="s">
        <v>12164</v>
      </c>
      <c r="E7333" s="28">
        <v>8000</v>
      </c>
      <c r="F7333" s="28"/>
      <c r="G7333" s="48">
        <f t="shared" si="182"/>
        <v>1290989.4677419353</v>
      </c>
      <c r="H7333" s="388" t="s">
        <v>9567</v>
      </c>
      <c r="I7333" s="155"/>
      <c r="J7333" s="155"/>
      <c r="K7333" s="155"/>
      <c r="N7333" s="155"/>
    </row>
    <row r="7334" spans="1:14" s="387" customFormat="1" x14ac:dyDescent="0.3">
      <c r="A7334" s="503">
        <v>45184</v>
      </c>
      <c r="B7334" s="568" t="s">
        <v>12045</v>
      </c>
      <c r="C7334" s="44" t="s">
        <v>11174</v>
      </c>
      <c r="D7334" s="44" t="s">
        <v>12142</v>
      </c>
      <c r="E7334" s="28">
        <v>15200</v>
      </c>
      <c r="F7334" s="28"/>
      <c r="G7334" s="48">
        <f t="shared" si="182"/>
        <v>1275789.4677419353</v>
      </c>
      <c r="H7334" s="388" t="s">
        <v>9567</v>
      </c>
      <c r="I7334" s="155"/>
      <c r="J7334" s="155"/>
      <c r="K7334" s="155"/>
      <c r="N7334" s="155"/>
    </row>
    <row r="7335" spans="1:14" s="387" customFormat="1" x14ac:dyDescent="0.3">
      <c r="A7335" s="503"/>
      <c r="B7335" s="568" t="s">
        <v>12046</v>
      </c>
      <c r="C7335" s="44" t="s">
        <v>11174</v>
      </c>
      <c r="D7335" s="44" t="s">
        <v>12155</v>
      </c>
      <c r="E7335" s="28">
        <v>9400</v>
      </c>
      <c r="F7335" s="28"/>
      <c r="G7335" s="48">
        <f t="shared" si="182"/>
        <v>1266389.4677419353</v>
      </c>
      <c r="H7335" s="388" t="s">
        <v>9567</v>
      </c>
      <c r="I7335" s="155"/>
      <c r="J7335" s="155"/>
      <c r="K7335" s="155"/>
      <c r="N7335" s="155"/>
    </row>
    <row r="7336" spans="1:14" s="387" customFormat="1" x14ac:dyDescent="0.3">
      <c r="A7336" s="503">
        <v>45184</v>
      </c>
      <c r="B7336" s="568" t="s">
        <v>11743</v>
      </c>
      <c r="C7336" s="44" t="s">
        <v>11174</v>
      </c>
      <c r="D7336" s="44" t="s">
        <v>12142</v>
      </c>
      <c r="E7336" s="28">
        <v>780</v>
      </c>
      <c r="F7336" s="28"/>
      <c r="G7336" s="48">
        <f t="shared" si="182"/>
        <v>1265609.4677419353</v>
      </c>
      <c r="H7336" s="388" t="s">
        <v>9567</v>
      </c>
      <c r="I7336" s="155"/>
      <c r="J7336" s="155"/>
      <c r="K7336" s="155"/>
      <c r="N7336" s="155"/>
    </row>
    <row r="7337" spans="1:14" s="387" customFormat="1" x14ac:dyDescent="0.3">
      <c r="A7337" s="503">
        <v>45184</v>
      </c>
      <c r="B7337" s="568" t="s">
        <v>12044</v>
      </c>
      <c r="C7337" s="44" t="s">
        <v>12140</v>
      </c>
      <c r="D7337" s="44" t="s">
        <v>11800</v>
      </c>
      <c r="E7337" s="28">
        <v>150000</v>
      </c>
      <c r="F7337" s="28"/>
      <c r="G7337" s="48">
        <f t="shared" si="182"/>
        <v>1115609.4677419353</v>
      </c>
      <c r="H7337" s="388" t="s">
        <v>9567</v>
      </c>
      <c r="I7337" s="155"/>
      <c r="J7337" s="155"/>
      <c r="K7337" s="155"/>
      <c r="N7337" s="155"/>
    </row>
    <row r="7338" spans="1:14" s="387" customFormat="1" x14ac:dyDescent="0.3">
      <c r="A7338" s="503">
        <v>45184</v>
      </c>
      <c r="B7338" s="568" t="s">
        <v>12141</v>
      </c>
      <c r="C7338" s="44" t="s">
        <v>12140</v>
      </c>
      <c r="D7338" s="44" t="s">
        <v>12145</v>
      </c>
      <c r="E7338" s="28">
        <v>5500</v>
      </c>
      <c r="F7338" s="28"/>
      <c r="G7338" s="48">
        <f t="shared" si="182"/>
        <v>1110109.4677419353</v>
      </c>
      <c r="H7338" s="388" t="s">
        <v>9567</v>
      </c>
      <c r="I7338" s="155"/>
      <c r="J7338" s="155"/>
      <c r="K7338" s="155"/>
      <c r="N7338" s="155"/>
    </row>
    <row r="7339" spans="1:14" s="387" customFormat="1" x14ac:dyDescent="0.3">
      <c r="A7339" s="503">
        <v>45184</v>
      </c>
      <c r="B7339" s="568" t="s">
        <v>12048</v>
      </c>
      <c r="C7339" s="44"/>
      <c r="D7339" s="44" t="s">
        <v>12146</v>
      </c>
      <c r="E7339" s="28">
        <v>500</v>
      </c>
      <c r="F7339" s="28"/>
      <c r="G7339" s="48">
        <f t="shared" si="182"/>
        <v>1109609.4677419353</v>
      </c>
      <c r="H7339" s="388" t="s">
        <v>9567</v>
      </c>
      <c r="I7339" s="155"/>
      <c r="J7339" s="155"/>
      <c r="K7339" s="155"/>
      <c r="N7339" s="155"/>
    </row>
    <row r="7340" spans="1:14" s="387" customFormat="1" x14ac:dyDescent="0.3">
      <c r="A7340" s="503">
        <v>45184</v>
      </c>
      <c r="B7340" s="568"/>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68" t="s">
        <v>25</v>
      </c>
      <c r="C7341" s="44" t="s">
        <v>25</v>
      </c>
      <c r="D7341" s="44" t="s">
        <v>11434</v>
      </c>
      <c r="E7341" s="28">
        <v>3000</v>
      </c>
      <c r="F7341" s="28"/>
      <c r="G7341" s="48">
        <f t="shared" si="182"/>
        <v>1101609.4677419353</v>
      </c>
      <c r="H7341" s="388" t="s">
        <v>9567</v>
      </c>
      <c r="I7341" s="155"/>
      <c r="J7341" s="155"/>
      <c r="K7341" s="155"/>
      <c r="N7341" s="155"/>
    </row>
    <row r="7342" spans="1:14" s="387" customFormat="1" x14ac:dyDescent="0.3">
      <c r="A7342" s="503">
        <v>45184</v>
      </c>
      <c r="B7342" s="568" t="s">
        <v>12141</v>
      </c>
      <c r="C7342" s="44" t="s">
        <v>9643</v>
      </c>
      <c r="D7342" s="44" t="s">
        <v>12147</v>
      </c>
      <c r="E7342" s="28">
        <v>35000</v>
      </c>
      <c r="F7342" s="28"/>
      <c r="G7342" s="48">
        <f t="shared" si="182"/>
        <v>1066609.4677419353</v>
      </c>
      <c r="H7342" s="388" t="s">
        <v>9567</v>
      </c>
      <c r="I7342" s="155"/>
      <c r="J7342" s="155"/>
      <c r="K7342" s="155"/>
      <c r="N7342" s="155"/>
    </row>
    <row r="7343" spans="1:14" s="387" customFormat="1" x14ac:dyDescent="0.3">
      <c r="A7343" s="503">
        <v>45184</v>
      </c>
      <c r="B7343" s="568" t="s">
        <v>12148</v>
      </c>
      <c r="C7343" s="44" t="s">
        <v>9643</v>
      </c>
      <c r="D7343" s="44" t="s">
        <v>12147</v>
      </c>
      <c r="E7343" s="28">
        <v>25000</v>
      </c>
      <c r="F7343" s="28"/>
      <c r="G7343" s="48">
        <f t="shared" si="182"/>
        <v>1041609.4677419353</v>
      </c>
      <c r="H7343" s="388" t="s">
        <v>9567</v>
      </c>
      <c r="I7343" s="155"/>
      <c r="J7343" s="155"/>
      <c r="K7343" s="155"/>
      <c r="N7343" s="155"/>
    </row>
    <row r="7344" spans="1:14" s="387" customFormat="1" x14ac:dyDescent="0.3">
      <c r="A7344" s="503">
        <v>45184</v>
      </c>
      <c r="B7344" s="568" t="s">
        <v>12046</v>
      </c>
      <c r="C7344" s="44" t="s">
        <v>11174</v>
      </c>
      <c r="D7344" s="44" t="s">
        <v>12158</v>
      </c>
      <c r="E7344" s="28">
        <v>16000</v>
      </c>
      <c r="F7344" s="28"/>
      <c r="G7344" s="48">
        <f t="shared" si="182"/>
        <v>1025609.4677419353</v>
      </c>
      <c r="H7344" s="388" t="s">
        <v>9567</v>
      </c>
      <c r="I7344" s="155"/>
      <c r="J7344" s="155"/>
      <c r="K7344" s="155"/>
      <c r="N7344" s="155"/>
    </row>
    <row r="7345" spans="1:14" s="387" customFormat="1" x14ac:dyDescent="0.3">
      <c r="A7345" s="503">
        <v>45184</v>
      </c>
      <c r="B7345" s="568" t="s">
        <v>12141</v>
      </c>
      <c r="C7345" s="44" t="s">
        <v>11174</v>
      </c>
      <c r="D7345" s="44" t="s">
        <v>12159</v>
      </c>
      <c r="E7345" s="28">
        <v>850</v>
      </c>
      <c r="F7345" s="28"/>
      <c r="G7345" s="48">
        <f t="shared" si="182"/>
        <v>1024759.4677419353</v>
      </c>
      <c r="H7345" s="388" t="s">
        <v>9567</v>
      </c>
      <c r="I7345" s="155"/>
      <c r="J7345" s="155"/>
      <c r="K7345" s="155"/>
      <c r="N7345" s="155"/>
    </row>
    <row r="7346" spans="1:14" s="387" customFormat="1" x14ac:dyDescent="0.3">
      <c r="A7346" s="503">
        <v>45184</v>
      </c>
      <c r="B7346" s="568"/>
      <c r="C7346" s="44" t="s">
        <v>84</v>
      </c>
      <c r="D7346" s="44" t="s">
        <v>12149</v>
      </c>
      <c r="E7346" s="28">
        <v>10000</v>
      </c>
      <c r="F7346" s="28"/>
      <c r="G7346" s="48">
        <f t="shared" si="182"/>
        <v>1014759.4677419353</v>
      </c>
      <c r="H7346" s="388" t="s">
        <v>9567</v>
      </c>
      <c r="I7346" s="155"/>
      <c r="J7346" s="155"/>
      <c r="K7346" s="155"/>
      <c r="N7346" s="155"/>
    </row>
    <row r="7347" spans="1:14" s="387" customFormat="1" x14ac:dyDescent="0.3">
      <c r="A7347" s="503">
        <v>45184</v>
      </c>
      <c r="B7347" s="568"/>
      <c r="C7347" s="44" t="s">
        <v>84</v>
      </c>
      <c r="D7347" s="44" t="s">
        <v>12150</v>
      </c>
      <c r="E7347" s="28">
        <v>10000</v>
      </c>
      <c r="F7347" s="28"/>
      <c r="G7347" s="48">
        <f t="shared" si="182"/>
        <v>1004759.4677419353</v>
      </c>
      <c r="H7347" s="388" t="s">
        <v>9567</v>
      </c>
      <c r="I7347" s="155"/>
      <c r="J7347" s="155"/>
      <c r="K7347" s="155"/>
      <c r="N7347" s="155"/>
    </row>
    <row r="7348" spans="1:14" s="387" customFormat="1" x14ac:dyDescent="0.3">
      <c r="A7348" s="503">
        <v>45184</v>
      </c>
      <c r="B7348" s="568" t="s">
        <v>12055</v>
      </c>
      <c r="C7348" s="44" t="s">
        <v>12005</v>
      </c>
      <c r="D7348" s="44" t="s">
        <v>12152</v>
      </c>
      <c r="E7348" s="28">
        <v>100000</v>
      </c>
      <c r="F7348" s="28"/>
      <c r="G7348" s="48">
        <f t="shared" si="182"/>
        <v>904759.46774193528</v>
      </c>
      <c r="H7348" s="388" t="s">
        <v>9567</v>
      </c>
      <c r="I7348" s="155"/>
      <c r="J7348" s="155"/>
      <c r="K7348" s="155"/>
      <c r="N7348" s="155"/>
    </row>
    <row r="7349" spans="1:14" s="387" customFormat="1" x14ac:dyDescent="0.3">
      <c r="A7349" s="503">
        <v>45184</v>
      </c>
      <c r="B7349" s="568"/>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68"/>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68" t="s">
        <v>12047</v>
      </c>
      <c r="C7351" s="44" t="s">
        <v>12154</v>
      </c>
      <c r="D7351" s="124" t="s">
        <v>12147</v>
      </c>
      <c r="E7351" s="28">
        <v>40000</v>
      </c>
      <c r="F7351" s="28"/>
      <c r="G7351" s="48">
        <f t="shared" si="182"/>
        <v>804759.46774193528</v>
      </c>
      <c r="H7351" s="388" t="s">
        <v>9567</v>
      </c>
      <c r="I7351" s="155"/>
      <c r="J7351" s="155"/>
      <c r="K7351" s="155"/>
      <c r="N7351" s="155"/>
    </row>
    <row r="7352" spans="1:14" s="387" customFormat="1" x14ac:dyDescent="0.3">
      <c r="A7352" s="503">
        <v>45184</v>
      </c>
      <c r="B7352" s="568" t="s">
        <v>12157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68" t="s">
        <v>12045</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68" t="s">
        <v>12133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68" t="s">
        <v>12044</v>
      </c>
      <c r="C7355" s="44" t="s">
        <v>12100</v>
      </c>
      <c r="D7355" s="124" t="s">
        <v>12162</v>
      </c>
      <c r="E7355" s="28">
        <v>9500</v>
      </c>
      <c r="F7355" s="28"/>
      <c r="G7355" s="48">
        <f t="shared" si="182"/>
        <v>772559.46774193528</v>
      </c>
      <c r="H7355" s="388" t="s">
        <v>9567</v>
      </c>
      <c r="I7355" s="155"/>
      <c r="J7355" s="155"/>
      <c r="K7355" s="155"/>
      <c r="N7355" s="155"/>
    </row>
    <row r="7356" spans="1:14" s="387" customFormat="1" x14ac:dyDescent="0.25">
      <c r="A7356" s="503">
        <v>45185</v>
      </c>
      <c r="B7356" s="568"/>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68" t="s">
        <v>12046</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68" t="s">
        <v>12045</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68" t="s">
        <v>12086</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68" t="s">
        <v>12086</v>
      </c>
      <c r="C7360" s="44" t="s">
        <v>11174</v>
      </c>
      <c r="D7360" s="124" t="s">
        <v>12165</v>
      </c>
      <c r="E7360" s="28">
        <v>16350</v>
      </c>
      <c r="F7360" s="28"/>
      <c r="G7360" s="48">
        <f t="shared" si="182"/>
        <v>743299.46774193528</v>
      </c>
      <c r="H7360" s="397" t="s">
        <v>9567</v>
      </c>
      <c r="I7360" s="155"/>
      <c r="J7360" s="155"/>
      <c r="K7360" s="155"/>
      <c r="N7360" s="155"/>
    </row>
    <row r="7361" spans="1:14" s="387" customFormat="1" x14ac:dyDescent="0.25">
      <c r="A7361" s="503">
        <v>45185</v>
      </c>
      <c r="B7361" s="568"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68" t="s">
        <v>25</v>
      </c>
      <c r="C7362" s="44" t="s">
        <v>26</v>
      </c>
      <c r="D7362" s="124" t="s">
        <v>12169</v>
      </c>
      <c r="E7362" s="28">
        <v>1100</v>
      </c>
      <c r="F7362" s="28"/>
      <c r="G7362" s="48">
        <f t="shared" si="182"/>
        <v>737529.46774193528</v>
      </c>
      <c r="H7362" s="397" t="s">
        <v>9567</v>
      </c>
    </row>
    <row r="7363" spans="1:14" x14ac:dyDescent="0.3">
      <c r="A7363" s="503">
        <v>45187</v>
      </c>
      <c r="B7363" s="568"/>
      <c r="C7363" s="44" t="s">
        <v>57</v>
      </c>
      <c r="D7363" s="124" t="s">
        <v>12170</v>
      </c>
      <c r="E7363" s="28">
        <v>5560</v>
      </c>
      <c r="F7363" s="28"/>
      <c r="G7363" s="48">
        <f t="shared" si="182"/>
        <v>731969.46774193528</v>
      </c>
      <c r="H7363" s="388" t="s">
        <v>9567</v>
      </c>
    </row>
    <row r="7364" spans="1:14" s="387" customFormat="1" x14ac:dyDescent="0.3">
      <c r="A7364" s="503">
        <v>45187</v>
      </c>
      <c r="B7364" s="568" t="s">
        <v>12045</v>
      </c>
      <c r="C7364" s="44" t="s">
        <v>11174</v>
      </c>
      <c r="D7364" s="124" t="s">
        <v>12172</v>
      </c>
      <c r="E7364" s="28">
        <v>8450</v>
      </c>
      <c r="F7364" s="28"/>
      <c r="G7364" s="48">
        <f t="shared" si="182"/>
        <v>723519.46774193528</v>
      </c>
      <c r="H7364" s="388" t="s">
        <v>9567</v>
      </c>
      <c r="I7364" s="155"/>
      <c r="J7364" s="155"/>
      <c r="K7364" s="155"/>
      <c r="N7364" s="155"/>
    </row>
    <row r="7365" spans="1:14" s="387" customFormat="1" x14ac:dyDescent="0.3">
      <c r="A7365" s="503">
        <v>45187</v>
      </c>
      <c r="B7365" s="568" t="s">
        <v>12086</v>
      </c>
      <c r="C7365" s="44" t="s">
        <v>11174</v>
      </c>
      <c r="D7365" s="124" t="s">
        <v>12174</v>
      </c>
      <c r="E7365" s="28">
        <v>62125</v>
      </c>
      <c r="F7365" s="28"/>
      <c r="G7365" s="48">
        <f t="shared" si="182"/>
        <v>661394.46774193528</v>
      </c>
      <c r="H7365" s="388" t="s">
        <v>9567</v>
      </c>
      <c r="I7365" s="155"/>
      <c r="J7365" s="155"/>
      <c r="K7365" s="155"/>
      <c r="N7365" s="155"/>
    </row>
    <row r="7366" spans="1:14" s="387" customFormat="1" x14ac:dyDescent="0.3">
      <c r="A7366" s="503">
        <v>45187</v>
      </c>
      <c r="B7366" s="568" t="s">
        <v>12049</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68" t="s">
        <v>12175</v>
      </c>
      <c r="C7367" s="44" t="s">
        <v>11174</v>
      </c>
      <c r="D7367" s="124" t="s">
        <v>12176</v>
      </c>
      <c r="E7367" s="28">
        <v>6500</v>
      </c>
      <c r="F7367" s="28"/>
      <c r="G7367" s="48">
        <f t="shared" si="182"/>
        <v>653009.46774193528</v>
      </c>
      <c r="H7367" s="388" t="s">
        <v>9567</v>
      </c>
      <c r="I7367" s="155"/>
      <c r="J7367" s="155"/>
      <c r="K7367" s="155"/>
      <c r="N7367" s="155"/>
    </row>
    <row r="7368" spans="1:14" s="387" customFormat="1" x14ac:dyDescent="0.3">
      <c r="A7368" s="503">
        <v>45187</v>
      </c>
      <c r="B7368" s="568" t="s">
        <v>12086</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68" t="s">
        <v>12049</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68"/>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68" t="s">
        <v>12046</v>
      </c>
      <c r="C7371" s="44" t="s">
        <v>11174</v>
      </c>
      <c r="D7371" s="124" t="s">
        <v>12186</v>
      </c>
      <c r="E7371" s="28">
        <v>5080</v>
      </c>
      <c r="F7371" s="28"/>
      <c r="G7371" s="48">
        <f t="shared" si="182"/>
        <v>629129.46774193528</v>
      </c>
      <c r="H7371" s="388" t="s">
        <v>9567</v>
      </c>
      <c r="I7371" s="155"/>
      <c r="J7371" s="155"/>
      <c r="K7371" s="155"/>
      <c r="N7371" s="155"/>
    </row>
    <row r="7372" spans="1:14" s="387" customFormat="1" x14ac:dyDescent="0.3">
      <c r="A7372" s="503">
        <v>45188</v>
      </c>
      <c r="B7372" s="568"/>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68" t="s">
        <v>25</v>
      </c>
      <c r="C7373" s="44" t="s">
        <v>25</v>
      </c>
      <c r="D7373" s="44" t="s">
        <v>11434</v>
      </c>
      <c r="E7373" s="28">
        <v>3000</v>
      </c>
      <c r="F7373" s="28"/>
      <c r="G7373" s="48">
        <f t="shared" si="182"/>
        <v>621129.46774193528</v>
      </c>
      <c r="H7373" s="388" t="s">
        <v>9567</v>
      </c>
      <c r="I7373" s="155"/>
      <c r="J7373" s="155"/>
      <c r="K7373" s="155"/>
      <c r="N7373" s="155"/>
    </row>
    <row r="7374" spans="1:14" x14ac:dyDescent="0.3">
      <c r="A7374" s="503">
        <v>45188</v>
      </c>
      <c r="B7374" s="568"/>
      <c r="C7374" s="44" t="s">
        <v>57</v>
      </c>
      <c r="D7374" s="124" t="s">
        <v>12178</v>
      </c>
      <c r="E7374" s="28">
        <v>30000</v>
      </c>
      <c r="F7374" s="28"/>
      <c r="G7374" s="48">
        <f t="shared" si="182"/>
        <v>591129.46774193528</v>
      </c>
      <c r="H7374" s="388" t="s">
        <v>9567</v>
      </c>
    </row>
    <row r="7375" spans="1:14" ht="37.5" x14ac:dyDescent="0.3">
      <c r="A7375" s="503">
        <v>45188</v>
      </c>
      <c r="B7375" s="568" t="s">
        <v>10319</v>
      </c>
      <c r="C7375" s="44" t="s">
        <v>11174</v>
      </c>
      <c r="D7375" s="124" t="s">
        <v>12187</v>
      </c>
      <c r="E7375" s="28">
        <f>28000+250</f>
        <v>28250</v>
      </c>
      <c r="F7375" s="28"/>
      <c r="G7375" s="48">
        <f t="shared" si="182"/>
        <v>562879.46774193528</v>
      </c>
      <c r="H7375" s="388" t="s">
        <v>9567</v>
      </c>
    </row>
    <row r="7376" spans="1:14" x14ac:dyDescent="0.3">
      <c r="A7376" s="503">
        <v>45188</v>
      </c>
      <c r="B7376" s="568" t="s">
        <v>12046</v>
      </c>
      <c r="C7376" s="44" t="s">
        <v>11174</v>
      </c>
      <c r="D7376" s="124" t="s">
        <v>12181</v>
      </c>
      <c r="E7376" s="28">
        <v>161000</v>
      </c>
      <c r="F7376" s="28"/>
      <c r="G7376" s="48">
        <f t="shared" si="182"/>
        <v>401879.46774193528</v>
      </c>
      <c r="H7376" s="388" t="s">
        <v>9567</v>
      </c>
    </row>
    <row r="7377" spans="1:10" x14ac:dyDescent="0.3">
      <c r="A7377" s="45">
        <v>45188</v>
      </c>
      <c r="B7377" s="568" t="s">
        <v>12046</v>
      </c>
      <c r="C7377" s="44" t="s">
        <v>9044</v>
      </c>
      <c r="D7377" s="124" t="s">
        <v>12183</v>
      </c>
      <c r="E7377" s="28">
        <v>42300</v>
      </c>
      <c r="F7377" s="28"/>
      <c r="G7377" s="48">
        <f t="shared" ref="G7377:G7444" si="183">G7376+F7377-E7377</f>
        <v>359579.46774193528</v>
      </c>
      <c r="H7377" s="388" t="s">
        <v>9567</v>
      </c>
    </row>
    <row r="7378" spans="1:10" x14ac:dyDescent="0.3">
      <c r="A7378" s="45">
        <v>45188</v>
      </c>
      <c r="B7378" s="568" t="s">
        <v>12086</v>
      </c>
      <c r="C7378" s="44" t="s">
        <v>5793</v>
      </c>
      <c r="D7378" s="124" t="s">
        <v>40</v>
      </c>
      <c r="E7378" s="28">
        <v>800</v>
      </c>
      <c r="F7378" s="28"/>
      <c r="G7378" s="48">
        <f t="shared" si="183"/>
        <v>358779.46774193528</v>
      </c>
      <c r="H7378" s="388" t="s">
        <v>9567</v>
      </c>
    </row>
    <row r="7379" spans="1:10" x14ac:dyDescent="0.3">
      <c r="A7379" s="45">
        <v>45188</v>
      </c>
      <c r="B7379" s="568" t="s">
        <v>12086</v>
      </c>
      <c r="C7379" s="44" t="s">
        <v>6430</v>
      </c>
      <c r="D7379" s="124" t="s">
        <v>12185</v>
      </c>
      <c r="E7379" s="28">
        <v>5000</v>
      </c>
      <c r="F7379" s="28"/>
      <c r="G7379" s="48">
        <f t="shared" si="183"/>
        <v>353779.46774193528</v>
      </c>
      <c r="H7379" s="388" t="s">
        <v>9567</v>
      </c>
    </row>
    <row r="7380" spans="1:10" x14ac:dyDescent="0.3">
      <c r="A7380" s="45">
        <v>45188</v>
      </c>
      <c r="B7380" s="568" t="s">
        <v>12046</v>
      </c>
      <c r="C7380" s="44" t="s">
        <v>11174</v>
      </c>
      <c r="D7380" s="124" t="s">
        <v>12188</v>
      </c>
      <c r="E7380" s="28">
        <v>1800</v>
      </c>
      <c r="F7380" s="28"/>
      <c r="G7380" s="48">
        <f t="shared" si="183"/>
        <v>351979.46774193528</v>
      </c>
      <c r="H7380" s="388" t="s">
        <v>9567</v>
      </c>
    </row>
    <row r="7381" spans="1:10" x14ac:dyDescent="0.3">
      <c r="A7381" s="45">
        <v>45188</v>
      </c>
      <c r="B7381" s="568" t="s">
        <v>12049</v>
      </c>
      <c r="C7381" s="44" t="s">
        <v>5979</v>
      </c>
      <c r="D7381" s="124" t="s">
        <v>12183</v>
      </c>
      <c r="E7381" s="28">
        <v>45000</v>
      </c>
      <c r="F7381" s="28"/>
      <c r="G7381" s="48">
        <f t="shared" si="183"/>
        <v>306979.46774193528</v>
      </c>
      <c r="H7381" s="388" t="s">
        <v>9567</v>
      </c>
    </row>
    <row r="7382" spans="1:10" x14ac:dyDescent="0.3">
      <c r="A7382" s="45">
        <v>45188</v>
      </c>
      <c r="B7382" s="568" t="s">
        <v>12135</v>
      </c>
      <c r="C7382" s="44" t="s">
        <v>5979</v>
      </c>
      <c r="D7382" s="124" t="s">
        <v>12183</v>
      </c>
      <c r="E7382" s="28">
        <v>5000</v>
      </c>
      <c r="F7382" s="28"/>
      <c r="G7382" s="48">
        <f t="shared" si="183"/>
        <v>301979.46774193528</v>
      </c>
      <c r="H7382" s="388" t="s">
        <v>9567</v>
      </c>
    </row>
    <row r="7383" spans="1:10" x14ac:dyDescent="0.3">
      <c r="A7383" s="45">
        <v>45189</v>
      </c>
      <c r="B7383" s="568" t="s">
        <v>10319</v>
      </c>
      <c r="C7383" s="44" t="s">
        <v>11174</v>
      </c>
      <c r="D7383" s="124" t="s">
        <v>12190</v>
      </c>
      <c r="E7383" s="28">
        <v>76555</v>
      </c>
      <c r="F7383" s="28"/>
      <c r="G7383" s="48">
        <f t="shared" si="183"/>
        <v>225424.46774193528</v>
      </c>
      <c r="H7383" s="388" t="s">
        <v>9567</v>
      </c>
    </row>
    <row r="7384" spans="1:10" x14ac:dyDescent="0.3">
      <c r="A7384" s="45">
        <v>45189</v>
      </c>
      <c r="B7384" s="568" t="s">
        <v>10319</v>
      </c>
      <c r="C7384" s="44" t="s">
        <v>11174</v>
      </c>
      <c r="D7384" s="124" t="s">
        <v>12191</v>
      </c>
      <c r="E7384" s="28">
        <v>35165</v>
      </c>
      <c r="F7384" s="28"/>
      <c r="G7384" s="48">
        <f t="shared" si="183"/>
        <v>190259.46774193528</v>
      </c>
      <c r="H7384" s="388" t="s">
        <v>9567</v>
      </c>
    </row>
    <row r="7385" spans="1:10" x14ac:dyDescent="0.3">
      <c r="A7385" s="45">
        <v>45189</v>
      </c>
      <c r="B7385" s="568" t="s">
        <v>12044</v>
      </c>
      <c r="C7385" s="44" t="s">
        <v>11174</v>
      </c>
      <c r="D7385" s="124" t="s">
        <v>12192</v>
      </c>
      <c r="E7385" s="28">
        <v>913</v>
      </c>
      <c r="F7385" s="28"/>
      <c r="G7385" s="48">
        <f t="shared" si="183"/>
        <v>189346.46774193528</v>
      </c>
      <c r="H7385" s="388" t="s">
        <v>9567</v>
      </c>
    </row>
    <row r="7386" spans="1:10" x14ac:dyDescent="0.3">
      <c r="A7386" s="45">
        <v>45189</v>
      </c>
      <c r="B7386" s="568"/>
      <c r="C7386" s="44" t="s">
        <v>18</v>
      </c>
      <c r="D7386" s="124" t="s">
        <v>12189</v>
      </c>
      <c r="E7386" s="28">
        <v>1500</v>
      </c>
      <c r="F7386" s="28"/>
      <c r="G7386" s="48">
        <f t="shared" si="183"/>
        <v>187846.46774193528</v>
      </c>
      <c r="H7386" s="388" t="s">
        <v>9567</v>
      </c>
    </row>
    <row r="7387" spans="1:10" x14ac:dyDescent="0.3">
      <c r="A7387" s="45">
        <v>45189</v>
      </c>
      <c r="B7387" s="568" t="s">
        <v>10319</v>
      </c>
      <c r="C7387" s="44" t="s">
        <v>5793</v>
      </c>
      <c r="D7387" s="124" t="s">
        <v>40</v>
      </c>
      <c r="E7387" s="28">
        <v>1500</v>
      </c>
      <c r="F7387" s="28"/>
      <c r="G7387" s="48">
        <f t="shared" si="183"/>
        <v>186346.46774193528</v>
      </c>
      <c r="H7387" s="388" t="s">
        <v>9567</v>
      </c>
    </row>
    <row r="7388" spans="1:10" x14ac:dyDescent="0.3">
      <c r="A7388" s="45">
        <v>45189</v>
      </c>
      <c r="B7388" s="568"/>
      <c r="C7388" s="44" t="s">
        <v>84</v>
      </c>
      <c r="D7388" s="124" t="s">
        <v>12193</v>
      </c>
      <c r="E7388" s="28">
        <v>100000</v>
      </c>
      <c r="F7388" s="28"/>
      <c r="G7388" s="48">
        <f t="shared" si="183"/>
        <v>86346.467741935281</v>
      </c>
      <c r="H7388" s="388" t="s">
        <v>9567</v>
      </c>
    </row>
    <row r="7389" spans="1:10" x14ac:dyDescent="0.3">
      <c r="A7389" s="45">
        <v>45189</v>
      </c>
      <c r="B7389" s="568" t="s">
        <v>12045</v>
      </c>
      <c r="C7389" s="44" t="s">
        <v>5793</v>
      </c>
      <c r="D7389" s="124" t="s">
        <v>40</v>
      </c>
      <c r="E7389" s="28">
        <v>300</v>
      </c>
      <c r="F7389" s="28"/>
      <c r="G7389" s="48">
        <f t="shared" si="183"/>
        <v>86046.467741935281</v>
      </c>
      <c r="H7389" s="388" t="s">
        <v>9567</v>
      </c>
      <c r="J7389" s="52" t="s">
        <v>12197</v>
      </c>
    </row>
    <row r="7390" spans="1:10" x14ac:dyDescent="0.3">
      <c r="A7390" s="45">
        <v>45189</v>
      </c>
      <c r="B7390" s="568" t="s">
        <v>11743</v>
      </c>
      <c r="C7390" s="44" t="s">
        <v>11174</v>
      </c>
      <c r="D7390" s="124" t="s">
        <v>12194</v>
      </c>
      <c r="E7390" s="28">
        <v>18950</v>
      </c>
      <c r="F7390" s="28"/>
      <c r="G7390" s="48">
        <f t="shared" si="183"/>
        <v>67096.467741935281</v>
      </c>
      <c r="H7390" s="388" t="s">
        <v>9567</v>
      </c>
      <c r="J7390" s="52">
        <v>20000</v>
      </c>
    </row>
    <row r="7391" spans="1:10" x14ac:dyDescent="0.3">
      <c r="A7391" s="45">
        <v>45190</v>
      </c>
      <c r="B7391" s="568" t="s">
        <v>12046</v>
      </c>
      <c r="C7391" s="44" t="s">
        <v>5162</v>
      </c>
      <c r="D7391" s="124" t="s">
        <v>5813</v>
      </c>
      <c r="E7391" s="28">
        <v>5000</v>
      </c>
      <c r="F7391" s="43"/>
      <c r="G7391" s="48">
        <f t="shared" si="183"/>
        <v>62096.467741935281</v>
      </c>
      <c r="H7391" s="388" t="s">
        <v>9567</v>
      </c>
      <c r="J7391" s="52">
        <v>18950</v>
      </c>
    </row>
    <row r="7392" spans="1:10" x14ac:dyDescent="0.3">
      <c r="A7392" s="45">
        <v>45190</v>
      </c>
      <c r="B7392" s="568"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68" t="s">
        <v>25</v>
      </c>
      <c r="C7393" s="44" t="s">
        <v>25</v>
      </c>
      <c r="D7393" s="44" t="s">
        <v>11434</v>
      </c>
      <c r="E7393" s="28">
        <v>3500</v>
      </c>
      <c r="F7393" s="43"/>
      <c r="G7393" s="48">
        <f t="shared" si="183"/>
        <v>55696.467741935281</v>
      </c>
      <c r="H7393" s="388" t="s">
        <v>9567</v>
      </c>
      <c r="J7393" s="52">
        <v>612</v>
      </c>
    </row>
    <row r="7394" spans="1:10" x14ac:dyDescent="0.3">
      <c r="A7394" s="45">
        <v>45190</v>
      </c>
      <c r="B7394" s="568" t="s">
        <v>12046</v>
      </c>
      <c r="C7394" s="44" t="s">
        <v>11174</v>
      </c>
      <c r="D7394" s="124" t="s">
        <v>12195</v>
      </c>
      <c r="E7394" s="28">
        <v>5612</v>
      </c>
      <c r="F7394" s="43"/>
      <c r="G7394" s="48">
        <f t="shared" si="183"/>
        <v>50084.467741935281</v>
      </c>
      <c r="H7394" s="388" t="s">
        <v>9567</v>
      </c>
      <c r="J7394" s="52">
        <f>J7392-J7393</f>
        <v>438</v>
      </c>
    </row>
    <row r="7395" spans="1:10" x14ac:dyDescent="0.3">
      <c r="A7395" s="45">
        <v>45190</v>
      </c>
      <c r="B7395" s="568"/>
      <c r="C7395" s="44" t="s">
        <v>30</v>
      </c>
      <c r="D7395" s="124" t="s">
        <v>10637</v>
      </c>
      <c r="E7395" s="28">
        <v>1000</v>
      </c>
      <c r="F7395" s="43"/>
      <c r="G7395" s="48">
        <f t="shared" si="183"/>
        <v>49084.467741935281</v>
      </c>
      <c r="H7395" s="388" t="s">
        <v>9567</v>
      </c>
      <c r="J7395" s="52">
        <v>300</v>
      </c>
    </row>
    <row r="7396" spans="1:10" x14ac:dyDescent="0.3">
      <c r="A7396" s="45">
        <v>45190</v>
      </c>
      <c r="B7396" s="568" t="s">
        <v>12133</v>
      </c>
      <c r="C7396" s="44" t="s">
        <v>9451</v>
      </c>
      <c r="D7396" s="124" t="s">
        <v>40</v>
      </c>
      <c r="E7396" s="28">
        <v>6000</v>
      </c>
      <c r="F7396" s="43"/>
      <c r="G7396" s="48">
        <f t="shared" si="183"/>
        <v>43084.467741935281</v>
      </c>
      <c r="H7396" s="388" t="s">
        <v>9567</v>
      </c>
      <c r="J7396" s="52">
        <f>J7394-J7395</f>
        <v>138</v>
      </c>
    </row>
    <row r="7397" spans="1:10" x14ac:dyDescent="0.3">
      <c r="A7397" s="45">
        <v>45190</v>
      </c>
      <c r="B7397" s="568"/>
      <c r="C7397" s="44" t="s">
        <v>30</v>
      </c>
      <c r="D7397" s="124" t="s">
        <v>7561</v>
      </c>
      <c r="E7397" s="28">
        <v>750</v>
      </c>
      <c r="F7397" s="43"/>
      <c r="G7397" s="48">
        <f t="shared" si="183"/>
        <v>42334.467741935281</v>
      </c>
      <c r="H7397" s="388" t="s">
        <v>9567</v>
      </c>
      <c r="J7397" s="52">
        <v>100</v>
      </c>
    </row>
    <row r="7398" spans="1:10" x14ac:dyDescent="0.3">
      <c r="A7398" s="45">
        <v>45191</v>
      </c>
      <c r="B7398" s="568"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68" t="s">
        <v>25</v>
      </c>
      <c r="C7399" s="44" t="s">
        <v>25</v>
      </c>
      <c r="D7399" s="44" t="s">
        <v>11434</v>
      </c>
      <c r="E7399" s="28">
        <v>3500</v>
      </c>
      <c r="F7399" s="43"/>
      <c r="G7399" s="48">
        <f t="shared" si="183"/>
        <v>37234.467741935281</v>
      </c>
      <c r="H7399" s="388" t="s">
        <v>9567</v>
      </c>
      <c r="J7399" s="52">
        <v>100</v>
      </c>
    </row>
    <row r="7400" spans="1:10" x14ac:dyDescent="0.3">
      <c r="A7400" s="45">
        <v>45191</v>
      </c>
      <c r="B7400" s="568"/>
      <c r="C7400" s="44" t="s">
        <v>30</v>
      </c>
      <c r="D7400" s="124" t="s">
        <v>10637</v>
      </c>
      <c r="E7400" s="28">
        <v>300</v>
      </c>
      <c r="F7400" s="43"/>
      <c r="G7400" s="48">
        <f t="shared" si="183"/>
        <v>36934.467741935281</v>
      </c>
      <c r="H7400" s="388" t="s">
        <v>9567</v>
      </c>
      <c r="J7400" s="52">
        <f>J7398-J7399</f>
        <v>138</v>
      </c>
    </row>
    <row r="7401" spans="1:10" x14ac:dyDescent="0.3">
      <c r="A7401" s="45">
        <v>45191</v>
      </c>
      <c r="B7401" s="568"/>
      <c r="C7401" s="5" t="s">
        <v>6430</v>
      </c>
      <c r="D7401" s="124" t="s">
        <v>294</v>
      </c>
      <c r="E7401" s="43">
        <v>10000</v>
      </c>
      <c r="F7401" s="43"/>
      <c r="G7401" s="48">
        <f t="shared" si="183"/>
        <v>26934.467741935281</v>
      </c>
      <c r="H7401" s="388" t="s">
        <v>9567</v>
      </c>
    </row>
    <row r="7402" spans="1:10" x14ac:dyDescent="0.3">
      <c r="A7402" s="45">
        <v>45191</v>
      </c>
      <c r="B7402" s="568"/>
      <c r="C7402" s="5" t="s">
        <v>5288</v>
      </c>
      <c r="D7402" s="124" t="s">
        <v>12199</v>
      </c>
      <c r="E7402" s="43">
        <v>2000</v>
      </c>
      <c r="F7402" s="43"/>
      <c r="G7402" s="48">
        <f t="shared" si="183"/>
        <v>24934.467741935281</v>
      </c>
      <c r="H7402" s="388" t="s">
        <v>9567</v>
      </c>
    </row>
    <row r="7403" spans="1:10" x14ac:dyDescent="0.3">
      <c r="A7403" s="45">
        <v>45191</v>
      </c>
      <c r="B7403" s="568" t="s">
        <v>11743</v>
      </c>
      <c r="C7403" s="5" t="s">
        <v>9524</v>
      </c>
      <c r="D7403" s="124" t="s">
        <v>12200</v>
      </c>
      <c r="E7403" s="43">
        <v>1000</v>
      </c>
      <c r="F7403" s="43"/>
      <c r="G7403" s="48">
        <f t="shared" si="183"/>
        <v>23934.467741935281</v>
      </c>
      <c r="H7403" s="388" t="s">
        <v>9567</v>
      </c>
    </row>
    <row r="7404" spans="1:10" x14ac:dyDescent="0.3">
      <c r="A7404" s="45">
        <v>45191</v>
      </c>
      <c r="B7404" s="568" t="s">
        <v>11743</v>
      </c>
      <c r="C7404" s="5" t="s">
        <v>9524</v>
      </c>
      <c r="D7404" s="124" t="s">
        <v>12201</v>
      </c>
      <c r="E7404" s="43">
        <v>1500</v>
      </c>
      <c r="F7404" s="43"/>
      <c r="G7404" s="48">
        <f t="shared" si="183"/>
        <v>22434.467741935281</v>
      </c>
      <c r="H7404" s="388" t="s">
        <v>9567</v>
      </c>
    </row>
    <row r="7405" spans="1:10" x14ac:dyDescent="0.3">
      <c r="A7405" s="45">
        <v>45191</v>
      </c>
      <c r="B7405" s="568" t="s">
        <v>12045</v>
      </c>
      <c r="C7405" s="5" t="s">
        <v>5793</v>
      </c>
      <c r="D7405" s="124" t="s">
        <v>8924</v>
      </c>
      <c r="E7405" s="43">
        <v>300</v>
      </c>
      <c r="F7405" s="43"/>
      <c r="G7405" s="48">
        <f t="shared" si="183"/>
        <v>22134.467741935281</v>
      </c>
      <c r="H7405" s="388" t="s">
        <v>9567</v>
      </c>
      <c r="J7405" s="52">
        <v>26190</v>
      </c>
    </row>
    <row r="7406" spans="1:10" x14ac:dyDescent="0.3">
      <c r="A7406" s="45">
        <v>45191</v>
      </c>
      <c r="B7406" s="565"/>
      <c r="C7406" s="480"/>
      <c r="D7406" s="491" t="s">
        <v>4364</v>
      </c>
      <c r="E7406" s="480"/>
      <c r="F7406" s="28">
        <v>100000</v>
      </c>
      <c r="G7406" s="48">
        <f t="shared" si="183"/>
        <v>122134.46774193528</v>
      </c>
      <c r="H7406" s="388" t="s">
        <v>9567</v>
      </c>
      <c r="J7406" s="52">
        <v>22000</v>
      </c>
    </row>
    <row r="7407" spans="1:10" x14ac:dyDescent="0.3">
      <c r="A7407" s="45">
        <v>45191</v>
      </c>
      <c r="B7407" s="568" t="s">
        <v>12050</v>
      </c>
      <c r="C7407" s="5" t="s">
        <v>11174</v>
      </c>
      <c r="D7407" s="124" t="s">
        <v>12203</v>
      </c>
      <c r="E7407" s="43">
        <v>57600</v>
      </c>
      <c r="F7407" s="43"/>
      <c r="G7407" s="48">
        <f t="shared" si="183"/>
        <v>64534.467741935281</v>
      </c>
      <c r="H7407" s="388" t="s">
        <v>9567</v>
      </c>
      <c r="J7407" s="52">
        <f>J7405-J7406</f>
        <v>4190</v>
      </c>
    </row>
    <row r="7408" spans="1:10" x14ac:dyDescent="0.3">
      <c r="A7408" s="45">
        <v>45191</v>
      </c>
      <c r="B7408" s="568" t="s">
        <v>11505</v>
      </c>
      <c r="C7408" s="5" t="s">
        <v>9257</v>
      </c>
      <c r="D7408" s="124" t="s">
        <v>40</v>
      </c>
      <c r="E7408" s="43">
        <v>40000</v>
      </c>
      <c r="F7408" s="43"/>
      <c r="G7408" s="48">
        <f t="shared" si="183"/>
        <v>24534.467741935281</v>
      </c>
      <c r="H7408" s="388" t="s">
        <v>9567</v>
      </c>
      <c r="J7408" s="52">
        <f>J7407-J7400</f>
        <v>4052</v>
      </c>
    </row>
    <row r="7409" spans="1:11" x14ac:dyDescent="0.3">
      <c r="A7409" s="45">
        <v>45192</v>
      </c>
      <c r="B7409" s="565"/>
      <c r="C7409" s="480"/>
      <c r="D7409" s="491" t="s">
        <v>4364</v>
      </c>
      <c r="E7409" s="480"/>
      <c r="F7409" s="28">
        <v>50000</v>
      </c>
      <c r="G7409" s="48">
        <f t="shared" si="183"/>
        <v>74534.467741935281</v>
      </c>
      <c r="H7409" s="388" t="s">
        <v>9567</v>
      </c>
    </row>
    <row r="7410" spans="1:11" x14ac:dyDescent="0.3">
      <c r="A7410" s="45">
        <v>45191</v>
      </c>
      <c r="B7410" s="568"/>
      <c r="C7410" s="5" t="s">
        <v>9749</v>
      </c>
      <c r="D7410" s="124" t="s">
        <v>12204</v>
      </c>
      <c r="E7410" s="43">
        <v>26190</v>
      </c>
      <c r="F7410" s="43"/>
      <c r="G7410" s="48">
        <f t="shared" si="183"/>
        <v>48344.467741935281</v>
      </c>
      <c r="H7410" s="388" t="s">
        <v>9567</v>
      </c>
    </row>
    <row r="7411" spans="1:11" x14ac:dyDescent="0.3">
      <c r="A7411" s="45">
        <v>45192</v>
      </c>
      <c r="B7411" s="568" t="s">
        <v>12046</v>
      </c>
      <c r="C7411" s="5" t="s">
        <v>5162</v>
      </c>
      <c r="D7411" s="124" t="s">
        <v>294</v>
      </c>
      <c r="E7411" s="43">
        <v>5000</v>
      </c>
      <c r="F7411" s="43"/>
      <c r="G7411" s="48">
        <f t="shared" si="183"/>
        <v>43344.467741935281</v>
      </c>
      <c r="H7411" s="388" t="s">
        <v>9567</v>
      </c>
    </row>
    <row r="7412" spans="1:11" x14ac:dyDescent="0.3">
      <c r="A7412" s="45">
        <v>45192</v>
      </c>
      <c r="B7412" s="568" t="s">
        <v>10319</v>
      </c>
      <c r="C7412" s="5" t="s">
        <v>5793</v>
      </c>
      <c r="D7412" s="124" t="s">
        <v>40</v>
      </c>
      <c r="E7412" s="43">
        <v>1850</v>
      </c>
      <c r="F7412" s="43"/>
      <c r="G7412" s="48">
        <f t="shared" si="183"/>
        <v>41494.467741935281</v>
      </c>
      <c r="H7412" s="388" t="s">
        <v>9567</v>
      </c>
    </row>
    <row r="7413" spans="1:11" x14ac:dyDescent="0.3">
      <c r="A7413" s="45">
        <v>45194</v>
      </c>
      <c r="B7413" s="565"/>
      <c r="C7413" s="480"/>
      <c r="D7413" s="491" t="s">
        <v>12274</v>
      </c>
      <c r="E7413" s="480"/>
      <c r="F7413" s="28">
        <v>1000000</v>
      </c>
      <c r="G7413" s="48">
        <f t="shared" si="183"/>
        <v>1041494.4677419353</v>
      </c>
      <c r="H7413" s="388" t="s">
        <v>9567</v>
      </c>
    </row>
    <row r="7414" spans="1:11" x14ac:dyDescent="0.3">
      <c r="A7414" s="45">
        <v>45194</v>
      </c>
      <c r="B7414" s="568" t="s">
        <v>12048</v>
      </c>
      <c r="C7414" s="5" t="s">
        <v>30</v>
      </c>
      <c r="D7414" s="124" t="s">
        <v>12205</v>
      </c>
      <c r="E7414" s="43">
        <v>1000</v>
      </c>
      <c r="F7414" s="43"/>
      <c r="G7414" s="48">
        <f t="shared" si="183"/>
        <v>1040494.4677419353</v>
      </c>
      <c r="H7414" s="388" t="s">
        <v>9567</v>
      </c>
    </row>
    <row r="7415" spans="1:11" x14ac:dyDescent="0.3">
      <c r="A7415" s="45">
        <v>45194</v>
      </c>
      <c r="B7415" s="569" t="s">
        <v>12206</v>
      </c>
      <c r="C7415" s="570" t="s">
        <v>14</v>
      </c>
      <c r="D7415" s="571" t="s">
        <v>12207</v>
      </c>
      <c r="E7415" s="572">
        <v>500000</v>
      </c>
      <c r="F7415" s="43"/>
      <c r="G7415" s="48">
        <f t="shared" si="183"/>
        <v>540494.46774193528</v>
      </c>
      <c r="H7415" s="388" t="s">
        <v>9567</v>
      </c>
    </row>
    <row r="7416" spans="1:11" x14ac:dyDescent="0.3">
      <c r="A7416" s="45">
        <v>45194</v>
      </c>
      <c r="B7416" s="568" t="s">
        <v>25</v>
      </c>
      <c r="C7416" s="44" t="s">
        <v>25</v>
      </c>
      <c r="D7416" s="44" t="s">
        <v>11434</v>
      </c>
      <c r="E7416" s="28">
        <v>3000</v>
      </c>
      <c r="F7416" s="43"/>
      <c r="G7416" s="48">
        <f t="shared" si="183"/>
        <v>537494.46774193528</v>
      </c>
      <c r="H7416" s="388" t="s">
        <v>9567</v>
      </c>
    </row>
    <row r="7417" spans="1:11" x14ac:dyDescent="0.3">
      <c r="A7417" s="45">
        <v>45194</v>
      </c>
      <c r="B7417" s="568" t="s">
        <v>12044</v>
      </c>
      <c r="C7417" s="5" t="s">
        <v>12104</v>
      </c>
      <c r="D7417" s="124" t="s">
        <v>294</v>
      </c>
      <c r="E7417" s="43">
        <v>100000</v>
      </c>
      <c r="F7417" s="43"/>
      <c r="G7417" s="48">
        <f t="shared" si="183"/>
        <v>437494.46774193528</v>
      </c>
      <c r="H7417" s="388" t="s">
        <v>9567</v>
      </c>
      <c r="J7417" s="52">
        <v>900</v>
      </c>
    </row>
    <row r="7418" spans="1:11" x14ac:dyDescent="0.3">
      <c r="A7418" s="45">
        <v>45194</v>
      </c>
      <c r="B7418" s="568" t="s">
        <v>12046</v>
      </c>
      <c r="C7418" s="5" t="s">
        <v>11174</v>
      </c>
      <c r="D7418" s="124" t="s">
        <v>12208</v>
      </c>
      <c r="E7418" s="43">
        <v>850</v>
      </c>
      <c r="F7418" s="43"/>
      <c r="G7418" s="48">
        <f t="shared" si="183"/>
        <v>436644.46774193528</v>
      </c>
      <c r="H7418" s="388" t="s">
        <v>9567</v>
      </c>
      <c r="I7418" s="52" t="s">
        <v>8924</v>
      </c>
      <c r="J7418" s="52">
        <v>150</v>
      </c>
    </row>
    <row r="7419" spans="1:11" x14ac:dyDescent="0.3">
      <c r="A7419" s="45">
        <v>45194</v>
      </c>
      <c r="B7419" s="568" t="s">
        <v>12157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68" t="s">
        <v>12044</v>
      </c>
      <c r="C7420" s="5" t="s">
        <v>11174</v>
      </c>
      <c r="D7420" s="124" t="s">
        <v>12202</v>
      </c>
      <c r="E7420" s="43">
        <v>1000</v>
      </c>
      <c r="F7420" s="43"/>
      <c r="G7420" s="48">
        <f t="shared" si="183"/>
        <v>434144.46774193528</v>
      </c>
      <c r="H7420" s="388" t="s">
        <v>9567</v>
      </c>
      <c r="J7420" s="52">
        <v>1000</v>
      </c>
      <c r="K7420" s="52">
        <v>1200</v>
      </c>
    </row>
    <row r="7421" spans="1:11" x14ac:dyDescent="0.3">
      <c r="A7421" s="45">
        <v>45194</v>
      </c>
      <c r="B7421" s="568"/>
      <c r="C7421" s="5" t="s">
        <v>84</v>
      </c>
      <c r="D7421" s="124" t="s">
        <v>12211</v>
      </c>
      <c r="E7421" s="43">
        <v>3000</v>
      </c>
      <c r="F7421" s="43"/>
      <c r="G7421" s="48">
        <f t="shared" si="183"/>
        <v>431144.46774193528</v>
      </c>
      <c r="H7421" s="388" t="s">
        <v>9567</v>
      </c>
      <c r="J7421" s="52">
        <v>46590</v>
      </c>
      <c r="K7421" s="52">
        <v>50000</v>
      </c>
    </row>
    <row r="7422" spans="1:11" x14ac:dyDescent="0.3">
      <c r="A7422" s="45">
        <v>45194</v>
      </c>
      <c r="B7422" s="568" t="s">
        <v>12044</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68"/>
      <c r="C7423" s="5" t="s">
        <v>84</v>
      </c>
      <c r="D7423" s="124" t="s">
        <v>12212</v>
      </c>
      <c r="E7423" s="43">
        <v>6000</v>
      </c>
      <c r="F7423" s="43"/>
      <c r="G7423" s="48">
        <f t="shared" si="183"/>
        <v>423144.46774193528</v>
      </c>
      <c r="H7423" s="388" t="s">
        <v>9567</v>
      </c>
      <c r="J7423" s="52">
        <f>SUM(J7417:J7422)</f>
        <v>71310</v>
      </c>
      <c r="K7423" s="52">
        <f>SUM(K7419:K7422)</f>
        <v>77200</v>
      </c>
    </row>
    <row r="7424" spans="1:11" x14ac:dyDescent="0.3">
      <c r="A7424" s="45">
        <v>45195</v>
      </c>
      <c r="B7424" s="568" t="s">
        <v>12047</v>
      </c>
      <c r="C7424" s="5" t="s">
        <v>3554</v>
      </c>
      <c r="D7424" s="124" t="s">
        <v>294</v>
      </c>
      <c r="E7424" s="43">
        <v>30000</v>
      </c>
      <c r="F7424" s="43"/>
      <c r="G7424" s="48">
        <f t="shared" si="183"/>
        <v>393144.46774193528</v>
      </c>
      <c r="H7424" s="388" t="s">
        <v>9567</v>
      </c>
      <c r="K7424" s="52">
        <f>K7423-J7423</f>
        <v>5890</v>
      </c>
    </row>
    <row r="7425" spans="1:11" x14ac:dyDescent="0.3">
      <c r="A7425" s="45">
        <v>45195</v>
      </c>
      <c r="B7425" s="568" t="s">
        <v>12086</v>
      </c>
      <c r="C7425" s="5" t="s">
        <v>11174</v>
      </c>
      <c r="D7425" s="124" t="s">
        <v>12227</v>
      </c>
      <c r="E7425" s="43">
        <v>46590</v>
      </c>
      <c r="F7425" s="43"/>
      <c r="G7425" s="48">
        <f t="shared" si="183"/>
        <v>346554.46774193528</v>
      </c>
      <c r="H7425" s="388" t="s">
        <v>9567</v>
      </c>
      <c r="K7425" s="52">
        <v>6000</v>
      </c>
    </row>
    <row r="7426" spans="1:11" x14ac:dyDescent="0.3">
      <c r="A7426" s="45">
        <v>45195</v>
      </c>
      <c r="B7426" s="568" t="s">
        <v>25</v>
      </c>
      <c r="C7426" s="5"/>
      <c r="D7426" s="124" t="s">
        <v>12223</v>
      </c>
      <c r="E7426" s="43">
        <v>21820</v>
      </c>
      <c r="F7426" s="43"/>
      <c r="G7426" s="48">
        <f t="shared" si="183"/>
        <v>324734.46774193528</v>
      </c>
      <c r="H7426" s="388" t="s">
        <v>9567</v>
      </c>
    </row>
    <row r="7427" spans="1:11" x14ac:dyDescent="0.3">
      <c r="A7427" s="45">
        <v>45195</v>
      </c>
      <c r="B7427" s="568" t="s">
        <v>12086</v>
      </c>
      <c r="C7427" s="5" t="s">
        <v>5793</v>
      </c>
      <c r="D7427" s="124" t="s">
        <v>40</v>
      </c>
      <c r="E7427" s="43">
        <v>900</v>
      </c>
      <c r="F7427" s="43"/>
      <c r="G7427" s="48">
        <f t="shared" si="183"/>
        <v>323834.46774193528</v>
      </c>
      <c r="H7427" s="388" t="s">
        <v>9567</v>
      </c>
    </row>
    <row r="7428" spans="1:11" x14ac:dyDescent="0.3">
      <c r="A7428" s="45">
        <v>45195</v>
      </c>
      <c r="B7428" s="568" t="s">
        <v>12086</v>
      </c>
      <c r="C7428" s="5" t="s">
        <v>5793</v>
      </c>
      <c r="D7428" s="124" t="s">
        <v>8924</v>
      </c>
      <c r="E7428" s="43">
        <v>150</v>
      </c>
      <c r="F7428" s="43"/>
      <c r="G7428" s="48">
        <f t="shared" si="183"/>
        <v>323684.46774193528</v>
      </c>
      <c r="H7428" s="388" t="s">
        <v>9567</v>
      </c>
    </row>
    <row r="7429" spans="1:11" x14ac:dyDescent="0.3">
      <c r="A7429" s="45">
        <v>45195</v>
      </c>
      <c r="B7429" s="568" t="s">
        <v>25</v>
      </c>
      <c r="C7429" s="5" t="s">
        <v>5793</v>
      </c>
      <c r="D7429" s="124" t="s">
        <v>12229</v>
      </c>
      <c r="E7429" s="43">
        <v>530</v>
      </c>
      <c r="F7429" s="43"/>
      <c r="G7429" s="48">
        <f t="shared" si="183"/>
        <v>323154.46774193528</v>
      </c>
      <c r="H7429" s="388" t="s">
        <v>9567</v>
      </c>
    </row>
    <row r="7430" spans="1:11" x14ac:dyDescent="0.3">
      <c r="A7430" s="45">
        <v>45195</v>
      </c>
      <c r="B7430" s="568"/>
      <c r="C7430" s="5" t="s">
        <v>5162</v>
      </c>
      <c r="D7430" s="124" t="s">
        <v>294</v>
      </c>
      <c r="E7430" s="43">
        <v>5000</v>
      </c>
      <c r="F7430" s="43"/>
      <c r="G7430" s="48">
        <f t="shared" si="183"/>
        <v>318154.46774193528</v>
      </c>
      <c r="H7430" s="388" t="s">
        <v>9567</v>
      </c>
    </row>
    <row r="7431" spans="1:11" x14ac:dyDescent="0.3">
      <c r="A7431" s="45">
        <v>45195</v>
      </c>
      <c r="B7431" s="568" t="s">
        <v>10319</v>
      </c>
      <c r="C7431" s="5" t="s">
        <v>11174</v>
      </c>
      <c r="D7431" s="124" t="s">
        <v>12226</v>
      </c>
      <c r="E7431" s="43">
        <v>24000</v>
      </c>
      <c r="F7431" s="43"/>
      <c r="G7431" s="48">
        <f t="shared" si="183"/>
        <v>294154.46774193528</v>
      </c>
      <c r="H7431" s="388" t="s">
        <v>9567</v>
      </c>
      <c r="K7431" s="52">
        <v>180</v>
      </c>
    </row>
    <row r="7432" spans="1:11" x14ac:dyDescent="0.3">
      <c r="A7432" s="45">
        <v>45195</v>
      </c>
      <c r="B7432" s="568" t="s">
        <v>10319</v>
      </c>
      <c r="C7432" s="5" t="s">
        <v>11174</v>
      </c>
      <c r="D7432" s="124" t="s">
        <v>12225</v>
      </c>
      <c r="E7432" s="43">
        <v>27000</v>
      </c>
      <c r="F7432" s="43"/>
      <c r="G7432" s="48">
        <f t="shared" si="183"/>
        <v>267154.46774193528</v>
      </c>
      <c r="H7432" s="388" t="s">
        <v>9567</v>
      </c>
      <c r="K7432" s="52">
        <v>350</v>
      </c>
    </row>
    <row r="7433" spans="1:11" x14ac:dyDescent="0.3">
      <c r="A7433" s="45">
        <v>45195</v>
      </c>
      <c r="B7433" s="568" t="s">
        <v>10319</v>
      </c>
      <c r="C7433" s="5" t="s">
        <v>11174</v>
      </c>
      <c r="D7433" s="124" t="s">
        <v>12224</v>
      </c>
      <c r="E7433" s="43">
        <v>11000</v>
      </c>
      <c r="F7433" s="43"/>
      <c r="G7433" s="48">
        <f t="shared" si="183"/>
        <v>256154.46774193528</v>
      </c>
      <c r="H7433" s="388" t="s">
        <v>9567</v>
      </c>
      <c r="K7433" s="52">
        <f>SUM(K7431:K7432)</f>
        <v>530</v>
      </c>
    </row>
    <row r="7434" spans="1:11" x14ac:dyDescent="0.3">
      <c r="A7434" s="45">
        <v>45195</v>
      </c>
      <c r="B7434" s="568" t="s">
        <v>12141</v>
      </c>
      <c r="C7434" s="5" t="s">
        <v>9643</v>
      </c>
      <c r="D7434" s="124" t="s">
        <v>12213</v>
      </c>
      <c r="E7434" s="43">
        <v>15000</v>
      </c>
      <c r="F7434" s="43"/>
      <c r="G7434" s="48">
        <f t="shared" si="183"/>
        <v>241154.46774193528</v>
      </c>
      <c r="H7434" s="388" t="s">
        <v>9567</v>
      </c>
      <c r="K7434" s="52" t="s">
        <v>12228</v>
      </c>
    </row>
    <row r="7435" spans="1:11" x14ac:dyDescent="0.3">
      <c r="A7435" s="45">
        <v>45195</v>
      </c>
      <c r="B7435" s="568" t="s">
        <v>12230</v>
      </c>
      <c r="C7435" s="5" t="s">
        <v>1074</v>
      </c>
      <c r="D7435" s="124" t="s">
        <v>4601</v>
      </c>
      <c r="E7435" s="43">
        <v>210</v>
      </c>
      <c r="F7435" s="43"/>
      <c r="G7435" s="48">
        <f t="shared" si="183"/>
        <v>240944.46774193528</v>
      </c>
      <c r="H7435" s="388" t="s">
        <v>9567</v>
      </c>
    </row>
    <row r="7436" spans="1:11" x14ac:dyDescent="0.3">
      <c r="A7436" s="45">
        <v>45195</v>
      </c>
      <c r="B7436" s="568" t="s">
        <v>25</v>
      </c>
      <c r="C7436" s="5" t="s">
        <v>7214</v>
      </c>
      <c r="D7436" s="124" t="s">
        <v>12216</v>
      </c>
      <c r="E7436" s="43">
        <v>7500</v>
      </c>
      <c r="F7436" s="43"/>
      <c r="G7436" s="48">
        <f t="shared" si="183"/>
        <v>233444.46774193528</v>
      </c>
      <c r="H7436" s="388" t="s">
        <v>9567</v>
      </c>
    </row>
    <row r="7437" spans="1:11" x14ac:dyDescent="0.3">
      <c r="A7437" s="45">
        <v>45195</v>
      </c>
      <c r="B7437" s="568" t="s">
        <v>25</v>
      </c>
      <c r="C7437" s="44" t="s">
        <v>25</v>
      </c>
      <c r="D7437" s="44" t="s">
        <v>11434</v>
      </c>
      <c r="E7437" s="28">
        <v>3500</v>
      </c>
      <c r="F7437" s="43"/>
      <c r="G7437" s="48">
        <f t="shared" si="183"/>
        <v>229944.46774193528</v>
      </c>
      <c r="H7437" s="388" t="s">
        <v>9567</v>
      </c>
    </row>
    <row r="7438" spans="1:11" x14ac:dyDescent="0.3">
      <c r="A7438" s="45">
        <v>45195</v>
      </c>
      <c r="B7438" s="396" t="s">
        <v>12086</v>
      </c>
      <c r="C7438" s="5" t="s">
        <v>11174</v>
      </c>
      <c r="D7438" s="5" t="s">
        <v>12217</v>
      </c>
      <c r="E7438" s="43">
        <v>68500</v>
      </c>
      <c r="F7438" s="43"/>
      <c r="G7438" s="48">
        <f t="shared" si="183"/>
        <v>161444.46774193528</v>
      </c>
      <c r="H7438" s="388" t="s">
        <v>9567</v>
      </c>
    </row>
    <row r="7439" spans="1:11" x14ac:dyDescent="0.3">
      <c r="A7439" s="45">
        <v>45195</v>
      </c>
      <c r="B7439" s="396" t="s">
        <v>12086</v>
      </c>
      <c r="C7439" s="5" t="s">
        <v>5793</v>
      </c>
      <c r="D7439" s="124" t="s">
        <v>40</v>
      </c>
      <c r="E7439" s="43">
        <v>1700</v>
      </c>
      <c r="F7439" s="43"/>
      <c r="G7439" s="48">
        <f t="shared" si="183"/>
        <v>159744.46774193528</v>
      </c>
      <c r="H7439" s="388" t="s">
        <v>9567</v>
      </c>
    </row>
    <row r="7440" spans="1:11" ht="37.5" x14ac:dyDescent="0.3">
      <c r="A7440" s="45">
        <v>45195</v>
      </c>
      <c r="B7440" s="568" t="s">
        <v>12133</v>
      </c>
      <c r="C7440" s="44" t="s">
        <v>4156</v>
      </c>
      <c r="D7440" s="124" t="s">
        <v>12235</v>
      </c>
      <c r="E7440" s="43">
        <v>10000</v>
      </c>
      <c r="F7440" s="43"/>
      <c r="G7440" s="48">
        <f t="shared" si="183"/>
        <v>149744.46774193528</v>
      </c>
      <c r="H7440" s="388" t="s">
        <v>9567</v>
      </c>
    </row>
    <row r="7441" spans="1:8" x14ac:dyDescent="0.3">
      <c r="A7441" s="45">
        <v>45195</v>
      </c>
      <c r="B7441" s="568" t="s">
        <v>12141</v>
      </c>
      <c r="C7441" s="5" t="s">
        <v>5288</v>
      </c>
      <c r="D7441" s="124" t="s">
        <v>12218</v>
      </c>
      <c r="E7441" s="43">
        <v>10000</v>
      </c>
      <c r="F7441" s="43"/>
      <c r="G7441" s="48">
        <f t="shared" si="183"/>
        <v>139744.46774193528</v>
      </c>
      <c r="H7441" s="388" t="s">
        <v>9567</v>
      </c>
    </row>
    <row r="7442" spans="1:8" x14ac:dyDescent="0.3">
      <c r="A7442" s="45">
        <v>45195</v>
      </c>
      <c r="B7442" s="568"/>
      <c r="C7442" s="5" t="s">
        <v>84</v>
      </c>
      <c r="D7442" s="124" t="s">
        <v>12222</v>
      </c>
      <c r="E7442" s="43">
        <v>5000</v>
      </c>
      <c r="F7442" s="43"/>
      <c r="G7442" s="48">
        <f t="shared" si="183"/>
        <v>134744.46774193528</v>
      </c>
      <c r="H7442" s="388" t="s">
        <v>9567</v>
      </c>
    </row>
    <row r="7443" spans="1:8" x14ac:dyDescent="0.3">
      <c r="A7443" s="45">
        <v>45195</v>
      </c>
      <c r="B7443" s="568" t="s">
        <v>10319</v>
      </c>
      <c r="C7443" s="5" t="s">
        <v>5793</v>
      </c>
      <c r="D7443" s="124" t="s">
        <v>3332</v>
      </c>
      <c r="E7443" s="43">
        <v>4800</v>
      </c>
      <c r="F7443" s="43"/>
      <c r="G7443" s="48">
        <f t="shared" si="183"/>
        <v>129944.46774193528</v>
      </c>
      <c r="H7443" s="388" t="s">
        <v>9567</v>
      </c>
    </row>
    <row r="7444" spans="1:8" x14ac:dyDescent="0.3">
      <c r="A7444" s="45">
        <v>45195</v>
      </c>
      <c r="B7444" s="568" t="s">
        <v>25</v>
      </c>
      <c r="C7444" s="5" t="s">
        <v>4400</v>
      </c>
      <c r="D7444" s="124" t="s">
        <v>40</v>
      </c>
      <c r="E7444" s="43">
        <v>5360</v>
      </c>
      <c r="F7444" s="43"/>
      <c r="G7444" s="48">
        <f t="shared" si="183"/>
        <v>124584.46774193528</v>
      </c>
      <c r="H7444" s="388" t="s">
        <v>9567</v>
      </c>
    </row>
    <row r="7445" spans="1:8" x14ac:dyDescent="0.3">
      <c r="A7445" s="45">
        <v>45195</v>
      </c>
      <c r="B7445" s="568" t="s">
        <v>25</v>
      </c>
      <c r="C7445" s="5" t="s">
        <v>1074</v>
      </c>
      <c r="D7445" s="124" t="s">
        <v>12215</v>
      </c>
      <c r="E7445" s="43">
        <f>2618+33641</f>
        <v>36259</v>
      </c>
      <c r="F7445" s="43"/>
      <c r="G7445" s="48">
        <f t="shared" ref="G7445:G7452" si="184">G7444+F7445-E7445</f>
        <v>88325.467741935281</v>
      </c>
      <c r="H7445" s="388" t="s">
        <v>9567</v>
      </c>
    </row>
    <row r="7446" spans="1:8" x14ac:dyDescent="0.3">
      <c r="A7446" s="45">
        <v>45195</v>
      </c>
      <c r="B7446" s="568" t="s">
        <v>12230</v>
      </c>
      <c r="C7446" s="5" t="s">
        <v>1074</v>
      </c>
      <c r="D7446" s="124" t="s">
        <v>12215</v>
      </c>
      <c r="E7446" s="43">
        <v>16436</v>
      </c>
      <c r="F7446" s="43"/>
      <c r="G7446" s="48">
        <f t="shared" si="184"/>
        <v>71889.467741935281</v>
      </c>
      <c r="H7446" s="388" t="s">
        <v>9567</v>
      </c>
    </row>
    <row r="7447" spans="1:8" x14ac:dyDescent="0.3">
      <c r="A7447" s="45">
        <v>45195</v>
      </c>
      <c r="B7447" s="568" t="s">
        <v>12230</v>
      </c>
      <c r="C7447" s="5" t="s">
        <v>25</v>
      </c>
      <c r="D7447" s="124" t="s">
        <v>12221</v>
      </c>
      <c r="E7447" s="43">
        <v>46501</v>
      </c>
      <c r="F7447" s="43"/>
      <c r="G7447" s="48">
        <f t="shared" si="184"/>
        <v>25388.467741935281</v>
      </c>
      <c r="H7447" s="388" t="s">
        <v>9567</v>
      </c>
    </row>
    <row r="7448" spans="1:8" x14ac:dyDescent="0.3">
      <c r="A7448" s="45">
        <v>45195</v>
      </c>
      <c r="B7448" s="568" t="s">
        <v>12231</v>
      </c>
      <c r="C7448" s="5" t="s">
        <v>5793</v>
      </c>
      <c r="D7448" s="124" t="s">
        <v>8924</v>
      </c>
      <c r="E7448" s="43">
        <v>250</v>
      </c>
      <c r="F7448" s="43"/>
      <c r="G7448" s="48">
        <f t="shared" si="184"/>
        <v>25138.467741935281</v>
      </c>
      <c r="H7448" s="388" t="s">
        <v>9567</v>
      </c>
    </row>
    <row r="7449" spans="1:8" x14ac:dyDescent="0.3">
      <c r="A7449" s="45">
        <v>45195</v>
      </c>
      <c r="B7449" s="568" t="s">
        <v>12046</v>
      </c>
      <c r="C7449" s="5" t="s">
        <v>11174</v>
      </c>
      <c r="D7449" s="124" t="s">
        <v>12232</v>
      </c>
      <c r="E7449" s="43">
        <v>10300</v>
      </c>
      <c r="F7449" s="43"/>
      <c r="G7449" s="48">
        <f t="shared" si="184"/>
        <v>14838.467741935281</v>
      </c>
      <c r="H7449" s="388" t="s">
        <v>9567</v>
      </c>
    </row>
    <row r="7450" spans="1:8" ht="37.5" x14ac:dyDescent="0.3">
      <c r="A7450" s="45">
        <v>45196</v>
      </c>
      <c r="B7450" s="568" t="s">
        <v>25</v>
      </c>
      <c r="C7450" s="5"/>
      <c r="D7450" s="124" t="s">
        <v>12234</v>
      </c>
      <c r="E7450" s="28">
        <v>8000</v>
      </c>
      <c r="F7450" s="43"/>
      <c r="G7450" s="48">
        <f t="shared" si="184"/>
        <v>6838.4677419352811</v>
      </c>
      <c r="H7450" s="388" t="s">
        <v>9567</v>
      </c>
    </row>
    <row r="7451" spans="1:8" x14ac:dyDescent="0.3">
      <c r="A7451" s="45">
        <v>45196</v>
      </c>
      <c r="B7451" s="568" t="s">
        <v>12044</v>
      </c>
      <c r="C7451" s="5" t="s">
        <v>5793</v>
      </c>
      <c r="D7451" s="124" t="s">
        <v>8924</v>
      </c>
      <c r="E7451" s="43">
        <v>210</v>
      </c>
      <c r="F7451" s="43"/>
      <c r="G7451" s="48">
        <f t="shared" si="184"/>
        <v>6628.4677419352811</v>
      </c>
      <c r="H7451" s="388" t="s">
        <v>9567</v>
      </c>
    </row>
    <row r="7452" spans="1:8" x14ac:dyDescent="0.3">
      <c r="A7452" s="45">
        <v>45196</v>
      </c>
      <c r="B7452" s="568" t="s">
        <v>12054</v>
      </c>
      <c r="C7452" s="5" t="s">
        <v>25</v>
      </c>
      <c r="D7452" s="124" t="s">
        <v>8924</v>
      </c>
      <c r="E7452" s="43">
        <v>250</v>
      </c>
      <c r="F7452" s="43"/>
      <c r="G7452" s="48">
        <f t="shared" si="184"/>
        <v>6378.4677419352811</v>
      </c>
      <c r="H7452" s="388" t="s">
        <v>9567</v>
      </c>
    </row>
    <row r="7453" spans="1:8" x14ac:dyDescent="0.3">
      <c r="A7453" s="45">
        <v>45196</v>
      </c>
      <c r="B7453" s="568" t="s">
        <v>12044</v>
      </c>
      <c r="C7453" s="5" t="s">
        <v>5793</v>
      </c>
      <c r="D7453" s="124" t="s">
        <v>8924</v>
      </c>
      <c r="E7453" s="43">
        <v>550</v>
      </c>
      <c r="F7453" s="43"/>
      <c r="G7453" s="48">
        <f t="shared" ref="G7453:G7523" si="185">G7452+F7453-E7453</f>
        <v>5828.4677419352811</v>
      </c>
      <c r="H7453" s="388" t="s">
        <v>9567</v>
      </c>
    </row>
    <row r="7454" spans="1:8" x14ac:dyDescent="0.3">
      <c r="A7454" s="45">
        <v>45197</v>
      </c>
      <c r="B7454" s="565"/>
      <c r="C7454" s="480"/>
      <c r="D7454" s="491" t="s">
        <v>4364</v>
      </c>
      <c r="E7454" s="480"/>
      <c r="F7454" s="28">
        <v>100000</v>
      </c>
      <c r="G7454" s="48">
        <f t="shared" si="185"/>
        <v>105828.46774193528</v>
      </c>
      <c r="H7454" s="388" t="s">
        <v>9567</v>
      </c>
    </row>
    <row r="7455" spans="1:8" x14ac:dyDescent="0.3">
      <c r="A7455" s="45">
        <v>45197</v>
      </c>
      <c r="B7455" s="568" t="s">
        <v>12045</v>
      </c>
      <c r="C7455" s="5" t="s">
        <v>11174</v>
      </c>
      <c r="D7455" s="124" t="s">
        <v>12238</v>
      </c>
      <c r="E7455" s="43">
        <v>5300</v>
      </c>
      <c r="F7455" s="43"/>
      <c r="G7455" s="48">
        <f t="shared" si="185"/>
        <v>100528.46774193528</v>
      </c>
      <c r="H7455" s="388" t="s">
        <v>9567</v>
      </c>
    </row>
    <row r="7456" spans="1:8" x14ac:dyDescent="0.3">
      <c r="A7456" s="45">
        <v>45197</v>
      </c>
      <c r="B7456" s="568" t="s">
        <v>12045</v>
      </c>
      <c r="C7456" s="5" t="s">
        <v>11174</v>
      </c>
      <c r="D7456" s="124" t="s">
        <v>12239</v>
      </c>
      <c r="E7456" s="43">
        <v>1500</v>
      </c>
      <c r="F7456" s="43"/>
      <c r="G7456" s="48">
        <f t="shared" si="185"/>
        <v>99028.467741935281</v>
      </c>
      <c r="H7456" s="388" t="s">
        <v>9567</v>
      </c>
    </row>
    <row r="7457" spans="1:10" x14ac:dyDescent="0.3">
      <c r="A7457" s="45">
        <v>45197</v>
      </c>
      <c r="B7457" s="568" t="s">
        <v>12044</v>
      </c>
      <c r="C7457" s="5" t="s">
        <v>11174</v>
      </c>
      <c r="D7457" s="124" t="s">
        <v>12240</v>
      </c>
      <c r="E7457" s="43">
        <v>2555</v>
      </c>
      <c r="F7457" s="43"/>
      <c r="G7457" s="48">
        <f t="shared" si="185"/>
        <v>96473.467741935281</v>
      </c>
      <c r="H7457" s="388" t="s">
        <v>9567</v>
      </c>
    </row>
    <row r="7458" spans="1:10" x14ac:dyDescent="0.3">
      <c r="A7458" s="45">
        <v>45197</v>
      </c>
      <c r="B7458" s="568" t="s">
        <v>12044</v>
      </c>
      <c r="C7458" s="5" t="s">
        <v>30</v>
      </c>
      <c r="D7458" s="124" t="s">
        <v>10637</v>
      </c>
      <c r="E7458" s="43">
        <v>1100</v>
      </c>
      <c r="F7458" s="43"/>
      <c r="G7458" s="48">
        <f t="shared" si="185"/>
        <v>95373.467741935281</v>
      </c>
      <c r="H7458" s="388" t="s">
        <v>9567</v>
      </c>
    </row>
    <row r="7459" spans="1:10" x14ac:dyDescent="0.3">
      <c r="A7459" s="45">
        <v>45197</v>
      </c>
      <c r="B7459" s="568" t="s">
        <v>12050</v>
      </c>
      <c r="C7459" s="5" t="s">
        <v>9777</v>
      </c>
      <c r="D7459" s="124" t="s">
        <v>12241</v>
      </c>
      <c r="E7459" s="43">
        <v>20000</v>
      </c>
      <c r="F7459" s="43"/>
      <c r="G7459" s="48">
        <f t="shared" si="185"/>
        <v>75373.467741935281</v>
      </c>
      <c r="H7459" s="388" t="s">
        <v>9567</v>
      </c>
    </row>
    <row r="7460" spans="1:10" x14ac:dyDescent="0.3">
      <c r="A7460" s="45">
        <v>45197</v>
      </c>
      <c r="B7460" s="568" t="s">
        <v>25</v>
      </c>
      <c r="C7460" s="44" t="s">
        <v>25</v>
      </c>
      <c r="D7460" s="44" t="s">
        <v>11434</v>
      </c>
      <c r="E7460" s="28">
        <v>3500</v>
      </c>
      <c r="F7460" s="43"/>
      <c r="G7460" s="48">
        <f t="shared" si="185"/>
        <v>71873.467741935281</v>
      </c>
      <c r="H7460" s="388" t="s">
        <v>9567</v>
      </c>
    </row>
    <row r="7461" spans="1:10" x14ac:dyDescent="0.3">
      <c r="A7461" s="45">
        <v>45197</v>
      </c>
      <c r="B7461" s="568"/>
      <c r="C7461" s="5" t="s">
        <v>84</v>
      </c>
      <c r="D7461" s="124" t="s">
        <v>12242</v>
      </c>
      <c r="E7461" s="43">
        <v>10000</v>
      </c>
      <c r="F7461" s="43"/>
      <c r="G7461" s="48">
        <f t="shared" si="185"/>
        <v>61873.467741935281</v>
      </c>
      <c r="H7461" s="388" t="s">
        <v>9567</v>
      </c>
    </row>
    <row r="7462" spans="1:10" x14ac:dyDescent="0.3">
      <c r="A7462" s="45">
        <v>45197</v>
      </c>
      <c r="B7462" s="568"/>
      <c r="C7462" s="5" t="s">
        <v>6430</v>
      </c>
      <c r="D7462" s="124" t="s">
        <v>12243</v>
      </c>
      <c r="E7462" s="43">
        <v>6000</v>
      </c>
      <c r="F7462" s="43"/>
      <c r="G7462" s="48">
        <f t="shared" si="185"/>
        <v>55873.467741935281</v>
      </c>
      <c r="H7462" s="388" t="s">
        <v>9567</v>
      </c>
      <c r="J7462" s="573"/>
    </row>
    <row r="7463" spans="1:10" x14ac:dyDescent="0.3">
      <c r="A7463" s="45">
        <v>45197</v>
      </c>
      <c r="B7463" s="568" t="s">
        <v>12086</v>
      </c>
      <c r="C7463" s="5" t="s">
        <v>9451</v>
      </c>
      <c r="D7463" s="124" t="s">
        <v>12244</v>
      </c>
      <c r="E7463" s="43">
        <v>12000</v>
      </c>
      <c r="F7463" s="43"/>
      <c r="G7463" s="48">
        <f t="shared" si="185"/>
        <v>43873.467741935281</v>
      </c>
      <c r="H7463" s="388" t="s">
        <v>9567</v>
      </c>
    </row>
    <row r="7464" spans="1:10" x14ac:dyDescent="0.3">
      <c r="A7464" s="45">
        <v>45197</v>
      </c>
      <c r="B7464" s="568" t="s">
        <v>12086</v>
      </c>
      <c r="C7464" s="5" t="s">
        <v>11174</v>
      </c>
      <c r="D7464" s="124" t="s">
        <v>12165</v>
      </c>
      <c r="E7464" s="43">
        <v>8820</v>
      </c>
      <c r="F7464" s="43"/>
      <c r="G7464" s="48">
        <f t="shared" si="185"/>
        <v>35053.467741935281</v>
      </c>
      <c r="H7464" s="388" t="s">
        <v>9567</v>
      </c>
    </row>
    <row r="7465" spans="1:10" x14ac:dyDescent="0.3">
      <c r="A7465" s="45">
        <v>45197</v>
      </c>
      <c r="B7465" s="568"/>
      <c r="C7465" s="5" t="s">
        <v>5162</v>
      </c>
      <c r="D7465" s="124" t="s">
        <v>12245</v>
      </c>
      <c r="E7465" s="43">
        <v>5000</v>
      </c>
      <c r="F7465" s="43"/>
      <c r="G7465" s="48">
        <f t="shared" si="185"/>
        <v>30053.467741935281</v>
      </c>
      <c r="H7465" s="388" t="s">
        <v>9567</v>
      </c>
    </row>
    <row r="7466" spans="1:10" x14ac:dyDescent="0.3">
      <c r="A7466" s="45">
        <v>45197</v>
      </c>
      <c r="B7466" s="565"/>
      <c r="C7466" s="480"/>
      <c r="D7466" s="491" t="s">
        <v>12246</v>
      </c>
      <c r="E7466" s="480"/>
      <c r="F7466" s="28">
        <v>100000</v>
      </c>
      <c r="G7466" s="48">
        <f t="shared" ref="G7466" si="186">G7465+F7466-E7466</f>
        <v>130053.46774193528</v>
      </c>
      <c r="H7466" s="388" t="s">
        <v>9567</v>
      </c>
    </row>
    <row r="7467" spans="1:10" x14ac:dyDescent="0.3">
      <c r="A7467" s="45">
        <v>45197</v>
      </c>
      <c r="B7467" s="568" t="s">
        <v>25</v>
      </c>
      <c r="C7467" s="5" t="s">
        <v>12247</v>
      </c>
      <c r="D7467" s="124" t="s">
        <v>12248</v>
      </c>
      <c r="E7467" s="43">
        <v>25000</v>
      </c>
      <c r="F7467" s="43"/>
      <c r="G7467" s="48">
        <f t="shared" si="185"/>
        <v>105053.46774193528</v>
      </c>
      <c r="H7467" s="388" t="s">
        <v>9567</v>
      </c>
    </row>
    <row r="7468" spans="1:10" x14ac:dyDescent="0.3">
      <c r="A7468" s="45">
        <v>45199</v>
      </c>
      <c r="B7468" s="568"/>
      <c r="C7468" s="5" t="s">
        <v>5162</v>
      </c>
      <c r="D7468" s="124" t="s">
        <v>4187</v>
      </c>
      <c r="E7468" s="43">
        <v>5000</v>
      </c>
      <c r="F7468" s="43"/>
      <c r="G7468" s="48">
        <f t="shared" si="185"/>
        <v>100053.46774193528</v>
      </c>
      <c r="H7468" s="388" t="s">
        <v>9567</v>
      </c>
    </row>
    <row r="7469" spans="1:10" x14ac:dyDescent="0.3">
      <c r="A7469" s="45">
        <v>45199</v>
      </c>
      <c r="B7469" s="568" t="s">
        <v>12230</v>
      </c>
      <c r="C7469" s="5" t="s">
        <v>12250</v>
      </c>
      <c r="D7469" s="124" t="s">
        <v>12251</v>
      </c>
      <c r="E7469" s="43">
        <v>5340</v>
      </c>
      <c r="F7469" s="43"/>
      <c r="G7469" s="48">
        <f t="shared" si="185"/>
        <v>94713.467741935281</v>
      </c>
      <c r="H7469" s="388" t="s">
        <v>9567</v>
      </c>
    </row>
    <row r="7470" spans="1:10" x14ac:dyDescent="0.3">
      <c r="A7470" s="45">
        <v>45199</v>
      </c>
      <c r="B7470" s="568" t="s">
        <v>10319</v>
      </c>
      <c r="C7470" s="5" t="s">
        <v>5793</v>
      </c>
      <c r="D7470" s="124" t="s">
        <v>40</v>
      </c>
      <c r="E7470" s="43">
        <v>1500</v>
      </c>
      <c r="F7470" s="43"/>
      <c r="G7470" s="48">
        <f t="shared" si="185"/>
        <v>93213.467741935281</v>
      </c>
      <c r="H7470" s="388" t="s">
        <v>9567</v>
      </c>
    </row>
    <row r="7471" spans="1:10" x14ac:dyDescent="0.3">
      <c r="A7471" s="45">
        <v>45199</v>
      </c>
      <c r="B7471" s="568" t="s">
        <v>10319</v>
      </c>
      <c r="C7471" s="5" t="s">
        <v>5793</v>
      </c>
      <c r="D7471" s="124" t="s">
        <v>40</v>
      </c>
      <c r="E7471" s="43">
        <v>2700</v>
      </c>
      <c r="F7471" s="43"/>
      <c r="G7471" s="48">
        <f t="shared" si="185"/>
        <v>90513.467741935281</v>
      </c>
      <c r="H7471" s="388" t="s">
        <v>9567</v>
      </c>
    </row>
    <row r="7472" spans="1:10" x14ac:dyDescent="0.3">
      <c r="A7472" s="45">
        <v>45199</v>
      </c>
      <c r="B7472" s="568" t="s">
        <v>12044</v>
      </c>
      <c r="C7472" s="5" t="s">
        <v>11174</v>
      </c>
      <c r="D7472" s="124" t="s">
        <v>12252</v>
      </c>
      <c r="E7472" s="43">
        <v>10000</v>
      </c>
      <c r="F7472" s="43"/>
      <c r="G7472" s="48">
        <f t="shared" si="185"/>
        <v>80513.467741935281</v>
      </c>
      <c r="H7472" s="388" t="s">
        <v>9567</v>
      </c>
    </row>
    <row r="7473" spans="1:14" x14ac:dyDescent="0.3">
      <c r="A7473" s="45">
        <v>45199</v>
      </c>
      <c r="B7473" s="568" t="s">
        <v>12044</v>
      </c>
      <c r="C7473" s="5" t="s">
        <v>84</v>
      </c>
      <c r="D7473" s="124" t="s">
        <v>12253</v>
      </c>
      <c r="E7473" s="43">
        <v>10000</v>
      </c>
      <c r="F7473" s="43"/>
      <c r="G7473" s="48">
        <f t="shared" si="185"/>
        <v>70513.467741935281</v>
      </c>
      <c r="H7473" s="388" t="s">
        <v>9567</v>
      </c>
    </row>
    <row r="7474" spans="1:14" x14ac:dyDescent="0.3">
      <c r="A7474" s="45">
        <v>45199</v>
      </c>
      <c r="B7474" s="568" t="s">
        <v>12046</v>
      </c>
      <c r="C7474" s="5" t="s">
        <v>9044</v>
      </c>
      <c r="D7474" s="124" t="s">
        <v>12255</v>
      </c>
      <c r="E7474" s="43">
        <v>40000</v>
      </c>
      <c r="F7474" s="43"/>
      <c r="G7474" s="48">
        <f t="shared" si="185"/>
        <v>30513.467741935281</v>
      </c>
      <c r="H7474" s="388" t="s">
        <v>9567</v>
      </c>
    </row>
    <row r="7475" spans="1:14" x14ac:dyDescent="0.3">
      <c r="A7475" s="45">
        <v>45199</v>
      </c>
      <c r="B7475" s="568" t="s">
        <v>25</v>
      </c>
      <c r="C7475" s="5" t="s">
        <v>5793</v>
      </c>
      <c r="D7475" s="124" t="s">
        <v>12256</v>
      </c>
      <c r="E7475" s="43">
        <v>250</v>
      </c>
      <c r="F7475" s="43"/>
      <c r="G7475" s="48">
        <f t="shared" si="185"/>
        <v>30263.467741935281</v>
      </c>
      <c r="H7475" s="388" t="s">
        <v>9567</v>
      </c>
    </row>
    <row r="7476" spans="1:14" x14ac:dyDescent="0.3">
      <c r="A7476" s="45">
        <v>45201</v>
      </c>
      <c r="B7476" s="568"/>
      <c r="C7476" s="5" t="s">
        <v>14</v>
      </c>
      <c r="D7476" s="124" t="s">
        <v>12259</v>
      </c>
      <c r="E7476" s="43">
        <f>180+15478</f>
        <v>15658</v>
      </c>
      <c r="F7476" s="43"/>
      <c r="G7476" s="48">
        <f t="shared" si="185"/>
        <v>14605.467741935281</v>
      </c>
      <c r="H7476" s="388" t="s">
        <v>9567</v>
      </c>
    </row>
    <row r="7477" spans="1:14" x14ac:dyDescent="0.3">
      <c r="A7477" s="45">
        <v>45201</v>
      </c>
      <c r="B7477" s="568" t="s">
        <v>25</v>
      </c>
      <c r="C7477" s="5" t="s">
        <v>1074</v>
      </c>
      <c r="D7477" s="124" t="s">
        <v>4601</v>
      </c>
      <c r="E7477" s="43">
        <v>300</v>
      </c>
      <c r="F7477" s="43"/>
      <c r="G7477" s="48">
        <f t="shared" si="185"/>
        <v>14305.467741935281</v>
      </c>
      <c r="H7477" s="388" t="s">
        <v>9567</v>
      </c>
    </row>
    <row r="7478" spans="1:14" x14ac:dyDescent="0.3">
      <c r="A7478" s="45">
        <v>45201</v>
      </c>
      <c r="B7478" s="568" t="s">
        <v>25</v>
      </c>
      <c r="C7478" s="44" t="s">
        <v>25</v>
      </c>
      <c r="D7478" s="44" t="s">
        <v>11434</v>
      </c>
      <c r="E7478" s="28">
        <v>3500</v>
      </c>
      <c r="F7478" s="43"/>
      <c r="G7478" s="48">
        <f t="shared" si="185"/>
        <v>10805.467741935281</v>
      </c>
      <c r="H7478" s="388" t="s">
        <v>9567</v>
      </c>
    </row>
    <row r="7479" spans="1:14" x14ac:dyDescent="0.3">
      <c r="A7479" s="45">
        <v>45201</v>
      </c>
      <c r="B7479" s="568"/>
      <c r="C7479" s="5" t="s">
        <v>5162</v>
      </c>
      <c r="D7479" s="124" t="s">
        <v>12260</v>
      </c>
      <c r="E7479" s="43">
        <v>5000</v>
      </c>
      <c r="F7479" s="43"/>
      <c r="G7479" s="48">
        <f t="shared" si="185"/>
        <v>5805.4677419352811</v>
      </c>
      <c r="H7479" s="388" t="s">
        <v>9567</v>
      </c>
    </row>
    <row r="7480" spans="1:14" x14ac:dyDescent="0.3">
      <c r="A7480" s="45">
        <v>45201</v>
      </c>
      <c r="B7480" s="565"/>
      <c r="C7480" s="480"/>
      <c r="D7480" s="491" t="s">
        <v>4364</v>
      </c>
      <c r="E7480" s="480"/>
      <c r="F7480" s="28">
        <v>100000</v>
      </c>
      <c r="G7480" s="48">
        <f t="shared" si="185"/>
        <v>105805.46774193528</v>
      </c>
      <c r="H7480" s="388" t="s">
        <v>9567</v>
      </c>
    </row>
    <row r="7481" spans="1:14" x14ac:dyDescent="0.3">
      <c r="A7481" s="45">
        <v>45201</v>
      </c>
      <c r="B7481" s="568" t="s">
        <v>12050</v>
      </c>
      <c r="C7481" s="5" t="s">
        <v>9777</v>
      </c>
      <c r="D7481" s="124" t="s">
        <v>12183</v>
      </c>
      <c r="E7481" s="43">
        <v>45000</v>
      </c>
      <c r="F7481" s="43"/>
      <c r="G7481" s="48">
        <f t="shared" si="185"/>
        <v>60805.467741935281</v>
      </c>
      <c r="H7481" s="388" t="s">
        <v>9567</v>
      </c>
    </row>
    <row r="7482" spans="1:14" s="387" customFormat="1" x14ac:dyDescent="0.3">
      <c r="A7482" s="45">
        <v>45201</v>
      </c>
      <c r="B7482" s="568" t="s">
        <v>12049</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68"/>
      <c r="C7483" s="5" t="s">
        <v>4039</v>
      </c>
      <c r="D7483" s="124" t="s">
        <v>294</v>
      </c>
      <c r="E7483" s="43">
        <v>25000</v>
      </c>
      <c r="F7483" s="43"/>
      <c r="G7483" s="48">
        <f t="shared" si="185"/>
        <v>35105.467741935281</v>
      </c>
      <c r="H7483" s="388" t="s">
        <v>9567</v>
      </c>
    </row>
    <row r="7484" spans="1:14" x14ac:dyDescent="0.3">
      <c r="A7484" s="45">
        <v>45201</v>
      </c>
      <c r="B7484" s="568" t="s">
        <v>12045</v>
      </c>
      <c r="C7484" s="5" t="s">
        <v>4550</v>
      </c>
      <c r="D7484" s="124" t="s">
        <v>5813</v>
      </c>
      <c r="E7484" s="43">
        <v>23000</v>
      </c>
      <c r="F7484" s="43"/>
      <c r="G7484" s="48">
        <f t="shared" si="185"/>
        <v>12105.467741935281</v>
      </c>
      <c r="H7484" s="388" t="s">
        <v>9567</v>
      </c>
    </row>
    <row r="7485" spans="1:14" x14ac:dyDescent="0.3">
      <c r="A7485" s="45">
        <v>45202</v>
      </c>
      <c r="B7485" s="565"/>
      <c r="C7485" s="480"/>
      <c r="D7485" s="491" t="s">
        <v>4364</v>
      </c>
      <c r="E7485" s="480"/>
      <c r="F7485" s="28">
        <v>100000</v>
      </c>
      <c r="G7485" s="48">
        <f t="shared" si="185"/>
        <v>112105.46774193528</v>
      </c>
      <c r="H7485" s="388" t="s">
        <v>9567</v>
      </c>
    </row>
    <row r="7486" spans="1:14" x14ac:dyDescent="0.3">
      <c r="A7486" s="45">
        <v>45202</v>
      </c>
      <c r="B7486" s="568" t="s">
        <v>12047</v>
      </c>
      <c r="C7486" s="5" t="s">
        <v>11174</v>
      </c>
      <c r="D7486" s="124" t="s">
        <v>12264</v>
      </c>
      <c r="E7486" s="43">
        <v>10000</v>
      </c>
      <c r="F7486" s="43"/>
      <c r="G7486" s="48">
        <f t="shared" si="185"/>
        <v>102105.46774193528</v>
      </c>
      <c r="H7486" s="388" t="s">
        <v>9567</v>
      </c>
    </row>
    <row r="7487" spans="1:14" x14ac:dyDescent="0.3">
      <c r="A7487" s="45">
        <v>45202</v>
      </c>
      <c r="B7487" s="568" t="s">
        <v>12049</v>
      </c>
      <c r="C7487" s="5" t="s">
        <v>3554</v>
      </c>
      <c r="D7487" s="124" t="s">
        <v>12265</v>
      </c>
      <c r="E7487" s="43">
        <v>40000</v>
      </c>
      <c r="F7487" s="43"/>
      <c r="G7487" s="48">
        <f t="shared" si="185"/>
        <v>62105.467741935281</v>
      </c>
      <c r="H7487" s="388" t="s">
        <v>9567</v>
      </c>
    </row>
    <row r="7488" spans="1:14" x14ac:dyDescent="0.3">
      <c r="A7488" s="45">
        <v>45202</v>
      </c>
      <c r="B7488" s="568"/>
      <c r="C7488" s="5" t="s">
        <v>68</v>
      </c>
      <c r="D7488" s="124" t="s">
        <v>12266</v>
      </c>
      <c r="E7488" s="43">
        <v>5000</v>
      </c>
      <c r="F7488" s="43"/>
      <c r="G7488" s="48">
        <f t="shared" si="185"/>
        <v>57105.467741935281</v>
      </c>
      <c r="H7488" s="388" t="s">
        <v>9567</v>
      </c>
    </row>
    <row r="7489" spans="1:10" x14ac:dyDescent="0.3">
      <c r="A7489" s="45">
        <v>45202</v>
      </c>
      <c r="B7489" s="565"/>
      <c r="C7489" s="480"/>
      <c r="D7489" s="491" t="s">
        <v>12269</v>
      </c>
      <c r="E7489" s="480"/>
      <c r="F7489" s="28">
        <v>50000</v>
      </c>
      <c r="G7489" s="48">
        <f t="shared" si="185"/>
        <v>107105.46774193528</v>
      </c>
      <c r="H7489" s="388" t="s">
        <v>9567</v>
      </c>
    </row>
    <row r="7490" spans="1:10" x14ac:dyDescent="0.3">
      <c r="A7490" s="45">
        <v>45202</v>
      </c>
      <c r="B7490" s="568" t="s">
        <v>12086</v>
      </c>
      <c r="C7490" s="5" t="s">
        <v>11174</v>
      </c>
      <c r="D7490" s="124" t="s">
        <v>12267</v>
      </c>
      <c r="E7490" s="43">
        <v>25200</v>
      </c>
      <c r="F7490" s="43"/>
      <c r="G7490" s="48">
        <f t="shared" si="185"/>
        <v>81905.467741935281</v>
      </c>
      <c r="H7490" s="388" t="s">
        <v>9567</v>
      </c>
    </row>
    <row r="7491" spans="1:10" x14ac:dyDescent="0.3">
      <c r="A7491" s="45">
        <v>45202</v>
      </c>
      <c r="B7491" s="568" t="s">
        <v>12086</v>
      </c>
      <c r="C7491" s="5" t="s">
        <v>11174</v>
      </c>
      <c r="D7491" s="124" t="s">
        <v>12268</v>
      </c>
      <c r="E7491" s="43">
        <v>5000</v>
      </c>
      <c r="F7491" s="43"/>
      <c r="G7491" s="48">
        <f t="shared" si="185"/>
        <v>76905.467741935281</v>
      </c>
      <c r="H7491" s="388" t="s">
        <v>9567</v>
      </c>
    </row>
    <row r="7492" spans="1:10" x14ac:dyDescent="0.3">
      <c r="A7492" s="45">
        <v>45202</v>
      </c>
      <c r="B7492" s="568" t="s">
        <v>12050</v>
      </c>
      <c r="C7492" s="5" t="s">
        <v>6430</v>
      </c>
      <c r="D7492" s="124" t="s">
        <v>11256</v>
      </c>
      <c r="E7492" s="43">
        <v>6000</v>
      </c>
      <c r="F7492" s="43"/>
      <c r="G7492" s="48">
        <f t="shared" si="185"/>
        <v>70905.467741935281</v>
      </c>
      <c r="H7492" s="388" t="s">
        <v>9567</v>
      </c>
    </row>
    <row r="7493" spans="1:10" x14ac:dyDescent="0.3">
      <c r="A7493" s="45">
        <v>45202</v>
      </c>
      <c r="B7493" s="568"/>
      <c r="C7493" s="5" t="s">
        <v>6430</v>
      </c>
      <c r="D7493" s="124" t="s">
        <v>294</v>
      </c>
      <c r="E7493" s="43">
        <v>2000</v>
      </c>
      <c r="F7493" s="43"/>
      <c r="G7493" s="48">
        <f t="shared" si="185"/>
        <v>68905.467741935281</v>
      </c>
      <c r="H7493" s="388" t="s">
        <v>9567</v>
      </c>
    </row>
    <row r="7494" spans="1:10" x14ac:dyDescent="0.3">
      <c r="A7494" s="45">
        <v>45202</v>
      </c>
      <c r="B7494" s="568" t="s">
        <v>12046</v>
      </c>
      <c r="C7494" s="5" t="s">
        <v>57</v>
      </c>
      <c r="D7494" s="124" t="s">
        <v>12109</v>
      </c>
      <c r="E7494" s="43">
        <v>2000</v>
      </c>
      <c r="F7494" s="43"/>
      <c r="G7494" s="48">
        <f t="shared" si="185"/>
        <v>66905.467741935281</v>
      </c>
      <c r="H7494" s="388" t="s">
        <v>9567</v>
      </c>
    </row>
    <row r="7495" spans="1:10" x14ac:dyDescent="0.3">
      <c r="A7495" s="45">
        <v>45202</v>
      </c>
      <c r="B7495" s="568" t="s">
        <v>12045</v>
      </c>
      <c r="C7495" s="5" t="s">
        <v>5793</v>
      </c>
      <c r="D7495" s="124" t="s">
        <v>8924</v>
      </c>
      <c r="E7495" s="43">
        <v>250</v>
      </c>
      <c r="F7495" s="43"/>
      <c r="G7495" s="48">
        <f t="shared" si="185"/>
        <v>66655.467741935281</v>
      </c>
      <c r="H7495" s="388" t="s">
        <v>9567</v>
      </c>
    </row>
    <row r="7496" spans="1:10" x14ac:dyDescent="0.3">
      <c r="A7496" s="45">
        <v>45202</v>
      </c>
      <c r="B7496" s="568" t="s">
        <v>12080</v>
      </c>
      <c r="C7496" s="5" t="s">
        <v>5793</v>
      </c>
      <c r="D7496" s="124" t="s">
        <v>12271</v>
      </c>
      <c r="E7496" s="43">
        <v>250</v>
      </c>
      <c r="F7496" s="43"/>
      <c r="G7496" s="48">
        <f t="shared" si="185"/>
        <v>66405.467741935281</v>
      </c>
      <c r="H7496" s="388" t="s">
        <v>9567</v>
      </c>
    </row>
    <row r="7497" spans="1:10" x14ac:dyDescent="0.3">
      <c r="A7497" s="45">
        <v>45202</v>
      </c>
      <c r="B7497" s="568" t="s">
        <v>25</v>
      </c>
      <c r="C7497" s="44" t="s">
        <v>25</v>
      </c>
      <c r="D7497" s="44" t="s">
        <v>11434</v>
      </c>
      <c r="E7497" s="28">
        <v>4000</v>
      </c>
      <c r="F7497" s="43"/>
      <c r="G7497" s="48">
        <f t="shared" si="185"/>
        <v>62405.467741935281</v>
      </c>
      <c r="H7497" s="388" t="s">
        <v>9567</v>
      </c>
      <c r="I7497" s="52">
        <v>9500000</v>
      </c>
    </row>
    <row r="7498" spans="1:10" x14ac:dyDescent="0.3">
      <c r="A7498" s="45">
        <v>45202</v>
      </c>
      <c r="B7498" s="568"/>
      <c r="C7498" s="5" t="s">
        <v>57</v>
      </c>
      <c r="D7498" s="124" t="s">
        <v>294</v>
      </c>
      <c r="E7498" s="43">
        <v>1000</v>
      </c>
      <c r="F7498" s="43"/>
      <c r="G7498" s="48">
        <f t="shared" si="185"/>
        <v>61405.467741935281</v>
      </c>
      <c r="H7498" s="388" t="s">
        <v>9567</v>
      </c>
      <c r="I7498" s="52">
        <f>I7497*1.8</f>
        <v>17100000</v>
      </c>
    </row>
    <row r="7499" spans="1:10" x14ac:dyDescent="0.3">
      <c r="A7499" s="45">
        <v>45202</v>
      </c>
      <c r="B7499" s="568" t="s">
        <v>12046</v>
      </c>
      <c r="C7499" s="5" t="s">
        <v>11174</v>
      </c>
      <c r="D7499" s="124" t="s">
        <v>12272</v>
      </c>
      <c r="E7499" s="43">
        <v>6500</v>
      </c>
      <c r="F7499" s="43"/>
      <c r="G7499" s="48">
        <f t="shared" si="185"/>
        <v>54905.467741935281</v>
      </c>
      <c r="H7499" s="388" t="s">
        <v>9567</v>
      </c>
    </row>
    <row r="7500" spans="1:10" x14ac:dyDescent="0.3">
      <c r="A7500" s="45">
        <v>45202</v>
      </c>
      <c r="B7500" s="568"/>
      <c r="C7500" s="5" t="s">
        <v>5793</v>
      </c>
      <c r="D7500" s="124" t="s">
        <v>40</v>
      </c>
      <c r="E7500" s="43">
        <v>2200</v>
      </c>
      <c r="F7500" s="43"/>
      <c r="G7500" s="48">
        <f t="shared" si="185"/>
        <v>52705.467741935281</v>
      </c>
      <c r="H7500" s="388" t="s">
        <v>9567</v>
      </c>
    </row>
    <row r="7501" spans="1:10" x14ac:dyDescent="0.3">
      <c r="A7501" s="45">
        <v>45202</v>
      </c>
      <c r="B7501" s="568" t="s">
        <v>12086</v>
      </c>
      <c r="C7501" s="5" t="s">
        <v>11174</v>
      </c>
      <c r="D7501" s="124" t="s">
        <v>12270</v>
      </c>
      <c r="E7501" s="43">
        <v>36675</v>
      </c>
      <c r="F7501" s="43"/>
      <c r="G7501" s="48">
        <f t="shared" si="185"/>
        <v>16030.467741935281</v>
      </c>
      <c r="H7501" s="388" t="s">
        <v>9567</v>
      </c>
    </row>
    <row r="7502" spans="1:10" x14ac:dyDescent="0.3">
      <c r="A7502" s="45">
        <v>45202</v>
      </c>
      <c r="B7502" s="568" t="s">
        <v>12133</v>
      </c>
      <c r="C7502" s="5" t="s">
        <v>11174</v>
      </c>
      <c r="D7502" s="124" t="s">
        <v>12278</v>
      </c>
      <c r="E7502" s="43">
        <v>3500</v>
      </c>
      <c r="F7502" s="43"/>
      <c r="G7502" s="48">
        <f t="shared" si="185"/>
        <v>12530.467741935281</v>
      </c>
      <c r="H7502" s="388" t="s">
        <v>9567</v>
      </c>
    </row>
    <row r="7503" spans="1:10" x14ac:dyDescent="0.3">
      <c r="A7503" s="45">
        <v>45202</v>
      </c>
      <c r="B7503" s="568" t="s">
        <v>12086</v>
      </c>
      <c r="C7503" s="5" t="s">
        <v>30</v>
      </c>
      <c r="D7503" s="124" t="s">
        <v>10637</v>
      </c>
      <c r="E7503" s="43">
        <v>500</v>
      </c>
      <c r="F7503" s="43"/>
      <c r="G7503" s="48">
        <f t="shared" si="185"/>
        <v>12030.467741935281</v>
      </c>
      <c r="H7503" s="388" t="s">
        <v>9567</v>
      </c>
    </row>
    <row r="7504" spans="1:10" x14ac:dyDescent="0.3">
      <c r="A7504" s="45">
        <v>45202</v>
      </c>
      <c r="B7504" s="568" t="s">
        <v>12086</v>
      </c>
      <c r="C7504" s="5" t="s">
        <v>5793</v>
      </c>
      <c r="D7504" s="124" t="s">
        <v>40</v>
      </c>
      <c r="E7504" s="43">
        <v>1000</v>
      </c>
      <c r="F7504" s="43"/>
      <c r="G7504" s="48">
        <f t="shared" si="185"/>
        <v>11030.467741935281</v>
      </c>
      <c r="H7504" s="388" t="s">
        <v>9567</v>
      </c>
      <c r="J7504" s="52">
        <v>36675</v>
      </c>
    </row>
    <row r="7505" spans="1:10" x14ac:dyDescent="0.3">
      <c r="A7505" s="45">
        <v>45202</v>
      </c>
      <c r="B7505" s="568" t="s">
        <v>10319</v>
      </c>
      <c r="C7505" s="5" t="s">
        <v>5793</v>
      </c>
      <c r="D7505" s="124" t="s">
        <v>40</v>
      </c>
      <c r="E7505" s="43">
        <v>2000</v>
      </c>
      <c r="F7505" s="43"/>
      <c r="G7505" s="48">
        <f t="shared" si="185"/>
        <v>9030.4677419352811</v>
      </c>
      <c r="H7505" s="388" t="s">
        <v>9567</v>
      </c>
      <c r="J7505" s="52">
        <v>3500</v>
      </c>
    </row>
    <row r="7506" spans="1:10" x14ac:dyDescent="0.3">
      <c r="A7506" s="45">
        <v>45202</v>
      </c>
      <c r="B7506" s="568" t="s">
        <v>12086</v>
      </c>
      <c r="C7506" s="5" t="s">
        <v>5793</v>
      </c>
      <c r="D7506" s="124" t="s">
        <v>40</v>
      </c>
      <c r="E7506" s="43">
        <v>1500</v>
      </c>
      <c r="F7506" s="43"/>
      <c r="G7506" s="48">
        <f t="shared" si="185"/>
        <v>7530.4677419352811</v>
      </c>
      <c r="H7506" s="388" t="s">
        <v>9567</v>
      </c>
      <c r="J7506" s="52">
        <v>1000</v>
      </c>
    </row>
    <row r="7507" spans="1:10" x14ac:dyDescent="0.3">
      <c r="A7507" s="45">
        <v>45203</v>
      </c>
      <c r="B7507" s="565"/>
      <c r="C7507" s="480"/>
      <c r="D7507" s="491" t="s">
        <v>12269</v>
      </c>
      <c r="E7507" s="480"/>
      <c r="F7507" s="28">
        <v>179200</v>
      </c>
      <c r="G7507" s="48">
        <f t="shared" si="185"/>
        <v>186730.46774193528</v>
      </c>
      <c r="H7507" s="388" t="s">
        <v>9567</v>
      </c>
    </row>
    <row r="7508" spans="1:10" x14ac:dyDescent="0.3">
      <c r="A7508" s="45">
        <v>45203</v>
      </c>
      <c r="B7508" s="568" t="s">
        <v>12086</v>
      </c>
      <c r="C7508" s="5" t="s">
        <v>11174</v>
      </c>
      <c r="D7508" s="124" t="s">
        <v>12279</v>
      </c>
      <c r="E7508" s="43">
        <v>16865</v>
      </c>
      <c r="F7508" s="43"/>
      <c r="G7508" s="48">
        <f t="shared" si="185"/>
        <v>169865.46774193528</v>
      </c>
      <c r="H7508" s="388" t="s">
        <v>9567</v>
      </c>
      <c r="J7508" s="52">
        <v>2000</v>
      </c>
    </row>
    <row r="7509" spans="1:10" x14ac:dyDescent="0.3">
      <c r="A7509" s="45">
        <v>45203</v>
      </c>
      <c r="B7509" s="568"/>
      <c r="C7509" s="5" t="s">
        <v>14</v>
      </c>
      <c r="D7509" s="124" t="s">
        <v>294</v>
      </c>
      <c r="E7509" s="43">
        <v>79200</v>
      </c>
      <c r="F7509" s="43"/>
      <c r="G7509" s="48">
        <f t="shared" si="185"/>
        <v>90665.467741935281</v>
      </c>
      <c r="H7509" s="388" t="s">
        <v>9567</v>
      </c>
    </row>
    <row r="7510" spans="1:10" x14ac:dyDescent="0.3">
      <c r="A7510" s="45">
        <v>45203</v>
      </c>
      <c r="B7510" s="568" t="s">
        <v>10319</v>
      </c>
      <c r="C7510" s="5" t="s">
        <v>11174</v>
      </c>
      <c r="D7510" s="124" t="s">
        <v>12280</v>
      </c>
      <c r="E7510" s="43">
        <v>11220</v>
      </c>
      <c r="F7510" s="43"/>
      <c r="G7510" s="48">
        <f t="shared" si="185"/>
        <v>79445.467741935281</v>
      </c>
      <c r="H7510" s="388" t="s">
        <v>9567</v>
      </c>
      <c r="J7510" s="52">
        <f>SUM(J7504:J7508)</f>
        <v>43175</v>
      </c>
    </row>
    <row r="7511" spans="1:10" x14ac:dyDescent="0.3">
      <c r="A7511" s="45">
        <v>45203</v>
      </c>
      <c r="B7511" s="568" t="s">
        <v>12086</v>
      </c>
      <c r="C7511" s="5" t="s">
        <v>30</v>
      </c>
      <c r="D7511" s="124" t="s">
        <v>10637</v>
      </c>
      <c r="E7511" s="43">
        <v>800</v>
      </c>
      <c r="F7511" s="43"/>
      <c r="G7511" s="48">
        <f t="shared" si="185"/>
        <v>78645.467741935281</v>
      </c>
      <c r="H7511" s="388" t="s">
        <v>9567</v>
      </c>
      <c r="J7511" s="52">
        <v>40000</v>
      </c>
    </row>
    <row r="7512" spans="1:10" x14ac:dyDescent="0.3">
      <c r="A7512" s="45">
        <v>45204</v>
      </c>
      <c r="B7512" s="568" t="s">
        <v>25</v>
      </c>
      <c r="C7512" s="44" t="s">
        <v>25</v>
      </c>
      <c r="D7512" s="44" t="s">
        <v>11434</v>
      </c>
      <c r="E7512" s="28">
        <v>3500</v>
      </c>
      <c r="F7512" s="43"/>
      <c r="G7512" s="48">
        <f t="shared" si="185"/>
        <v>75145.467741935281</v>
      </c>
      <c r="H7512" s="388" t="s">
        <v>9567</v>
      </c>
      <c r="J7512" s="52">
        <f>J7510-J7511</f>
        <v>3175</v>
      </c>
    </row>
    <row r="7513" spans="1:10" x14ac:dyDescent="0.3">
      <c r="A7513" s="45">
        <v>45204</v>
      </c>
      <c r="B7513" s="568" t="s">
        <v>12086</v>
      </c>
      <c r="C7513" s="5" t="s">
        <v>5793</v>
      </c>
      <c r="D7513" s="124" t="s">
        <v>40</v>
      </c>
      <c r="E7513" s="43">
        <v>1700</v>
      </c>
      <c r="F7513" s="43"/>
      <c r="G7513" s="48">
        <f t="shared" si="185"/>
        <v>73445.467741935281</v>
      </c>
      <c r="H7513" s="388" t="s">
        <v>9567</v>
      </c>
      <c r="J7513" s="52">
        <v>16865</v>
      </c>
    </row>
    <row r="7514" spans="1:10" x14ac:dyDescent="0.3">
      <c r="A7514" s="45">
        <v>45204</v>
      </c>
      <c r="B7514" s="568" t="s">
        <v>10601</v>
      </c>
      <c r="C7514" s="5" t="s">
        <v>84</v>
      </c>
      <c r="D7514" s="124" t="s">
        <v>12281</v>
      </c>
      <c r="E7514" s="43">
        <v>1000</v>
      </c>
      <c r="F7514" s="43"/>
      <c r="G7514" s="48">
        <f t="shared" si="185"/>
        <v>72445.467741935281</v>
      </c>
      <c r="H7514" s="388" t="s">
        <v>9567</v>
      </c>
      <c r="J7514" s="52">
        <v>11220</v>
      </c>
    </row>
    <row r="7515" spans="1:10" x14ac:dyDescent="0.3">
      <c r="A7515" s="45">
        <v>45204</v>
      </c>
      <c r="B7515" s="568" t="s">
        <v>10601</v>
      </c>
      <c r="C7515" s="5" t="s">
        <v>84</v>
      </c>
      <c r="D7515" s="124" t="s">
        <v>12282</v>
      </c>
      <c r="E7515" s="43">
        <v>2000</v>
      </c>
      <c r="F7515" s="43"/>
      <c r="G7515" s="48">
        <f t="shared" si="185"/>
        <v>70445.467741935281</v>
      </c>
      <c r="H7515" s="388" t="s">
        <v>9567</v>
      </c>
      <c r="J7515" s="52">
        <f>J7514+J7513+J7512</f>
        <v>31260</v>
      </c>
    </row>
    <row r="7516" spans="1:10" x14ac:dyDescent="0.3">
      <c r="A7516" s="45">
        <v>45204</v>
      </c>
      <c r="B7516" s="568" t="s">
        <v>10601</v>
      </c>
      <c r="C7516" s="5" t="s">
        <v>84</v>
      </c>
      <c r="D7516" s="124" t="s">
        <v>12283</v>
      </c>
      <c r="E7516" s="43">
        <v>2000</v>
      </c>
      <c r="F7516" s="43"/>
      <c r="G7516" s="48">
        <f t="shared" si="185"/>
        <v>68445.467741935281</v>
      </c>
      <c r="H7516" s="388" t="s">
        <v>9567</v>
      </c>
      <c r="J7516" s="52">
        <v>800</v>
      </c>
    </row>
    <row r="7517" spans="1:10" x14ac:dyDescent="0.3">
      <c r="A7517" s="45">
        <v>45204</v>
      </c>
      <c r="B7517" s="568" t="s">
        <v>10601</v>
      </c>
      <c r="C7517" s="5" t="s">
        <v>84</v>
      </c>
      <c r="D7517" s="124" t="s">
        <v>12284</v>
      </c>
      <c r="E7517" s="43">
        <v>15000</v>
      </c>
      <c r="F7517" s="43"/>
      <c r="G7517" s="48">
        <f t="shared" si="185"/>
        <v>53445.467741935281</v>
      </c>
      <c r="H7517" s="388" t="s">
        <v>9567</v>
      </c>
      <c r="J7517" s="52">
        <f>J7516+J7515</f>
        <v>32060</v>
      </c>
    </row>
    <row r="7518" spans="1:10" x14ac:dyDescent="0.3">
      <c r="A7518" s="45">
        <v>45204</v>
      </c>
      <c r="B7518" s="568" t="s">
        <v>10319</v>
      </c>
      <c r="C7518" s="5" t="s">
        <v>5793</v>
      </c>
      <c r="D7518" s="124" t="s">
        <v>40</v>
      </c>
      <c r="E7518" s="43">
        <v>3300</v>
      </c>
      <c r="F7518" s="43"/>
      <c r="G7518" s="48">
        <f t="shared" si="185"/>
        <v>50145.467741935281</v>
      </c>
      <c r="H7518" s="388" t="s">
        <v>9567</v>
      </c>
      <c r="J7518" s="52">
        <v>30000</v>
      </c>
    </row>
    <row r="7519" spans="1:10" x14ac:dyDescent="0.3">
      <c r="A7519" s="45">
        <v>45204</v>
      </c>
      <c r="B7519" s="568" t="s">
        <v>12086</v>
      </c>
      <c r="C7519" s="5" t="s">
        <v>11174</v>
      </c>
      <c r="D7519" s="124" t="s">
        <v>12285</v>
      </c>
      <c r="E7519" s="43">
        <v>400</v>
      </c>
      <c r="F7519" s="43"/>
      <c r="G7519" s="48">
        <f t="shared" si="185"/>
        <v>49745.467741935281</v>
      </c>
      <c r="H7519" s="388" t="s">
        <v>9567</v>
      </c>
      <c r="J7519" s="52">
        <f>J7517-J7518</f>
        <v>2060</v>
      </c>
    </row>
    <row r="7520" spans="1:10" x14ac:dyDescent="0.3">
      <c r="A7520" s="45">
        <v>45204</v>
      </c>
      <c r="B7520" s="568" t="s">
        <v>12044</v>
      </c>
      <c r="C7520" s="5" t="s">
        <v>5793</v>
      </c>
      <c r="D7520" s="124" t="s">
        <v>40</v>
      </c>
      <c r="E7520" s="43">
        <v>1000</v>
      </c>
      <c r="F7520" s="43"/>
      <c r="G7520" s="48">
        <f t="shared" si="185"/>
        <v>48745.467741935281</v>
      </c>
      <c r="H7520" s="388" t="s">
        <v>9567</v>
      </c>
    </row>
    <row r="7521" spans="1:11" x14ac:dyDescent="0.3">
      <c r="A7521" s="45">
        <v>45205</v>
      </c>
      <c r="B7521" s="568" t="s">
        <v>10319</v>
      </c>
      <c r="C7521" s="5" t="s">
        <v>5793</v>
      </c>
      <c r="D7521" s="124" t="s">
        <v>40</v>
      </c>
      <c r="E7521" s="43">
        <v>2300</v>
      </c>
      <c r="F7521" s="43"/>
      <c r="G7521" s="48">
        <f t="shared" si="185"/>
        <v>46445.467741935281</v>
      </c>
      <c r="H7521" s="388" t="s">
        <v>9567</v>
      </c>
    </row>
    <row r="7522" spans="1:11" x14ac:dyDescent="0.3">
      <c r="A7522" s="45">
        <v>45205</v>
      </c>
      <c r="B7522" s="568" t="s">
        <v>11743</v>
      </c>
      <c r="C7522" s="5" t="s">
        <v>11174</v>
      </c>
      <c r="D7522" s="124" t="s">
        <v>12287</v>
      </c>
      <c r="E7522" s="43">
        <v>800</v>
      </c>
      <c r="F7522" s="43"/>
      <c r="G7522" s="48">
        <f t="shared" si="185"/>
        <v>45645.467741935281</v>
      </c>
      <c r="H7522" s="388" t="s">
        <v>9567</v>
      </c>
    </row>
    <row r="7523" spans="1:11" x14ac:dyDescent="0.3">
      <c r="A7523" s="45">
        <v>45205</v>
      </c>
      <c r="B7523" s="568"/>
      <c r="C7523" s="5" t="s">
        <v>18</v>
      </c>
      <c r="D7523" s="124" t="s">
        <v>4319</v>
      </c>
      <c r="E7523" s="43">
        <v>500</v>
      </c>
      <c r="F7523" s="43"/>
      <c r="G7523" s="48">
        <f t="shared" si="185"/>
        <v>45145.467741935281</v>
      </c>
      <c r="H7523" s="388" t="s">
        <v>9567</v>
      </c>
    </row>
    <row r="7524" spans="1:11" x14ac:dyDescent="0.3">
      <c r="A7524" s="45">
        <v>45205</v>
      </c>
      <c r="B7524" s="568" t="s">
        <v>25</v>
      </c>
      <c r="C7524" s="44" t="s">
        <v>25</v>
      </c>
      <c r="D7524" s="44" t="s">
        <v>11434</v>
      </c>
      <c r="E7524" s="28">
        <v>3500</v>
      </c>
      <c r="F7524" s="43"/>
      <c r="G7524" s="48">
        <f t="shared" ref="G7524:G7602" si="187">G7523+F7524-E7524</f>
        <v>41645.467741935281</v>
      </c>
      <c r="H7524" s="388" t="s">
        <v>9567</v>
      </c>
    </row>
    <row r="7525" spans="1:11" x14ac:dyDescent="0.3">
      <c r="A7525" s="45">
        <v>45205</v>
      </c>
      <c r="B7525" s="568" t="s">
        <v>12046</v>
      </c>
      <c r="C7525" s="5" t="s">
        <v>12075</v>
      </c>
      <c r="D7525" s="124" t="s">
        <v>12183</v>
      </c>
      <c r="E7525" s="43">
        <v>15000</v>
      </c>
      <c r="F7525" s="43"/>
      <c r="G7525" s="48">
        <f t="shared" si="187"/>
        <v>26645.467741935281</v>
      </c>
      <c r="H7525" s="388" t="s">
        <v>9567</v>
      </c>
    </row>
    <row r="7526" spans="1:11" x14ac:dyDescent="0.3">
      <c r="A7526" s="45">
        <v>45205</v>
      </c>
      <c r="B7526" s="565"/>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12288</v>
      </c>
      <c r="E7527" s="43">
        <v>24000</v>
      </c>
      <c r="F7527" s="43"/>
      <c r="G7527" s="48">
        <f t="shared" si="187"/>
        <v>485645.46774193528</v>
      </c>
      <c r="H7527" s="388" t="s">
        <v>9567</v>
      </c>
    </row>
    <row r="7528" spans="1:11" x14ac:dyDescent="0.3">
      <c r="A7528" s="45">
        <v>45205</v>
      </c>
      <c r="B7528" s="396" t="s">
        <v>11743</v>
      </c>
      <c r="C7528" s="5" t="s">
        <v>11174</v>
      </c>
      <c r="D7528" s="124" t="s">
        <v>12289</v>
      </c>
      <c r="E7528" s="43">
        <v>6370</v>
      </c>
      <c r="F7528" s="43"/>
      <c r="G7528" s="48">
        <f t="shared" si="187"/>
        <v>479275.46774193528</v>
      </c>
      <c r="H7528" s="388" t="s">
        <v>9567</v>
      </c>
      <c r="I7528" s="52" t="e">
        <f>#REF!</f>
        <v>#REF!</v>
      </c>
    </row>
    <row r="7529" spans="1:11" x14ac:dyDescent="0.3">
      <c r="A7529" s="45">
        <v>45205</v>
      </c>
      <c r="B7529" s="396" t="s">
        <v>12044</v>
      </c>
      <c r="C7529" s="5" t="s">
        <v>11174</v>
      </c>
      <c r="D7529" s="124" t="s">
        <v>12289</v>
      </c>
      <c r="E7529" s="43">
        <v>36500</v>
      </c>
      <c r="F7529" s="43"/>
      <c r="G7529" s="48">
        <f t="shared" si="187"/>
        <v>442775.46774193528</v>
      </c>
      <c r="H7529" s="388" t="s">
        <v>9567</v>
      </c>
      <c r="I7529" s="52">
        <f ca="1">SUMIF(C7519:E7567,"salary",E7519:E7567)</f>
        <v>1543659</v>
      </c>
      <c r="K7529" s="52">
        <v>35000</v>
      </c>
    </row>
    <row r="7530" spans="1:11" x14ac:dyDescent="0.3">
      <c r="A7530" s="45">
        <v>45205</v>
      </c>
      <c r="B7530" s="565"/>
      <c r="C7530" s="480"/>
      <c r="D7530" s="491" t="s">
        <v>12297</v>
      </c>
      <c r="E7530" s="480"/>
      <c r="F7530" s="28">
        <v>1000000</v>
      </c>
      <c r="G7530" s="48">
        <f t="shared" si="187"/>
        <v>1442775.4677419353</v>
      </c>
      <c r="H7530" s="388" t="s">
        <v>9567</v>
      </c>
      <c r="I7530" s="52" t="e">
        <f ca="1">I7528-I7529</f>
        <v>#REF!</v>
      </c>
    </row>
    <row r="7531" spans="1:11" x14ac:dyDescent="0.3">
      <c r="A7531" s="45">
        <v>45205</v>
      </c>
      <c r="B7531" s="396" t="s">
        <v>12050</v>
      </c>
      <c r="C7531" s="5" t="s">
        <v>11174</v>
      </c>
      <c r="D7531" s="124" t="s">
        <v>12290</v>
      </c>
      <c r="E7531" s="43">
        <v>2800</v>
      </c>
      <c r="F7531" s="43"/>
      <c r="G7531" s="48">
        <f t="shared" si="187"/>
        <v>1439975.4677419353</v>
      </c>
      <c r="H7531" s="388" t="s">
        <v>9567</v>
      </c>
    </row>
    <row r="7532" spans="1:11" x14ac:dyDescent="0.3">
      <c r="A7532" s="45">
        <v>45205</v>
      </c>
      <c r="B7532" s="396"/>
      <c r="C7532" s="5" t="s">
        <v>54</v>
      </c>
      <c r="D7532" s="124" t="s">
        <v>12306</v>
      </c>
      <c r="E7532" s="43">
        <f>5000+17000</f>
        <v>22000</v>
      </c>
      <c r="F7532" s="43"/>
      <c r="G7532" s="48">
        <f t="shared" si="187"/>
        <v>1417975.4677419353</v>
      </c>
      <c r="H7532" s="388" t="s">
        <v>9567</v>
      </c>
    </row>
    <row r="7533" spans="1:11" x14ac:dyDescent="0.3">
      <c r="A7533" s="45">
        <v>45205</v>
      </c>
      <c r="B7533" s="396"/>
      <c r="C7533" s="5" t="s">
        <v>54</v>
      </c>
      <c r="D7533" s="124" t="s">
        <v>12301</v>
      </c>
      <c r="E7533" s="43">
        <v>207637.5</v>
      </c>
      <c r="F7533" s="43"/>
      <c r="G7533" s="48">
        <f t="shared" si="187"/>
        <v>1210337.9677419353</v>
      </c>
      <c r="H7533" s="388" t="s">
        <v>9567</v>
      </c>
      <c r="K7533" s="52">
        <v>10000</v>
      </c>
    </row>
    <row r="7534" spans="1:11" x14ac:dyDescent="0.3">
      <c r="A7534" s="45">
        <v>45205</v>
      </c>
      <c r="B7534" s="396"/>
      <c r="C7534" s="5" t="s">
        <v>54</v>
      </c>
      <c r="D7534" s="124" t="s">
        <v>12303</v>
      </c>
      <c r="E7534" s="43">
        <v>127466.66666666666</v>
      </c>
      <c r="F7534" s="43"/>
      <c r="G7534" s="48">
        <f t="shared" si="187"/>
        <v>1082871.3010752685</v>
      </c>
      <c r="H7534" s="388" t="s">
        <v>9567</v>
      </c>
    </row>
    <row r="7535" spans="1:11" x14ac:dyDescent="0.3">
      <c r="A7535" s="45">
        <v>45205</v>
      </c>
      <c r="B7535" s="396"/>
      <c r="C7535" s="5" t="s">
        <v>54</v>
      </c>
      <c r="D7535" s="124" t="s">
        <v>12304</v>
      </c>
      <c r="E7535" s="43">
        <v>298300.00000000006</v>
      </c>
      <c r="F7535" s="43"/>
      <c r="G7535" s="48">
        <f t="shared" si="187"/>
        <v>784571.30107526854</v>
      </c>
      <c r="H7535" s="388" t="s">
        <v>9567</v>
      </c>
    </row>
    <row r="7536" spans="1:11" x14ac:dyDescent="0.3">
      <c r="A7536" s="45">
        <v>45205</v>
      </c>
      <c r="B7536" s="396"/>
      <c r="C7536" s="5" t="s">
        <v>54</v>
      </c>
      <c r="D7536" s="124" t="s">
        <v>12302</v>
      </c>
      <c r="E7536" s="43">
        <v>168295.83333333331</v>
      </c>
      <c r="F7536" s="43"/>
      <c r="G7536" s="48">
        <f t="shared" si="187"/>
        <v>616275.46774193528</v>
      </c>
      <c r="H7536" s="388" t="s">
        <v>9567</v>
      </c>
    </row>
    <row r="7537" spans="1:9" x14ac:dyDescent="0.3">
      <c r="A7537" s="45">
        <v>45205</v>
      </c>
      <c r="B7537" s="396"/>
      <c r="C7537" s="5" t="s">
        <v>54</v>
      </c>
      <c r="D7537" s="124" t="s">
        <v>12305</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12050</v>
      </c>
      <c r="C7539" s="5" t="s">
        <v>5793</v>
      </c>
      <c r="D7539" s="124" t="s">
        <v>40</v>
      </c>
      <c r="E7539" s="43">
        <v>1400</v>
      </c>
      <c r="F7539" s="43"/>
      <c r="G7539" s="48">
        <f t="shared" si="187"/>
        <v>419875.46774193528</v>
      </c>
      <c r="H7539" s="388" t="s">
        <v>9567</v>
      </c>
    </row>
    <row r="7540" spans="1:9" x14ac:dyDescent="0.3">
      <c r="A7540" s="45">
        <v>45206</v>
      </c>
      <c r="B7540" s="396" t="s">
        <v>12086</v>
      </c>
      <c r="C7540" s="5" t="s">
        <v>11174</v>
      </c>
      <c r="D7540" s="124" t="s">
        <v>12291</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12292</v>
      </c>
      <c r="E7542" s="43">
        <v>20000</v>
      </c>
      <c r="F7542" s="43"/>
      <c r="G7542" s="48">
        <f t="shared" si="187"/>
        <v>331375.46774193528</v>
      </c>
      <c r="H7542" s="388" t="s">
        <v>9567</v>
      </c>
    </row>
    <row r="7543" spans="1:9" x14ac:dyDescent="0.3">
      <c r="A7543" s="45">
        <v>45206</v>
      </c>
      <c r="B7543" s="396" t="s">
        <v>12049</v>
      </c>
      <c r="C7543" s="5" t="s">
        <v>11174</v>
      </c>
      <c r="D7543" s="124" t="s">
        <v>12293</v>
      </c>
      <c r="E7543" s="43">
        <v>15180</v>
      </c>
      <c r="F7543" s="43"/>
      <c r="G7543" s="48">
        <f t="shared" si="187"/>
        <v>316195.46774193528</v>
      </c>
      <c r="H7543" s="388" t="s">
        <v>9567</v>
      </c>
    </row>
    <row r="7544" spans="1:9" x14ac:dyDescent="0.3">
      <c r="A7544" s="45">
        <v>45206</v>
      </c>
      <c r="B7544" s="396" t="s">
        <v>12049</v>
      </c>
      <c r="C7544" s="5" t="s">
        <v>30</v>
      </c>
      <c r="D7544" s="124" t="s">
        <v>12300</v>
      </c>
      <c r="E7544" s="43">
        <v>300</v>
      </c>
      <c r="F7544" s="43"/>
      <c r="G7544" s="48">
        <f t="shared" si="187"/>
        <v>315895.46774193528</v>
      </c>
      <c r="H7544" s="388" t="s">
        <v>9567</v>
      </c>
    </row>
    <row r="7545" spans="1:9" x14ac:dyDescent="0.3">
      <c r="A7545" s="45">
        <v>45206</v>
      </c>
      <c r="B7545" s="396"/>
      <c r="C7545" s="5" t="s">
        <v>12294</v>
      </c>
      <c r="D7545" s="124" t="s">
        <v>12295</v>
      </c>
      <c r="E7545" s="43">
        <v>30000</v>
      </c>
      <c r="F7545" s="43"/>
      <c r="G7545" s="48">
        <f t="shared" si="187"/>
        <v>285895.46774193528</v>
      </c>
      <c r="H7545" s="388" t="s">
        <v>9567</v>
      </c>
    </row>
    <row r="7546" spans="1:9" x14ac:dyDescent="0.3">
      <c r="A7546" s="45">
        <v>45206</v>
      </c>
      <c r="B7546" s="396"/>
      <c r="C7546" s="5" t="s">
        <v>12296</v>
      </c>
      <c r="D7546" s="124" t="s">
        <v>11352</v>
      </c>
      <c r="E7546" s="43">
        <v>3000</v>
      </c>
      <c r="F7546" s="43"/>
      <c r="G7546" s="48">
        <f t="shared" si="187"/>
        <v>282895.46774193528</v>
      </c>
      <c r="H7546" s="388" t="s">
        <v>9567</v>
      </c>
    </row>
    <row r="7547" spans="1:9" x14ac:dyDescent="0.3">
      <c r="A7547" s="45">
        <v>45205</v>
      </c>
      <c r="B7547" s="565"/>
      <c r="C7547" s="480"/>
      <c r="D7547" s="491" t="s">
        <v>12297</v>
      </c>
      <c r="E7547" s="480"/>
      <c r="F7547" s="28">
        <v>900000</v>
      </c>
      <c r="G7547" s="48">
        <f t="shared" si="187"/>
        <v>1182895.4677419353</v>
      </c>
      <c r="H7547" s="388" t="s">
        <v>9567</v>
      </c>
      <c r="I7547" s="52">
        <f>I7545-I7546</f>
        <v>0</v>
      </c>
    </row>
    <row r="7548" spans="1:9" x14ac:dyDescent="0.3">
      <c r="A7548" s="45">
        <v>45206</v>
      </c>
      <c r="B7548" s="396" t="s">
        <v>12044</v>
      </c>
      <c r="C7548" s="5" t="s">
        <v>11756</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12049</v>
      </c>
      <c r="C7553" s="5" t="s">
        <v>11174</v>
      </c>
      <c r="D7553" s="124" t="s">
        <v>12309</v>
      </c>
      <c r="E7553" s="43">
        <v>58000</v>
      </c>
      <c r="F7553" s="43"/>
      <c r="G7553" s="48">
        <f t="shared" si="187"/>
        <v>711305.46774193528</v>
      </c>
      <c r="H7553" s="388" t="s">
        <v>9567</v>
      </c>
      <c r="I7553" s="52">
        <v>550226</v>
      </c>
    </row>
    <row r="7554" spans="1:9" x14ac:dyDescent="0.3">
      <c r="A7554" s="45">
        <v>45206</v>
      </c>
      <c r="B7554" s="396"/>
      <c r="C7554" s="5" t="s">
        <v>54</v>
      </c>
      <c r="D7554" s="124" t="s">
        <v>12298</v>
      </c>
      <c r="E7554" s="43">
        <f>131879+20000</f>
        <v>151879</v>
      </c>
      <c r="F7554" s="43"/>
      <c r="G7554" s="48">
        <f t="shared" si="187"/>
        <v>559426.46774193528</v>
      </c>
      <c r="H7554" s="388" t="s">
        <v>9567</v>
      </c>
    </row>
    <row r="7555" spans="1:9" x14ac:dyDescent="0.3">
      <c r="A7555" s="45">
        <v>45206</v>
      </c>
      <c r="B7555" s="396" t="s">
        <v>25</v>
      </c>
      <c r="C7555" s="5" t="s">
        <v>12100</v>
      </c>
      <c r="D7555" s="124" t="s">
        <v>12310</v>
      </c>
      <c r="E7555" s="43">
        <v>5000</v>
      </c>
      <c r="F7555" s="43"/>
      <c r="G7555" s="48">
        <f t="shared" si="187"/>
        <v>554426.46774193528</v>
      </c>
      <c r="H7555" s="388" t="s">
        <v>9567</v>
      </c>
    </row>
    <row r="7556" spans="1:9" x14ac:dyDescent="0.3">
      <c r="A7556" s="45">
        <v>45208</v>
      </c>
      <c r="B7556" s="396"/>
      <c r="C7556" s="5" t="s">
        <v>54</v>
      </c>
      <c r="D7556" s="124" t="s">
        <v>12307</v>
      </c>
      <c r="E7556" s="43">
        <v>126700</v>
      </c>
      <c r="F7556" s="43"/>
      <c r="G7556" s="48">
        <f t="shared" si="187"/>
        <v>427726.46774193528</v>
      </c>
      <c r="H7556" s="388" t="s">
        <v>9567</v>
      </c>
    </row>
    <row r="7557" spans="1:9" x14ac:dyDescent="0.3">
      <c r="A7557" s="45">
        <v>45208</v>
      </c>
      <c r="B7557" s="396"/>
      <c r="C7557" s="5" t="s">
        <v>54</v>
      </c>
      <c r="D7557" s="124" t="s">
        <v>12308</v>
      </c>
      <c r="E7557" s="43">
        <v>45000</v>
      </c>
      <c r="F7557" s="43"/>
      <c r="G7557" s="48">
        <f t="shared" si="187"/>
        <v>382726.46774193528</v>
      </c>
      <c r="H7557" s="388" t="s">
        <v>9567</v>
      </c>
    </row>
    <row r="7558" spans="1:9" x14ac:dyDescent="0.3">
      <c r="A7558" s="45">
        <v>45208</v>
      </c>
      <c r="B7558" s="396"/>
      <c r="C7558" s="5" t="s">
        <v>54</v>
      </c>
      <c r="D7558" s="124" t="s">
        <v>12312</v>
      </c>
      <c r="E7558" s="43">
        <v>76670</v>
      </c>
      <c r="F7558" s="43"/>
      <c r="G7558" s="48">
        <f t="shared" si="187"/>
        <v>306056.46774193528</v>
      </c>
      <c r="H7558" s="388" t="s">
        <v>9567</v>
      </c>
    </row>
    <row r="7559" spans="1:9" x14ac:dyDescent="0.3">
      <c r="A7559" s="45">
        <v>45208</v>
      </c>
      <c r="B7559" s="396" t="s">
        <v>12045</v>
      </c>
      <c r="C7559" s="5" t="s">
        <v>11174</v>
      </c>
      <c r="D7559" s="124" t="s">
        <v>12311</v>
      </c>
      <c r="E7559" s="43">
        <v>3000</v>
      </c>
      <c r="F7559" s="43"/>
      <c r="G7559" s="48">
        <f t="shared" si="187"/>
        <v>303056.46774193528</v>
      </c>
      <c r="H7559" s="388" t="s">
        <v>9567</v>
      </c>
    </row>
    <row r="7560" spans="1:9" x14ac:dyDescent="0.3">
      <c r="A7560" s="45">
        <v>45208</v>
      </c>
      <c r="B7560" s="568" t="s">
        <v>25</v>
      </c>
      <c r="C7560" s="44" t="s">
        <v>25</v>
      </c>
      <c r="D7560" s="44" t="s">
        <v>11434</v>
      </c>
      <c r="E7560" s="28">
        <v>3500</v>
      </c>
      <c r="F7560" s="43"/>
      <c r="G7560" s="48">
        <f t="shared" si="187"/>
        <v>299556.46774193528</v>
      </c>
      <c r="H7560" s="388" t="s">
        <v>9567</v>
      </c>
    </row>
    <row r="7561" spans="1:9" x14ac:dyDescent="0.3">
      <c r="A7561" s="45">
        <v>45208</v>
      </c>
      <c r="B7561" s="396" t="s">
        <v>12045</v>
      </c>
      <c r="C7561" s="5" t="s">
        <v>30</v>
      </c>
      <c r="D7561" s="124" t="s">
        <v>10662</v>
      </c>
      <c r="E7561" s="43">
        <v>1500</v>
      </c>
      <c r="F7561" s="43"/>
      <c r="G7561" s="48">
        <f t="shared" si="187"/>
        <v>298056.46774193528</v>
      </c>
      <c r="H7561" s="388" t="s">
        <v>9567</v>
      </c>
    </row>
    <row r="7562" spans="1:9" x14ac:dyDescent="0.3">
      <c r="A7562" s="45">
        <v>45208</v>
      </c>
      <c r="B7562" s="396" t="s">
        <v>12086</v>
      </c>
      <c r="C7562" s="5" t="s">
        <v>11174</v>
      </c>
      <c r="D7562" s="124" t="s">
        <v>12318</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12049</v>
      </c>
      <c r="C7564" s="5" t="s">
        <v>5793</v>
      </c>
      <c r="D7564" s="124" t="s">
        <v>40</v>
      </c>
      <c r="E7564" s="43">
        <v>1500</v>
      </c>
      <c r="F7564" s="43"/>
      <c r="G7564" s="48">
        <f t="shared" si="187"/>
        <v>218076.46774193528</v>
      </c>
      <c r="H7564" s="388" t="s">
        <v>9567</v>
      </c>
      <c r="I7564" s="52">
        <v>11770</v>
      </c>
    </row>
    <row r="7565" spans="1:9" x14ac:dyDescent="0.3">
      <c r="A7565" s="45">
        <v>45208</v>
      </c>
      <c r="B7565" s="396" t="s">
        <v>12141</v>
      </c>
      <c r="C7565" s="5" t="s">
        <v>11174</v>
      </c>
      <c r="D7565" s="124" t="s">
        <v>12319</v>
      </c>
      <c r="E7565" s="43">
        <v>600</v>
      </c>
      <c r="F7565" s="43"/>
      <c r="G7565" s="48">
        <f t="shared" si="187"/>
        <v>217476.46774193528</v>
      </c>
      <c r="H7565" s="388" t="s">
        <v>9567</v>
      </c>
      <c r="I7565" s="52">
        <f>I7562-I7564</f>
        <v>230</v>
      </c>
    </row>
    <row r="7566" spans="1:9" x14ac:dyDescent="0.3">
      <c r="A7566" s="45">
        <v>45209</v>
      </c>
      <c r="B7566" s="396" t="s">
        <v>12321</v>
      </c>
      <c r="C7566" s="5" t="s">
        <v>11853</v>
      </c>
      <c r="D7566" s="124" t="s">
        <v>12015</v>
      </c>
      <c r="E7566" s="43">
        <v>30000</v>
      </c>
      <c r="F7566" s="43"/>
      <c r="G7566" s="48">
        <f t="shared" si="187"/>
        <v>187476.46774193528</v>
      </c>
      <c r="H7566" s="388" t="s">
        <v>9567</v>
      </c>
    </row>
    <row r="7567" spans="1:9" x14ac:dyDescent="0.3">
      <c r="A7567" s="45">
        <v>45209</v>
      </c>
      <c r="B7567" s="396" t="s">
        <v>12086</v>
      </c>
      <c r="C7567" s="5" t="s">
        <v>11174</v>
      </c>
      <c r="D7567" s="124" t="s">
        <v>12322</v>
      </c>
      <c r="E7567" s="43">
        <v>250</v>
      </c>
      <c r="F7567" s="43"/>
      <c r="G7567" s="48">
        <f t="shared" si="187"/>
        <v>187226.46774193528</v>
      </c>
      <c r="H7567" s="388" t="s">
        <v>9567</v>
      </c>
      <c r="I7567" s="52">
        <f>I7566+I7565</f>
        <v>230</v>
      </c>
    </row>
    <row r="7568" spans="1:9" x14ac:dyDescent="0.3">
      <c r="A7568" s="45">
        <v>45209</v>
      </c>
      <c r="B7568" s="396" t="s">
        <v>12086</v>
      </c>
      <c r="C7568" s="5" t="s">
        <v>5793</v>
      </c>
      <c r="D7568" s="124" t="s">
        <v>8924</v>
      </c>
      <c r="E7568" s="43">
        <v>250</v>
      </c>
      <c r="F7568" s="43"/>
      <c r="G7568" s="48">
        <f t="shared" si="187"/>
        <v>186976.46774193528</v>
      </c>
      <c r="H7568" s="388" t="s">
        <v>9567</v>
      </c>
      <c r="I7568" s="52">
        <v>130</v>
      </c>
    </row>
    <row r="7569" spans="1:10" x14ac:dyDescent="0.3">
      <c r="A7569" s="45">
        <v>45209</v>
      </c>
      <c r="B7569" s="396" t="s">
        <v>12321</v>
      </c>
      <c r="C7569" s="5" t="s">
        <v>11174</v>
      </c>
      <c r="D7569" s="124" t="s">
        <v>12323</v>
      </c>
      <c r="E7569" s="43">
        <v>16300</v>
      </c>
      <c r="F7569" s="43"/>
      <c r="G7569" s="48">
        <f t="shared" si="187"/>
        <v>170676.46774193528</v>
      </c>
      <c r="H7569" s="388" t="s">
        <v>9567</v>
      </c>
    </row>
    <row r="7570" spans="1:10" x14ac:dyDescent="0.3">
      <c r="A7570" s="45">
        <v>45209</v>
      </c>
      <c r="B7570" s="396" t="s">
        <v>12086</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12324</v>
      </c>
      <c r="E7571" s="43">
        <v>18400</v>
      </c>
      <c r="F7571" s="43"/>
      <c r="G7571" s="48">
        <f t="shared" si="187"/>
        <v>149676.46774193528</v>
      </c>
      <c r="H7571" s="388" t="s">
        <v>9567</v>
      </c>
    </row>
    <row r="7572" spans="1:10" x14ac:dyDescent="0.3">
      <c r="A7572" s="45">
        <v>45209</v>
      </c>
      <c r="B7572" s="396" t="s">
        <v>12044</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12325</v>
      </c>
      <c r="E7573" s="43">
        <v>3000</v>
      </c>
      <c r="F7573" s="43"/>
      <c r="G7573" s="48">
        <f t="shared" si="187"/>
        <v>145576.46774193528</v>
      </c>
      <c r="H7573" s="388" t="s">
        <v>9567</v>
      </c>
    </row>
    <row r="7574" spans="1:10" x14ac:dyDescent="0.3">
      <c r="A7574" s="45">
        <v>45209</v>
      </c>
      <c r="B7574" s="396"/>
      <c r="C7574" s="5" t="s">
        <v>54</v>
      </c>
      <c r="D7574" s="124" t="s">
        <v>12326</v>
      </c>
      <c r="E7574" s="43">
        <v>6230</v>
      </c>
      <c r="F7574" s="43"/>
      <c r="G7574" s="48">
        <f t="shared" si="187"/>
        <v>139346.46774193528</v>
      </c>
      <c r="H7574" s="388" t="s">
        <v>9567</v>
      </c>
    </row>
    <row r="7575" spans="1:10" x14ac:dyDescent="0.3">
      <c r="A7575" s="45">
        <v>45209</v>
      </c>
      <c r="B7575" s="396"/>
      <c r="C7575" s="5" t="s">
        <v>84</v>
      </c>
      <c r="D7575" s="124" t="s">
        <v>12327</v>
      </c>
      <c r="E7575" s="43">
        <v>10000</v>
      </c>
      <c r="F7575" s="43"/>
      <c r="G7575" s="48">
        <f t="shared" si="187"/>
        <v>129346.46774193528</v>
      </c>
      <c r="H7575" s="388" t="s">
        <v>9567</v>
      </c>
    </row>
    <row r="7576" spans="1:10" x14ac:dyDescent="0.3">
      <c r="A7576" s="45">
        <v>45210</v>
      </c>
      <c r="B7576" s="396" t="s">
        <v>12047</v>
      </c>
      <c r="C7576" s="5" t="s">
        <v>11174</v>
      </c>
      <c r="D7576" s="124" t="s">
        <v>12329</v>
      </c>
      <c r="E7576" s="43">
        <v>29000</v>
      </c>
      <c r="F7576" s="43"/>
      <c r="G7576" s="48">
        <f t="shared" si="187"/>
        <v>100346.46774193528</v>
      </c>
      <c r="H7576" s="388" t="s">
        <v>9567</v>
      </c>
      <c r="J7576" s="52">
        <v>941759</v>
      </c>
    </row>
    <row r="7577" spans="1:10" x14ac:dyDescent="0.3">
      <c r="A7577" s="45">
        <v>45210</v>
      </c>
      <c r="B7577" s="396" t="s">
        <v>12086</v>
      </c>
      <c r="C7577" s="5" t="s">
        <v>11174</v>
      </c>
      <c r="D7577" s="124" t="s">
        <v>12330</v>
      </c>
      <c r="E7577" s="43">
        <v>4860</v>
      </c>
      <c r="F7577" s="43"/>
      <c r="G7577" s="48">
        <f t="shared" si="187"/>
        <v>95486.467741935281</v>
      </c>
      <c r="H7577" s="388" t="s">
        <v>9567</v>
      </c>
    </row>
    <row r="7578" spans="1:10" x14ac:dyDescent="0.3">
      <c r="A7578" s="45">
        <v>45210</v>
      </c>
      <c r="B7578" s="396" t="s">
        <v>12086</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12086</v>
      </c>
      <c r="C7579" s="5" t="s">
        <v>5793</v>
      </c>
      <c r="D7579" s="124" t="s">
        <v>40</v>
      </c>
      <c r="E7579" s="43">
        <v>1000</v>
      </c>
      <c r="F7579" s="43"/>
      <c r="G7579" s="48">
        <f t="shared" si="187"/>
        <v>67245.467741935281</v>
      </c>
      <c r="H7579" s="388" t="s">
        <v>9567</v>
      </c>
    </row>
    <row r="7580" spans="1:10" x14ac:dyDescent="0.3">
      <c r="A7580" s="45">
        <v>45210</v>
      </c>
      <c r="B7580" s="396" t="s">
        <v>12045</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68" t="s">
        <v>25</v>
      </c>
      <c r="C7581" s="44" t="s">
        <v>25</v>
      </c>
      <c r="D7581" s="44" t="s">
        <v>11434</v>
      </c>
      <c r="E7581" s="28">
        <v>3000</v>
      </c>
      <c r="F7581" s="43"/>
      <c r="G7581" s="48">
        <f t="shared" si="187"/>
        <v>63345.467741935281</v>
      </c>
      <c r="H7581" s="388" t="s">
        <v>9567</v>
      </c>
      <c r="I7581" s="52">
        <v>60000</v>
      </c>
    </row>
    <row r="7582" spans="1:10" x14ac:dyDescent="0.3">
      <c r="A7582" s="45">
        <v>45210</v>
      </c>
      <c r="B7582" s="396" t="s">
        <v>12050</v>
      </c>
      <c r="C7582" s="5" t="s">
        <v>11174</v>
      </c>
      <c r="D7582" s="124" t="s">
        <v>12332</v>
      </c>
      <c r="E7582" s="43">
        <v>2000</v>
      </c>
      <c r="F7582" s="43"/>
      <c r="G7582" s="48">
        <f t="shared" si="187"/>
        <v>61345.467741935281</v>
      </c>
      <c r="H7582" s="388" t="s">
        <v>9567</v>
      </c>
      <c r="I7582" s="52">
        <f>I7581-I7580</f>
        <v>27899</v>
      </c>
    </row>
    <row r="7583" spans="1:10" x14ac:dyDescent="0.3">
      <c r="A7583" s="45">
        <v>45210</v>
      </c>
      <c r="B7583" s="396" t="s">
        <v>12049</v>
      </c>
      <c r="C7583" s="5" t="s">
        <v>11174</v>
      </c>
      <c r="D7583" s="124" t="s">
        <v>12333</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12321</v>
      </c>
      <c r="C7585" s="5" t="s">
        <v>11174</v>
      </c>
      <c r="D7585" s="124" t="s">
        <v>12323</v>
      </c>
      <c r="E7585" s="43">
        <v>36250</v>
      </c>
      <c r="F7585" s="43"/>
      <c r="G7585" s="48">
        <f t="shared" si="187"/>
        <v>7495.4677419352811</v>
      </c>
      <c r="H7585" s="388" t="s">
        <v>9567</v>
      </c>
    </row>
    <row r="7586" spans="1:9" x14ac:dyDescent="0.3">
      <c r="A7586" s="45">
        <v>45210</v>
      </c>
      <c r="B7586" s="396" t="s">
        <v>12046</v>
      </c>
      <c r="C7586" s="5" t="s">
        <v>5162</v>
      </c>
      <c r="D7586" s="124" t="s">
        <v>5813</v>
      </c>
      <c r="E7586" s="43">
        <v>2000</v>
      </c>
      <c r="F7586" s="43"/>
      <c r="G7586" s="48">
        <f t="shared" si="187"/>
        <v>5495.4677419352811</v>
      </c>
      <c r="H7586" s="388" t="s">
        <v>9567</v>
      </c>
    </row>
    <row r="7587" spans="1:9" x14ac:dyDescent="0.3">
      <c r="A7587" s="45">
        <v>45210</v>
      </c>
      <c r="B7587" s="396" t="s">
        <v>12046</v>
      </c>
      <c r="C7587" s="5" t="s">
        <v>5793</v>
      </c>
      <c r="D7587" s="124" t="s">
        <v>40</v>
      </c>
      <c r="E7587" s="43">
        <f>500+295</f>
        <v>795</v>
      </c>
      <c r="F7587" s="43"/>
      <c r="G7587" s="48">
        <f t="shared" si="187"/>
        <v>4700.4677419352811</v>
      </c>
      <c r="H7587" s="388" t="s">
        <v>9567</v>
      </c>
    </row>
    <row r="7588" spans="1:9" x14ac:dyDescent="0.3">
      <c r="A7588" s="45">
        <v>45211</v>
      </c>
      <c r="B7588" s="396" t="s">
        <v>12321</v>
      </c>
      <c r="C7588" s="5" t="s">
        <v>11174</v>
      </c>
      <c r="D7588" s="124" t="s">
        <v>12335</v>
      </c>
      <c r="E7588" s="43">
        <v>4700</v>
      </c>
      <c r="F7588" s="43"/>
      <c r="G7588" s="48">
        <f t="shared" si="187"/>
        <v>0.46774193528108299</v>
      </c>
      <c r="H7588" s="388" t="s">
        <v>9567</v>
      </c>
    </row>
    <row r="7589" spans="1:9" x14ac:dyDescent="0.3">
      <c r="A7589" s="45">
        <v>45212</v>
      </c>
      <c r="B7589" s="565"/>
      <c r="C7589" s="480"/>
      <c r="D7589" s="491" t="s">
        <v>12344</v>
      </c>
      <c r="E7589" s="480"/>
      <c r="F7589" s="28">
        <v>100000</v>
      </c>
      <c r="G7589" s="48">
        <f t="shared" si="187"/>
        <v>100000.46774193528</v>
      </c>
      <c r="H7589" s="388" t="s">
        <v>9567</v>
      </c>
      <c r="I7589" s="52">
        <f>I7587-I7588</f>
        <v>0</v>
      </c>
    </row>
    <row r="7590" spans="1:9" x14ac:dyDescent="0.3">
      <c r="A7590" s="45">
        <v>45212</v>
      </c>
      <c r="B7590" s="396" t="s">
        <v>12045</v>
      </c>
      <c r="C7590" s="5" t="s">
        <v>5793</v>
      </c>
      <c r="D7590" s="124" t="s">
        <v>40</v>
      </c>
      <c r="E7590" s="43">
        <v>850</v>
      </c>
      <c r="F7590" s="43"/>
      <c r="G7590" s="48">
        <f t="shared" si="187"/>
        <v>99150.467741935281</v>
      </c>
      <c r="H7590" s="388" t="s">
        <v>9567</v>
      </c>
    </row>
    <row r="7591" spans="1:9" x14ac:dyDescent="0.3">
      <c r="A7591" s="45">
        <v>45212</v>
      </c>
      <c r="B7591" s="396" t="s">
        <v>12086</v>
      </c>
      <c r="C7591" s="5" t="s">
        <v>11174</v>
      </c>
      <c r="D7591" s="124" t="s">
        <v>12345</v>
      </c>
      <c r="E7591" s="43">
        <v>62671</v>
      </c>
      <c r="F7591" s="43"/>
      <c r="G7591" s="48">
        <f t="shared" si="187"/>
        <v>36479.467741935281</v>
      </c>
      <c r="H7591" s="388" t="s">
        <v>9567</v>
      </c>
    </row>
    <row r="7592" spans="1:9" x14ac:dyDescent="0.3">
      <c r="A7592" s="45">
        <v>45212</v>
      </c>
      <c r="B7592" s="565"/>
      <c r="C7592" s="480"/>
      <c r="D7592" s="491" t="s">
        <v>12338</v>
      </c>
      <c r="E7592" s="480"/>
      <c r="F7592" s="28">
        <v>100000</v>
      </c>
      <c r="G7592" s="48">
        <f t="shared" si="187"/>
        <v>136479.46774193528</v>
      </c>
      <c r="H7592" s="388" t="s">
        <v>9567</v>
      </c>
      <c r="I7592" s="52">
        <f>I7589-I7590</f>
        <v>0</v>
      </c>
    </row>
    <row r="7593" spans="1:9" x14ac:dyDescent="0.3">
      <c r="A7593" s="45">
        <v>45212</v>
      </c>
      <c r="B7593" s="396" t="s">
        <v>12044</v>
      </c>
      <c r="C7593" s="5" t="s">
        <v>11174</v>
      </c>
      <c r="D7593" s="124" t="s">
        <v>12346</v>
      </c>
      <c r="E7593" s="43">
        <v>39600</v>
      </c>
      <c r="F7593" s="43"/>
      <c r="G7593" s="48">
        <f t="shared" si="187"/>
        <v>96879.467741935281</v>
      </c>
      <c r="H7593" s="388" t="s">
        <v>9567</v>
      </c>
    </row>
    <row r="7594" spans="1:9" x14ac:dyDescent="0.3">
      <c r="A7594" s="45">
        <v>45212</v>
      </c>
      <c r="B7594" s="396" t="s">
        <v>12339</v>
      </c>
      <c r="C7594" s="5" t="s">
        <v>11174</v>
      </c>
      <c r="D7594" s="124" t="s">
        <v>12347</v>
      </c>
      <c r="E7594" s="43">
        <v>940</v>
      </c>
      <c r="F7594" s="43"/>
      <c r="G7594" s="48">
        <f t="shared" si="187"/>
        <v>95939.467741935281</v>
      </c>
      <c r="H7594" s="388" t="s">
        <v>9567</v>
      </c>
    </row>
    <row r="7595" spans="1:9" x14ac:dyDescent="0.3">
      <c r="A7595" s="45">
        <v>45212</v>
      </c>
      <c r="B7595" s="396" t="s">
        <v>12339</v>
      </c>
      <c r="C7595" s="5" t="s">
        <v>11174</v>
      </c>
      <c r="D7595" s="124" t="s">
        <v>12348</v>
      </c>
      <c r="E7595" s="43">
        <v>8780</v>
      </c>
      <c r="F7595" s="43"/>
      <c r="G7595" s="48">
        <f t="shared" si="187"/>
        <v>87159.467741935281</v>
      </c>
      <c r="H7595" s="388" t="s">
        <v>9567</v>
      </c>
    </row>
    <row r="7596" spans="1:9" x14ac:dyDescent="0.3">
      <c r="A7596" s="45">
        <v>45212</v>
      </c>
      <c r="B7596" s="396" t="s">
        <v>12339</v>
      </c>
      <c r="C7596" s="5" t="s">
        <v>12342</v>
      </c>
      <c r="D7596" s="124" t="s">
        <v>12343</v>
      </c>
      <c r="E7596" s="43">
        <v>400</v>
      </c>
      <c r="F7596" s="43"/>
      <c r="G7596" s="48">
        <f t="shared" si="187"/>
        <v>86759.467741935281</v>
      </c>
      <c r="H7596" s="388" t="s">
        <v>9567</v>
      </c>
    </row>
    <row r="7597" spans="1:9" x14ac:dyDescent="0.3">
      <c r="A7597" s="45">
        <v>45212</v>
      </c>
      <c r="B7597" s="396" t="s">
        <v>11505</v>
      </c>
      <c r="C7597" s="5" t="s">
        <v>54</v>
      </c>
      <c r="D7597" s="124" t="s">
        <v>8824</v>
      </c>
      <c r="E7597" s="43">
        <v>26350</v>
      </c>
      <c r="F7597" s="43"/>
      <c r="G7597" s="48">
        <f t="shared" si="187"/>
        <v>60409.467741935281</v>
      </c>
      <c r="H7597" s="388" t="s">
        <v>9567</v>
      </c>
    </row>
    <row r="7598" spans="1:9" x14ac:dyDescent="0.3">
      <c r="A7598" s="45">
        <v>45212</v>
      </c>
      <c r="B7598" s="568" t="s">
        <v>25</v>
      </c>
      <c r="C7598" s="44" t="s">
        <v>25</v>
      </c>
      <c r="D7598" s="44" t="s">
        <v>11434</v>
      </c>
      <c r="E7598" s="28">
        <v>3500</v>
      </c>
      <c r="F7598" s="43"/>
      <c r="G7598" s="48">
        <f t="shared" si="187"/>
        <v>56909.467741935281</v>
      </c>
      <c r="H7598" s="388" t="s">
        <v>9567</v>
      </c>
    </row>
    <row r="7599" spans="1:9" x14ac:dyDescent="0.3">
      <c r="A7599" s="45">
        <v>45212</v>
      </c>
      <c r="B7599" s="568" t="s">
        <v>12157</v>
      </c>
      <c r="C7599" s="44" t="s">
        <v>26</v>
      </c>
      <c r="D7599" s="44" t="s">
        <v>12341</v>
      </c>
      <c r="E7599" s="28">
        <v>1000</v>
      </c>
      <c r="F7599" s="43"/>
      <c r="G7599" s="48">
        <f t="shared" si="187"/>
        <v>55909.467741935281</v>
      </c>
      <c r="H7599" s="388" t="s">
        <v>9567</v>
      </c>
    </row>
    <row r="7600" spans="1:9" x14ac:dyDescent="0.3">
      <c r="A7600" s="45">
        <v>45212</v>
      </c>
      <c r="B7600" s="568" t="s">
        <v>12045</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12340</v>
      </c>
      <c r="E7601" s="43">
        <v>2000</v>
      </c>
      <c r="F7601" s="43"/>
      <c r="G7601" s="48">
        <f t="shared" si="187"/>
        <v>53009.467741935281</v>
      </c>
      <c r="H7601" s="388" t="s">
        <v>9567</v>
      </c>
    </row>
    <row r="7602" spans="1:9" x14ac:dyDescent="0.3">
      <c r="A7602" s="45">
        <v>45213</v>
      </c>
      <c r="B7602" s="396" t="s">
        <v>12086</v>
      </c>
      <c r="C7602" s="5" t="s">
        <v>5793</v>
      </c>
      <c r="D7602" s="124" t="s">
        <v>8924</v>
      </c>
      <c r="E7602" s="43">
        <v>280</v>
      </c>
      <c r="F7602" s="43"/>
      <c r="G7602" s="48">
        <f t="shared" si="187"/>
        <v>52729.467741935281</v>
      </c>
      <c r="H7602" s="388" t="s">
        <v>9567</v>
      </c>
      <c r="I7602" s="52">
        <v>1500</v>
      </c>
    </row>
    <row r="7603" spans="1:9" x14ac:dyDescent="0.3">
      <c r="A7603" s="45">
        <v>45213</v>
      </c>
      <c r="B7603" s="396" t="s">
        <v>12230</v>
      </c>
      <c r="C7603" s="5" t="s">
        <v>1616</v>
      </c>
      <c r="D7603" s="124" t="s">
        <v>12349</v>
      </c>
      <c r="E7603" s="43">
        <v>2350</v>
      </c>
      <c r="F7603" s="43"/>
      <c r="G7603" s="48">
        <f t="shared" ref="G7603:G7604" si="188">G7602+F7603-E7603</f>
        <v>50379.467741935281</v>
      </c>
      <c r="H7603" s="388" t="s">
        <v>9567</v>
      </c>
      <c r="I7603" s="52">
        <v>850</v>
      </c>
    </row>
    <row r="7604" spans="1:9" x14ac:dyDescent="0.3">
      <c r="A7604" s="45">
        <v>45213</v>
      </c>
      <c r="B7604" s="396" t="s">
        <v>12049</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12046</v>
      </c>
      <c r="C7605" s="5" t="s">
        <v>12351</v>
      </c>
      <c r="D7605" s="124" t="s">
        <v>12350</v>
      </c>
      <c r="E7605" s="43">
        <v>3000</v>
      </c>
      <c r="F7605" s="43"/>
      <c r="G7605" s="48">
        <f t="shared" ref="G7605:G7613" si="189">G7604+F7605-E7605</f>
        <v>45179.467741935281</v>
      </c>
      <c r="H7605" s="388" t="s">
        <v>9567</v>
      </c>
    </row>
    <row r="7606" spans="1:9" x14ac:dyDescent="0.3">
      <c r="A7606" s="45">
        <v>45214</v>
      </c>
      <c r="B7606" s="565"/>
      <c r="C7606" s="480"/>
      <c r="D7606" s="491" t="s">
        <v>12297</v>
      </c>
      <c r="E7606" s="480"/>
      <c r="F7606" s="28">
        <v>200000</v>
      </c>
      <c r="G7606" s="48">
        <f t="shared" si="189"/>
        <v>245179.46774193528</v>
      </c>
      <c r="H7606" s="388" t="s">
        <v>9567</v>
      </c>
      <c r="I7606" s="52">
        <f>I7604-I7605</f>
        <v>2350</v>
      </c>
    </row>
    <row r="7607" spans="1:9" x14ac:dyDescent="0.3">
      <c r="A7607" s="45">
        <v>45214</v>
      </c>
      <c r="B7607" s="396" t="s">
        <v>12230</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12044</v>
      </c>
      <c r="C7609" s="5" t="s">
        <v>1512</v>
      </c>
      <c r="D7609" s="124" t="s">
        <v>12353</v>
      </c>
      <c r="E7609" s="43">
        <v>24000</v>
      </c>
      <c r="F7609" s="43"/>
      <c r="G7609" s="48">
        <f t="shared" si="189"/>
        <v>210379.46774193528</v>
      </c>
      <c r="H7609" s="388" t="s">
        <v>9567</v>
      </c>
    </row>
    <row r="7610" spans="1:9" x14ac:dyDescent="0.3">
      <c r="A7610" s="45">
        <v>45214</v>
      </c>
      <c r="B7610" s="396" t="s">
        <v>12049</v>
      </c>
      <c r="C7610" s="5" t="s">
        <v>11174</v>
      </c>
      <c r="D7610" s="124" t="s">
        <v>12354</v>
      </c>
      <c r="E7610" s="43">
        <v>161000</v>
      </c>
      <c r="F7610" s="43"/>
      <c r="G7610" s="48">
        <f t="shared" si="189"/>
        <v>49379.467741935281</v>
      </c>
      <c r="H7610" s="388" t="s">
        <v>9567</v>
      </c>
    </row>
    <row r="7611" spans="1:9" x14ac:dyDescent="0.3">
      <c r="A7611" s="45">
        <v>45214</v>
      </c>
      <c r="B7611" s="396" t="s">
        <v>25</v>
      </c>
      <c r="C7611" s="5" t="s">
        <v>5793</v>
      </c>
      <c r="D7611" s="124" t="s">
        <v>12355</v>
      </c>
      <c r="E7611" s="43">
        <v>250</v>
      </c>
      <c r="F7611" s="43"/>
      <c r="G7611" s="48">
        <f t="shared" si="189"/>
        <v>49129.467741935281</v>
      </c>
      <c r="H7611" s="388" t="s">
        <v>9567</v>
      </c>
    </row>
    <row r="7612" spans="1:9" x14ac:dyDescent="0.3">
      <c r="A7612" s="45">
        <v>45214</v>
      </c>
      <c r="B7612" s="568" t="s">
        <v>25</v>
      </c>
      <c r="C7612" s="44" t="s">
        <v>25</v>
      </c>
      <c r="D7612" s="44" t="s">
        <v>11434</v>
      </c>
      <c r="E7612" s="28">
        <v>3000</v>
      </c>
      <c r="F7612" s="43"/>
      <c r="G7612" s="48">
        <f t="shared" si="189"/>
        <v>46129.467741935281</v>
      </c>
      <c r="H7612" s="388" t="s">
        <v>9567</v>
      </c>
    </row>
    <row r="7613" spans="1:9" x14ac:dyDescent="0.3">
      <c r="A7613" s="45">
        <v>45214</v>
      </c>
      <c r="B7613" s="565"/>
      <c r="C7613" s="480"/>
      <c r="D7613" s="491" t="s">
        <v>12344</v>
      </c>
      <c r="E7613" s="480"/>
      <c r="F7613" s="28">
        <v>100000</v>
      </c>
      <c r="G7613" s="48">
        <f t="shared" si="189"/>
        <v>146129.46774193528</v>
      </c>
      <c r="H7613" s="388" t="s">
        <v>9567</v>
      </c>
      <c r="I7613" s="52">
        <f>I7604-I7605</f>
        <v>2350</v>
      </c>
    </row>
    <row r="7614" spans="1:9" x14ac:dyDescent="0.3">
      <c r="A7614" s="45">
        <v>45214</v>
      </c>
      <c r="B7614" s="396" t="s">
        <v>12050</v>
      </c>
      <c r="C7614" s="5" t="s">
        <v>11174</v>
      </c>
      <c r="D7614" s="124" t="s">
        <v>12356</v>
      </c>
      <c r="E7614" s="43">
        <v>1600</v>
      </c>
      <c r="F7614" s="43"/>
      <c r="G7614" s="48">
        <f t="shared" ref="G7614" si="190">G7613+F7614-E7614</f>
        <v>144529.46774193528</v>
      </c>
      <c r="H7614" s="388" t="s">
        <v>9567</v>
      </c>
    </row>
    <row r="7615" spans="1:9" x14ac:dyDescent="0.3">
      <c r="A7615" s="45">
        <v>45214</v>
      </c>
      <c r="B7615" s="396" t="s">
        <v>12049</v>
      </c>
      <c r="C7615" s="5" t="s">
        <v>3554</v>
      </c>
      <c r="D7615" s="124" t="s">
        <v>12015</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12086</v>
      </c>
      <c r="C7617" s="5" t="s">
        <v>9643</v>
      </c>
      <c r="D7617" s="124" t="s">
        <v>12359</v>
      </c>
      <c r="E7617" s="43">
        <v>30000</v>
      </c>
      <c r="F7617" s="43"/>
      <c r="G7617" s="48">
        <f t="shared" si="191"/>
        <v>99529.467741935281</v>
      </c>
      <c r="H7617" s="388" t="s">
        <v>9567</v>
      </c>
    </row>
    <row r="7618" spans="1:9" ht="22.5" customHeight="1" x14ac:dyDescent="0.3">
      <c r="A7618" s="45">
        <v>45216</v>
      </c>
      <c r="B7618" s="396" t="s">
        <v>12045</v>
      </c>
      <c r="C7618" s="5" t="s">
        <v>11174</v>
      </c>
      <c r="D7618" s="124" t="s">
        <v>12360</v>
      </c>
      <c r="E7618" s="43">
        <v>42200</v>
      </c>
      <c r="F7618" s="43"/>
      <c r="G7618" s="48">
        <f t="shared" ref="G7618:G7689" si="192">G7617+F7618-E7618</f>
        <v>57329.467741935281</v>
      </c>
      <c r="H7618" s="388" t="s">
        <v>9567</v>
      </c>
    </row>
    <row r="7619" spans="1:9" x14ac:dyDescent="0.3">
      <c r="A7619" s="45">
        <v>45216</v>
      </c>
      <c r="B7619" s="396" t="s">
        <v>12045</v>
      </c>
      <c r="C7619" s="5" t="s">
        <v>11174</v>
      </c>
      <c r="D7619" s="124" t="s">
        <v>12361</v>
      </c>
      <c r="E7619" s="43">
        <v>2400</v>
      </c>
      <c r="F7619" s="43"/>
      <c r="G7619" s="48">
        <f t="shared" si="192"/>
        <v>54929.467741935281</v>
      </c>
      <c r="H7619" s="388" t="s">
        <v>9567</v>
      </c>
    </row>
    <row r="7620" spans="1:9" x14ac:dyDescent="0.3">
      <c r="A7620" s="45">
        <v>45216</v>
      </c>
      <c r="B7620" s="396" t="s">
        <v>12045</v>
      </c>
      <c r="C7620" s="5" t="s">
        <v>5793</v>
      </c>
      <c r="D7620" s="124" t="s">
        <v>40</v>
      </c>
      <c r="E7620" s="43">
        <v>500</v>
      </c>
      <c r="F7620" s="43"/>
      <c r="G7620" s="48">
        <f t="shared" si="192"/>
        <v>54429.467741935281</v>
      </c>
      <c r="H7620" s="388" t="s">
        <v>9567</v>
      </c>
    </row>
    <row r="7621" spans="1:9" x14ac:dyDescent="0.3">
      <c r="A7621" s="45">
        <v>45216</v>
      </c>
      <c r="B7621" s="396" t="s">
        <v>12049</v>
      </c>
      <c r="C7621" s="5" t="s">
        <v>5793</v>
      </c>
      <c r="D7621" s="124" t="s">
        <v>40</v>
      </c>
      <c r="E7621" s="43">
        <v>2000</v>
      </c>
      <c r="F7621" s="43"/>
      <c r="G7621" s="48">
        <f t="shared" si="192"/>
        <v>52429.467741935281</v>
      </c>
      <c r="H7621" s="388" t="s">
        <v>9567</v>
      </c>
      <c r="I7621" s="52">
        <v>14320</v>
      </c>
    </row>
    <row r="7622" spans="1:9" x14ac:dyDescent="0.3">
      <c r="A7622" s="45">
        <v>45216</v>
      </c>
      <c r="B7622" s="396" t="s">
        <v>12086</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12362</v>
      </c>
      <c r="E7623" s="43">
        <v>2000</v>
      </c>
      <c r="F7623" s="43"/>
      <c r="G7623" s="48">
        <f t="shared" si="192"/>
        <v>49429.467741935281</v>
      </c>
      <c r="H7623" s="388" t="s">
        <v>9567</v>
      </c>
    </row>
    <row r="7624" spans="1:9" x14ac:dyDescent="0.3">
      <c r="A7624" s="45">
        <v>45216</v>
      </c>
      <c r="B7624" s="396" t="s">
        <v>12044</v>
      </c>
      <c r="C7624" s="5" t="s">
        <v>5793</v>
      </c>
      <c r="D7624" s="124" t="s">
        <v>40</v>
      </c>
      <c r="E7624" s="43">
        <v>1000</v>
      </c>
      <c r="F7624" s="43"/>
      <c r="G7624" s="48">
        <f t="shared" si="192"/>
        <v>48429.467741935281</v>
      </c>
      <c r="H7624" s="388" t="s">
        <v>9567</v>
      </c>
    </row>
    <row r="7625" spans="1:9" x14ac:dyDescent="0.3">
      <c r="A7625" s="45">
        <v>45216</v>
      </c>
      <c r="B7625" s="396" t="s">
        <v>12086</v>
      </c>
      <c r="C7625" s="5" t="s">
        <v>5793</v>
      </c>
      <c r="D7625" s="124" t="s">
        <v>40</v>
      </c>
      <c r="E7625" s="43">
        <v>300</v>
      </c>
      <c r="F7625" s="43"/>
      <c r="G7625" s="48">
        <f t="shared" si="192"/>
        <v>48129.467741935281</v>
      </c>
      <c r="H7625" s="388" t="s">
        <v>9567</v>
      </c>
    </row>
    <row r="7626" spans="1:9" x14ac:dyDescent="0.3">
      <c r="A7626" s="45">
        <v>45216</v>
      </c>
      <c r="B7626" s="396" t="s">
        <v>12045</v>
      </c>
      <c r="C7626" s="5" t="s">
        <v>11174</v>
      </c>
      <c r="D7626" s="124" t="s">
        <v>12363</v>
      </c>
      <c r="E7626" s="43">
        <v>1550</v>
      </c>
      <c r="F7626" s="43"/>
      <c r="G7626" s="48">
        <f t="shared" si="192"/>
        <v>46579.467741935281</v>
      </c>
      <c r="H7626" s="388" t="s">
        <v>9567</v>
      </c>
    </row>
    <row r="7627" spans="1:9" x14ac:dyDescent="0.3">
      <c r="A7627" s="45">
        <v>45216</v>
      </c>
      <c r="B7627" s="396" t="s">
        <v>12055</v>
      </c>
      <c r="C7627" s="5" t="s">
        <v>30</v>
      </c>
      <c r="D7627" s="124" t="s">
        <v>12364</v>
      </c>
      <c r="E7627" s="43">
        <v>2000</v>
      </c>
      <c r="F7627" s="43"/>
      <c r="G7627" s="48">
        <f t="shared" si="192"/>
        <v>44579.467741935281</v>
      </c>
      <c r="H7627" s="388" t="s">
        <v>9567</v>
      </c>
    </row>
    <row r="7628" spans="1:9" x14ac:dyDescent="0.3">
      <c r="A7628" s="45">
        <v>45216</v>
      </c>
      <c r="B7628" s="396" t="s">
        <v>12055</v>
      </c>
      <c r="C7628" s="5" t="s">
        <v>11174</v>
      </c>
      <c r="D7628" s="124" t="s">
        <v>12365</v>
      </c>
      <c r="E7628" s="43">
        <v>500</v>
      </c>
      <c r="F7628" s="43"/>
      <c r="G7628" s="48">
        <f t="shared" si="192"/>
        <v>44079.467741935281</v>
      </c>
      <c r="H7628" s="388" t="s">
        <v>9567</v>
      </c>
    </row>
    <row r="7629" spans="1:9" x14ac:dyDescent="0.3">
      <c r="A7629" s="45">
        <v>45216</v>
      </c>
      <c r="B7629" s="396" t="s">
        <v>12055</v>
      </c>
      <c r="C7629" s="5" t="s">
        <v>11174</v>
      </c>
      <c r="D7629" s="124" t="s">
        <v>12366</v>
      </c>
      <c r="E7629" s="43">
        <v>2000</v>
      </c>
      <c r="F7629" s="43"/>
      <c r="G7629" s="48">
        <f t="shared" si="192"/>
        <v>42079.467741935281</v>
      </c>
      <c r="H7629" s="388" t="s">
        <v>9567</v>
      </c>
    </row>
    <row r="7630" spans="1:9" x14ac:dyDescent="0.3">
      <c r="A7630" s="45">
        <v>45216</v>
      </c>
      <c r="B7630" s="396" t="s">
        <v>12049</v>
      </c>
      <c r="C7630" s="5" t="s">
        <v>5793</v>
      </c>
      <c r="D7630" s="124" t="s">
        <v>40</v>
      </c>
      <c r="E7630" s="43">
        <v>400</v>
      </c>
      <c r="F7630" s="43"/>
      <c r="G7630" s="48">
        <f t="shared" si="192"/>
        <v>41679.467741935281</v>
      </c>
      <c r="H7630" s="388" t="s">
        <v>9567</v>
      </c>
    </row>
    <row r="7631" spans="1:9" x14ac:dyDescent="0.3">
      <c r="A7631" s="45">
        <v>45216</v>
      </c>
      <c r="B7631" s="565"/>
      <c r="C7631" s="480"/>
      <c r="D7631" s="491" t="s">
        <v>12297</v>
      </c>
      <c r="E7631" s="480"/>
      <c r="F7631" s="28">
        <v>500000</v>
      </c>
      <c r="G7631" s="48">
        <f t="shared" si="192"/>
        <v>541679.46774193528</v>
      </c>
      <c r="H7631" s="388" t="s">
        <v>9567</v>
      </c>
    </row>
    <row r="7632" spans="1:9" x14ac:dyDescent="0.3">
      <c r="A7632" s="45">
        <v>45217</v>
      </c>
      <c r="B7632" s="396" t="s">
        <v>12054</v>
      </c>
      <c r="C7632" s="5" t="s">
        <v>1086</v>
      </c>
      <c r="D7632" s="124" t="s">
        <v>12368</v>
      </c>
      <c r="E7632" s="43">
        <v>250000</v>
      </c>
      <c r="F7632" s="43"/>
      <c r="G7632" s="48">
        <f t="shared" si="192"/>
        <v>291679.46774193528</v>
      </c>
      <c r="H7632" s="388" t="s">
        <v>9567</v>
      </c>
    </row>
    <row r="7633" spans="1:11" x14ac:dyDescent="0.3">
      <c r="A7633" s="45">
        <v>45217</v>
      </c>
      <c r="B7633" s="396" t="s">
        <v>10601</v>
      </c>
      <c r="C7633" s="5" t="s">
        <v>12369</v>
      </c>
      <c r="D7633" s="124" t="s">
        <v>12370</v>
      </c>
      <c r="E7633" s="43">
        <v>150000</v>
      </c>
      <c r="F7633" s="43"/>
      <c r="G7633" s="48">
        <f t="shared" si="192"/>
        <v>141679.46774193528</v>
      </c>
      <c r="H7633" s="388" t="s">
        <v>9567</v>
      </c>
    </row>
    <row r="7634" spans="1:11" x14ac:dyDescent="0.3">
      <c r="A7634" s="45">
        <v>45217</v>
      </c>
      <c r="B7634" s="396" t="s">
        <v>12049</v>
      </c>
      <c r="C7634" s="5" t="s">
        <v>11174</v>
      </c>
      <c r="D7634" s="124" t="s">
        <v>12371</v>
      </c>
      <c r="E7634" s="43">
        <v>80000</v>
      </c>
      <c r="F7634" s="43"/>
      <c r="G7634" s="48">
        <f t="shared" si="192"/>
        <v>61679.467741935281</v>
      </c>
      <c r="H7634" s="388" t="s">
        <v>9567</v>
      </c>
    </row>
    <row r="7635" spans="1:11" x14ac:dyDescent="0.3">
      <c r="A7635" s="45">
        <v>45217</v>
      </c>
      <c r="B7635" s="568" t="s">
        <v>25</v>
      </c>
      <c r="C7635" s="44" t="s">
        <v>25</v>
      </c>
      <c r="D7635" s="44" t="s">
        <v>11434</v>
      </c>
      <c r="E7635" s="28">
        <v>3000</v>
      </c>
      <c r="F7635" s="43"/>
      <c r="G7635" s="48">
        <f t="shared" si="192"/>
        <v>58679.467741935281</v>
      </c>
      <c r="H7635" s="388" t="s">
        <v>9567</v>
      </c>
    </row>
    <row r="7636" spans="1:11" x14ac:dyDescent="0.3">
      <c r="A7636" s="45">
        <v>45217</v>
      </c>
      <c r="B7636" s="396" t="s">
        <v>12046</v>
      </c>
      <c r="C7636" s="5" t="s">
        <v>5162</v>
      </c>
      <c r="D7636" s="124" t="s">
        <v>3910</v>
      </c>
      <c r="E7636" s="43">
        <v>5000</v>
      </c>
      <c r="F7636" s="43"/>
      <c r="G7636" s="48">
        <f t="shared" si="192"/>
        <v>53679.467741935281</v>
      </c>
      <c r="H7636" s="388" t="s">
        <v>9567</v>
      </c>
    </row>
    <row r="7637" spans="1:11" x14ac:dyDescent="0.3">
      <c r="A7637" s="45">
        <v>45217</v>
      </c>
      <c r="B7637" s="396" t="s">
        <v>12045</v>
      </c>
      <c r="C7637" s="5" t="s">
        <v>30</v>
      </c>
      <c r="D7637" s="124" t="s">
        <v>11568</v>
      </c>
      <c r="E7637" s="43">
        <v>1400</v>
      </c>
      <c r="F7637" s="43"/>
      <c r="G7637" s="48">
        <f t="shared" si="192"/>
        <v>52279.467741935281</v>
      </c>
      <c r="H7637" s="388" t="s">
        <v>9567</v>
      </c>
    </row>
    <row r="7638" spans="1:11" x14ac:dyDescent="0.3">
      <c r="A7638" s="45">
        <v>45217</v>
      </c>
      <c r="B7638" s="396" t="s">
        <v>12044</v>
      </c>
      <c r="C7638" s="5" t="s">
        <v>5793</v>
      </c>
      <c r="D7638" s="124" t="s">
        <v>12372</v>
      </c>
      <c r="E7638" s="43">
        <v>300</v>
      </c>
      <c r="F7638" s="43"/>
      <c r="G7638" s="48">
        <f t="shared" si="192"/>
        <v>51979.467741935281</v>
      </c>
      <c r="H7638" s="388" t="s">
        <v>9567</v>
      </c>
    </row>
    <row r="7639" spans="1:11" x14ac:dyDescent="0.3">
      <c r="A7639" s="45">
        <v>45217</v>
      </c>
      <c r="B7639" s="565"/>
      <c r="C7639" s="480"/>
      <c r="D7639" s="491" t="s">
        <v>12381</v>
      </c>
      <c r="E7639" s="480"/>
      <c r="F7639" s="28">
        <v>500000</v>
      </c>
      <c r="G7639" s="48">
        <f t="shared" si="192"/>
        <v>551979.46774193528</v>
      </c>
      <c r="H7639" s="388" t="s">
        <v>9567</v>
      </c>
      <c r="I7639" s="52">
        <f>I7637-I7638</f>
        <v>0</v>
      </c>
    </row>
    <row r="7640" spans="1:11" x14ac:dyDescent="0.3">
      <c r="A7640" s="45">
        <v>45217</v>
      </c>
      <c r="B7640" s="396"/>
      <c r="C7640" s="5" t="s">
        <v>4550</v>
      </c>
      <c r="D7640" s="124" t="s">
        <v>12373</v>
      </c>
      <c r="E7640" s="43">
        <v>30000</v>
      </c>
      <c r="F7640" s="43"/>
      <c r="G7640" s="48">
        <f t="shared" si="192"/>
        <v>521979.46774193528</v>
      </c>
      <c r="H7640" s="388" t="s">
        <v>9567</v>
      </c>
      <c r="K7640" s="52">
        <v>7500</v>
      </c>
    </row>
    <row r="7641" spans="1:11" x14ac:dyDescent="0.3">
      <c r="A7641" s="45">
        <v>45217</v>
      </c>
      <c r="B7641" s="396" t="s">
        <v>12046</v>
      </c>
      <c r="C7641" s="5" t="s">
        <v>10745</v>
      </c>
      <c r="D7641" s="124" t="s">
        <v>12374</v>
      </c>
      <c r="E7641" s="43">
        <v>100000</v>
      </c>
      <c r="F7641" s="43"/>
      <c r="G7641" s="48">
        <f t="shared" si="192"/>
        <v>421979.46774193528</v>
      </c>
      <c r="H7641" s="388" t="s">
        <v>9567</v>
      </c>
      <c r="K7641" s="52">
        <v>2900</v>
      </c>
    </row>
    <row r="7642" spans="1:11" x14ac:dyDescent="0.3">
      <c r="A7642" s="45">
        <v>45217</v>
      </c>
      <c r="B7642" s="396" t="s">
        <v>12050</v>
      </c>
      <c r="C7642" s="5" t="s">
        <v>11174</v>
      </c>
      <c r="D7642" s="124" t="s">
        <v>12375</v>
      </c>
      <c r="E7642" s="43">
        <v>4500</v>
      </c>
      <c r="F7642" s="43"/>
      <c r="G7642" s="48">
        <f t="shared" si="192"/>
        <v>417479.46774193528</v>
      </c>
      <c r="H7642" s="388" t="s">
        <v>9567</v>
      </c>
      <c r="K7642" s="52">
        <v>39300</v>
      </c>
    </row>
    <row r="7643" spans="1:11" x14ac:dyDescent="0.3">
      <c r="A7643" s="45">
        <v>45217</v>
      </c>
      <c r="B7643" s="565"/>
      <c r="C7643" s="480"/>
      <c r="D7643" s="491" t="s">
        <v>12382</v>
      </c>
      <c r="E7643" s="480"/>
      <c r="F7643" s="28">
        <v>50000</v>
      </c>
      <c r="G7643" s="48">
        <f t="shared" si="192"/>
        <v>467479.46774193528</v>
      </c>
      <c r="H7643" s="388" t="s">
        <v>9567</v>
      </c>
      <c r="I7643" s="52">
        <f>I7641-I7642</f>
        <v>0</v>
      </c>
      <c r="K7643" s="52">
        <v>1000</v>
      </c>
    </row>
    <row r="7644" spans="1:11" x14ac:dyDescent="0.3">
      <c r="A7644" s="45">
        <v>45217</v>
      </c>
      <c r="B7644" s="396" t="s">
        <v>12049</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12045</v>
      </c>
      <c r="C7646" s="5" t="s">
        <v>4156</v>
      </c>
      <c r="D7646" s="124" t="s">
        <v>12376</v>
      </c>
      <c r="E7646" s="43">
        <v>250000</v>
      </c>
      <c r="F7646" s="43"/>
      <c r="G7646" s="48">
        <f t="shared" si="192"/>
        <v>205979.46774193528</v>
      </c>
      <c r="H7646" s="388" t="s">
        <v>9567</v>
      </c>
      <c r="K7646" s="52">
        <v>1000</v>
      </c>
    </row>
    <row r="7647" spans="1:11" x14ac:dyDescent="0.3">
      <c r="A7647" s="45">
        <v>45217</v>
      </c>
      <c r="B7647" s="396"/>
      <c r="C7647" s="5" t="s">
        <v>84</v>
      </c>
      <c r="D7647" s="124" t="s">
        <v>12377</v>
      </c>
      <c r="E7647" s="43">
        <v>40000</v>
      </c>
      <c r="F7647" s="43"/>
      <c r="G7647" s="48">
        <f t="shared" si="192"/>
        <v>165979.46774193528</v>
      </c>
      <c r="H7647" s="388" t="s">
        <v>9567</v>
      </c>
      <c r="K7647" s="52">
        <f>K7646+K7645</f>
        <v>55900</v>
      </c>
    </row>
    <row r="7648" spans="1:11" x14ac:dyDescent="0.3">
      <c r="A7648" s="45">
        <v>45217</v>
      </c>
      <c r="B7648" s="396"/>
      <c r="C7648" s="5" t="s">
        <v>84</v>
      </c>
      <c r="D7648" s="124" t="s">
        <v>12378</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12045</v>
      </c>
      <c r="C7650" s="5" t="s">
        <v>5793</v>
      </c>
      <c r="D7650" s="124" t="s">
        <v>40</v>
      </c>
      <c r="E7650" s="43">
        <v>300</v>
      </c>
      <c r="F7650" s="43"/>
      <c r="G7650" s="48">
        <f t="shared" si="192"/>
        <v>130679.46774193528</v>
      </c>
      <c r="H7650" s="388" t="s">
        <v>9567</v>
      </c>
    </row>
    <row r="7651" spans="1:11" x14ac:dyDescent="0.3">
      <c r="A7651" s="45">
        <v>45217</v>
      </c>
      <c r="B7651" s="396" t="s">
        <v>12133</v>
      </c>
      <c r="C7651" s="5" t="s">
        <v>12379</v>
      </c>
      <c r="D7651" s="124" t="s">
        <v>12389</v>
      </c>
      <c r="E7651" s="43">
        <v>4200</v>
      </c>
      <c r="F7651" s="43"/>
      <c r="G7651" s="48">
        <f t="shared" si="192"/>
        <v>126479.46774193528</v>
      </c>
      <c r="H7651" s="388" t="s">
        <v>9567</v>
      </c>
    </row>
    <row r="7652" spans="1:11" x14ac:dyDescent="0.3">
      <c r="A7652" s="45">
        <v>45217</v>
      </c>
      <c r="B7652" s="396" t="s">
        <v>11505</v>
      </c>
      <c r="C7652" s="5" t="s">
        <v>12379</v>
      </c>
      <c r="D7652" s="124" t="s">
        <v>12390</v>
      </c>
      <c r="E7652" s="43">
        <v>1000</v>
      </c>
      <c r="F7652" s="43"/>
      <c r="G7652" s="48">
        <f t="shared" si="192"/>
        <v>125479.46774193528</v>
      </c>
      <c r="H7652" s="388" t="s">
        <v>9567</v>
      </c>
    </row>
    <row r="7653" spans="1:11" x14ac:dyDescent="0.3">
      <c r="A7653" s="45">
        <v>45217</v>
      </c>
      <c r="B7653" s="396" t="s">
        <v>12086</v>
      </c>
      <c r="C7653" s="5" t="s">
        <v>12379</v>
      </c>
      <c r="D7653" s="124" t="s">
        <v>12391</v>
      </c>
      <c r="E7653" s="43">
        <v>2900</v>
      </c>
      <c r="F7653" s="43"/>
      <c r="G7653" s="48">
        <f t="shared" si="192"/>
        <v>122579.46774193528</v>
      </c>
      <c r="H7653" s="388" t="s">
        <v>9567</v>
      </c>
    </row>
    <row r="7654" spans="1:11" x14ac:dyDescent="0.3">
      <c r="A7654" s="45">
        <v>45217</v>
      </c>
      <c r="B7654" s="396" t="s">
        <v>12045</v>
      </c>
      <c r="C7654" s="5" t="s">
        <v>12379</v>
      </c>
      <c r="D7654" s="124" t="s">
        <v>12392</v>
      </c>
      <c r="E7654" s="43">
        <v>7500</v>
      </c>
      <c r="F7654" s="43"/>
      <c r="G7654" s="48">
        <f t="shared" si="192"/>
        <v>115079.46774193528</v>
      </c>
      <c r="H7654" s="388" t="s">
        <v>9567</v>
      </c>
    </row>
    <row r="7655" spans="1:11" x14ac:dyDescent="0.3">
      <c r="A7655" s="45">
        <v>45217</v>
      </c>
      <c r="B7655" s="396" t="s">
        <v>12045</v>
      </c>
      <c r="C7655" s="5" t="s">
        <v>12379</v>
      </c>
      <c r="D7655" s="124" t="s">
        <v>12393</v>
      </c>
      <c r="E7655" s="43">
        <v>39300</v>
      </c>
      <c r="F7655" s="43"/>
      <c r="G7655" s="48">
        <f t="shared" si="192"/>
        <v>75779.467741935281</v>
      </c>
      <c r="H7655" s="388" t="s">
        <v>9567</v>
      </c>
    </row>
    <row r="7656" spans="1:11" x14ac:dyDescent="0.3">
      <c r="A7656" s="45">
        <v>45217</v>
      </c>
      <c r="B7656" s="396" t="s">
        <v>12045</v>
      </c>
      <c r="C7656" s="5" t="s">
        <v>5793</v>
      </c>
      <c r="D7656" s="124" t="s">
        <v>40</v>
      </c>
      <c r="E7656" s="43">
        <v>1000</v>
      </c>
      <c r="F7656" s="43"/>
      <c r="G7656" s="48">
        <f t="shared" si="192"/>
        <v>74779.467741935281</v>
      </c>
      <c r="H7656" s="388" t="s">
        <v>9567</v>
      </c>
    </row>
    <row r="7657" spans="1:11" x14ac:dyDescent="0.3">
      <c r="A7657" s="45">
        <v>45217</v>
      </c>
      <c r="B7657" s="396" t="s">
        <v>12054</v>
      </c>
      <c r="C7657" s="5" t="s">
        <v>5793</v>
      </c>
      <c r="D7657" s="124" t="s">
        <v>12388</v>
      </c>
      <c r="E7657" s="43">
        <v>250</v>
      </c>
      <c r="F7657" s="43"/>
      <c r="G7657" s="48">
        <f t="shared" si="192"/>
        <v>74529.467741935281</v>
      </c>
      <c r="H7657" s="388" t="s">
        <v>9567</v>
      </c>
    </row>
    <row r="7658" spans="1:11" x14ac:dyDescent="0.3">
      <c r="A7658" s="45">
        <v>45217</v>
      </c>
      <c r="B7658" s="396" t="s">
        <v>12086</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12379</v>
      </c>
      <c r="D7659" s="124" t="s">
        <v>12394</v>
      </c>
      <c r="E7659" s="43">
        <v>27600</v>
      </c>
      <c r="F7659" s="43"/>
      <c r="G7659" s="48">
        <f t="shared" si="192"/>
        <v>43629.467741935281</v>
      </c>
      <c r="H7659" s="388" t="s">
        <v>9567</v>
      </c>
      <c r="K7659" s="52">
        <v>1670</v>
      </c>
    </row>
    <row r="7660" spans="1:11" x14ac:dyDescent="0.3">
      <c r="A7660" s="45">
        <v>45217</v>
      </c>
      <c r="B7660" s="396" t="s">
        <v>12046</v>
      </c>
      <c r="C7660" s="5" t="s">
        <v>12395</v>
      </c>
      <c r="D7660" s="124" t="s">
        <v>12396</v>
      </c>
      <c r="E7660" s="43">
        <v>13000</v>
      </c>
      <c r="F7660" s="43"/>
      <c r="G7660" s="48">
        <f t="shared" si="192"/>
        <v>30629.467741935281</v>
      </c>
      <c r="H7660" s="388" t="s">
        <v>9567</v>
      </c>
      <c r="K7660" s="52">
        <f>SUM(K7658:K7659)</f>
        <v>77260</v>
      </c>
    </row>
    <row r="7661" spans="1:11" x14ac:dyDescent="0.3">
      <c r="A7661" s="45">
        <v>45217</v>
      </c>
      <c r="B7661" s="396" t="s">
        <v>12157</v>
      </c>
      <c r="C7661" s="5" t="s">
        <v>5793</v>
      </c>
      <c r="D7661" s="124" t="s">
        <v>40</v>
      </c>
      <c r="E7661" s="43">
        <v>600</v>
      </c>
      <c r="F7661" s="43"/>
      <c r="G7661" s="48">
        <f t="shared" si="192"/>
        <v>30029.467741935281</v>
      </c>
      <c r="H7661" s="388" t="s">
        <v>9567</v>
      </c>
      <c r="K7661" s="52">
        <v>1000</v>
      </c>
    </row>
    <row r="7662" spans="1:11" x14ac:dyDescent="0.3">
      <c r="A7662" s="45">
        <v>45217</v>
      </c>
      <c r="B7662" s="568" t="s">
        <v>25</v>
      </c>
      <c r="C7662" s="44" t="s">
        <v>25</v>
      </c>
      <c r="D7662" s="44" t="s">
        <v>11434</v>
      </c>
      <c r="E7662" s="28">
        <v>3000</v>
      </c>
      <c r="F7662" s="43"/>
      <c r="G7662" s="48">
        <f t="shared" si="192"/>
        <v>27029.467741935281</v>
      </c>
      <c r="H7662" s="388" t="s">
        <v>9567</v>
      </c>
    </row>
    <row r="7663" spans="1:11" x14ac:dyDescent="0.3">
      <c r="A7663" s="45">
        <v>45217</v>
      </c>
      <c r="B7663" s="396" t="s">
        <v>12045</v>
      </c>
      <c r="C7663" s="5" t="s">
        <v>5793</v>
      </c>
      <c r="D7663" s="124" t="s">
        <v>40</v>
      </c>
      <c r="E7663" s="43">
        <v>2500</v>
      </c>
      <c r="F7663" s="43"/>
      <c r="G7663" s="48">
        <f t="shared" si="192"/>
        <v>24529.467741935281</v>
      </c>
      <c r="H7663" s="388" t="s">
        <v>9567</v>
      </c>
      <c r="K7663" s="52">
        <f>K7661+K7660</f>
        <v>78260</v>
      </c>
    </row>
    <row r="7664" spans="1:11" x14ac:dyDescent="0.3">
      <c r="A7664" s="45">
        <v>45219</v>
      </c>
      <c r="B7664" s="565"/>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12086</v>
      </c>
      <c r="C7665" s="5" t="s">
        <v>11174</v>
      </c>
      <c r="D7665" s="124" t="s">
        <v>12393</v>
      </c>
      <c r="E7665" s="43">
        <v>45590</v>
      </c>
      <c r="F7665" s="43"/>
      <c r="G7665" s="48">
        <f t="shared" si="192"/>
        <v>368939.46774193528</v>
      </c>
      <c r="H7665" s="388" t="s">
        <v>9567</v>
      </c>
      <c r="K7665" s="52">
        <v>500</v>
      </c>
    </row>
    <row r="7666" spans="1:11" x14ac:dyDescent="0.3">
      <c r="A7666" s="45">
        <v>45219</v>
      </c>
      <c r="B7666" s="396" t="s">
        <v>12045</v>
      </c>
      <c r="C7666" s="5" t="s">
        <v>11174</v>
      </c>
      <c r="D7666" s="124" t="s">
        <v>12393</v>
      </c>
      <c r="E7666" s="43">
        <v>30000</v>
      </c>
      <c r="F7666" s="43"/>
      <c r="G7666" s="48">
        <f t="shared" si="192"/>
        <v>338939.46774193528</v>
      </c>
      <c r="H7666" s="388" t="s">
        <v>9567</v>
      </c>
    </row>
    <row r="7667" spans="1:11" x14ac:dyDescent="0.3">
      <c r="A7667" s="45">
        <v>45219</v>
      </c>
      <c r="B7667" s="396" t="s">
        <v>12049</v>
      </c>
      <c r="C7667" s="5" t="s">
        <v>11174</v>
      </c>
      <c r="D7667" s="124" t="s">
        <v>12402</v>
      </c>
      <c r="E7667" s="43">
        <v>1670</v>
      </c>
      <c r="F7667" s="43"/>
      <c r="G7667" s="48">
        <f t="shared" si="192"/>
        <v>337269.46774193528</v>
      </c>
      <c r="H7667" s="388" t="s">
        <v>9567</v>
      </c>
    </row>
    <row r="7668" spans="1:11" x14ac:dyDescent="0.3">
      <c r="A7668" s="45">
        <v>45219</v>
      </c>
      <c r="B7668" s="396" t="s">
        <v>12050</v>
      </c>
      <c r="C7668" s="5" t="s">
        <v>5793</v>
      </c>
      <c r="D7668" s="124" t="s">
        <v>40</v>
      </c>
      <c r="E7668" s="43">
        <v>1500</v>
      </c>
      <c r="F7668" s="43"/>
      <c r="G7668" s="48">
        <f t="shared" si="192"/>
        <v>335769.46774193528</v>
      </c>
      <c r="H7668" s="388" t="s">
        <v>9567</v>
      </c>
    </row>
    <row r="7669" spans="1:11" x14ac:dyDescent="0.3">
      <c r="A7669" s="45">
        <v>45219</v>
      </c>
      <c r="B7669" s="396" t="s">
        <v>12141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12398</v>
      </c>
      <c r="E7670" s="43">
        <v>15000</v>
      </c>
      <c r="F7670" s="43"/>
      <c r="G7670" s="48">
        <f t="shared" si="192"/>
        <v>120769.46774193528</v>
      </c>
      <c r="H7670" s="388" t="s">
        <v>9567</v>
      </c>
    </row>
    <row r="7671" spans="1:11" x14ac:dyDescent="0.3">
      <c r="A7671" s="45">
        <v>45219</v>
      </c>
      <c r="B7671" s="565"/>
      <c r="C7671" s="480"/>
      <c r="D7671" s="491" t="s">
        <v>12399</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12400</v>
      </c>
      <c r="E7672" s="43">
        <v>100000</v>
      </c>
      <c r="F7672" s="43"/>
      <c r="G7672" s="48">
        <f t="shared" si="192"/>
        <v>420769.46774193528</v>
      </c>
      <c r="H7672" s="388" t="s">
        <v>9567</v>
      </c>
    </row>
    <row r="7673" spans="1:11" x14ac:dyDescent="0.3">
      <c r="A7673" s="45">
        <v>45219</v>
      </c>
      <c r="B7673" s="396" t="s">
        <v>12049</v>
      </c>
      <c r="C7673" s="5" t="s">
        <v>3554</v>
      </c>
      <c r="D7673" s="124" t="s">
        <v>12401</v>
      </c>
      <c r="E7673" s="43">
        <v>100000</v>
      </c>
      <c r="F7673" s="43"/>
      <c r="G7673" s="48">
        <f t="shared" si="192"/>
        <v>320769.46774193528</v>
      </c>
      <c r="H7673" s="388" t="s">
        <v>9567</v>
      </c>
    </row>
    <row r="7674" spans="1:11" x14ac:dyDescent="0.3">
      <c r="A7674" s="45">
        <v>45219</v>
      </c>
      <c r="B7674" s="396" t="s">
        <v>12049</v>
      </c>
      <c r="C7674" s="5" t="s">
        <v>3554</v>
      </c>
      <c r="D7674" s="124" t="s">
        <v>12407</v>
      </c>
      <c r="E7674" s="43">
        <v>50000</v>
      </c>
      <c r="F7674" s="43"/>
      <c r="G7674" s="48">
        <f t="shared" si="192"/>
        <v>270769.46774193528</v>
      </c>
      <c r="H7674" s="388" t="s">
        <v>9567</v>
      </c>
    </row>
    <row r="7675" spans="1:11" x14ac:dyDescent="0.3">
      <c r="A7675" s="45">
        <v>45219</v>
      </c>
      <c r="B7675" s="568" t="s">
        <v>25</v>
      </c>
      <c r="C7675" s="44" t="s">
        <v>25</v>
      </c>
      <c r="D7675" s="44" t="s">
        <v>11434</v>
      </c>
      <c r="E7675" s="28">
        <v>2000</v>
      </c>
      <c r="F7675" s="43"/>
      <c r="G7675" s="48">
        <f t="shared" si="192"/>
        <v>268769.46774193528</v>
      </c>
      <c r="H7675" s="388" t="s">
        <v>9567</v>
      </c>
    </row>
    <row r="7676" spans="1:11" x14ac:dyDescent="0.3">
      <c r="A7676" s="45">
        <v>45219</v>
      </c>
      <c r="B7676" s="396" t="s">
        <v>12049</v>
      </c>
      <c r="C7676" s="5" t="s">
        <v>12379</v>
      </c>
      <c r="D7676" s="124" t="s">
        <v>12405</v>
      </c>
      <c r="E7676" s="43">
        <v>77000</v>
      </c>
      <c r="F7676" s="43"/>
      <c r="G7676" s="48">
        <f t="shared" si="192"/>
        <v>191769.46774193528</v>
      </c>
      <c r="H7676" s="388" t="s">
        <v>9567</v>
      </c>
    </row>
    <row r="7677" spans="1:11" x14ac:dyDescent="0.3">
      <c r="A7677" s="45">
        <v>45219</v>
      </c>
      <c r="B7677" s="396" t="s">
        <v>12049</v>
      </c>
      <c r="C7677" s="5" t="s">
        <v>5793</v>
      </c>
      <c r="D7677" s="124" t="s">
        <v>40</v>
      </c>
      <c r="E7677" s="43">
        <v>1600</v>
      </c>
      <c r="F7677" s="43"/>
      <c r="G7677" s="48">
        <f t="shared" si="192"/>
        <v>190169.46774193528</v>
      </c>
      <c r="H7677" s="388" t="s">
        <v>9567</v>
      </c>
    </row>
    <row r="7678" spans="1:11" x14ac:dyDescent="0.3">
      <c r="A7678" s="45">
        <v>45219</v>
      </c>
      <c r="B7678" s="396" t="s">
        <v>25</v>
      </c>
      <c r="C7678" s="5" t="s">
        <v>12406</v>
      </c>
      <c r="D7678" s="124" t="s">
        <v>12410</v>
      </c>
      <c r="E7678" s="43">
        <v>19000</v>
      </c>
      <c r="F7678" s="43"/>
      <c r="G7678" s="48">
        <f t="shared" si="192"/>
        <v>171169.46774193528</v>
      </c>
      <c r="H7678" s="388" t="s">
        <v>9567</v>
      </c>
      <c r="J7678" s="52">
        <v>9500</v>
      </c>
    </row>
    <row r="7679" spans="1:11" x14ac:dyDescent="0.3">
      <c r="A7679" s="45">
        <v>45219</v>
      </c>
      <c r="B7679" s="396" t="s">
        <v>25</v>
      </c>
      <c r="C7679" s="5" t="s">
        <v>12406</v>
      </c>
      <c r="D7679" s="124" t="s">
        <v>12411</v>
      </c>
      <c r="E7679" s="43">
        <v>1800</v>
      </c>
      <c r="F7679" s="43"/>
      <c r="G7679" s="48">
        <f t="shared" si="192"/>
        <v>169369.46774193528</v>
      </c>
      <c r="H7679" s="388" t="s">
        <v>9567</v>
      </c>
    </row>
    <row r="7680" spans="1:11" x14ac:dyDescent="0.3">
      <c r="A7680" s="45">
        <v>45219</v>
      </c>
      <c r="B7680" s="396" t="s">
        <v>25</v>
      </c>
      <c r="C7680" s="5" t="s">
        <v>12406</v>
      </c>
      <c r="D7680" s="124" t="s">
        <v>12412</v>
      </c>
      <c r="E7680" s="43">
        <v>9500</v>
      </c>
      <c r="F7680" s="43"/>
      <c r="G7680" s="48">
        <f t="shared" si="192"/>
        <v>159869.46774193528</v>
      </c>
      <c r="H7680" s="388" t="s">
        <v>9567</v>
      </c>
    </row>
    <row r="7681" spans="1:11" x14ac:dyDescent="0.3">
      <c r="A7681" s="45">
        <v>45220</v>
      </c>
      <c r="B7681" s="396" t="s">
        <v>12230</v>
      </c>
      <c r="C7681" s="5" t="s">
        <v>12403</v>
      </c>
      <c r="D7681" s="124" t="s">
        <v>12404</v>
      </c>
      <c r="E7681" s="43">
        <v>40000</v>
      </c>
      <c r="F7681" s="43"/>
      <c r="G7681" s="48">
        <f t="shared" si="192"/>
        <v>119869.46774193528</v>
      </c>
      <c r="H7681" s="388" t="s">
        <v>9567</v>
      </c>
      <c r="J7681" s="52">
        <v>19000</v>
      </c>
    </row>
    <row r="7682" spans="1:11" x14ac:dyDescent="0.3">
      <c r="A7682" s="45">
        <v>45220</v>
      </c>
      <c r="B7682" s="396" t="s">
        <v>12050</v>
      </c>
      <c r="C7682" s="5" t="s">
        <v>12379</v>
      </c>
      <c r="D7682" s="124" t="s">
        <v>12408</v>
      </c>
      <c r="E7682" s="43">
        <v>9300</v>
      </c>
      <c r="F7682" s="43"/>
      <c r="G7682" s="48">
        <f t="shared" si="192"/>
        <v>110569.46774193528</v>
      </c>
      <c r="H7682" s="388" t="s">
        <v>9567</v>
      </c>
      <c r="J7682" s="52">
        <v>1800</v>
      </c>
    </row>
    <row r="7683" spans="1:11" x14ac:dyDescent="0.3">
      <c r="A7683" s="45">
        <v>45220</v>
      </c>
      <c r="B7683" s="396" t="s">
        <v>12049</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12045</v>
      </c>
      <c r="C7685" s="5" t="s">
        <v>12413</v>
      </c>
      <c r="D7685" s="124" t="s">
        <v>12414</v>
      </c>
      <c r="E7685" s="43">
        <v>500</v>
      </c>
      <c r="F7685" s="43"/>
      <c r="G7685" s="48">
        <f t="shared" si="192"/>
        <v>108369.46774193528</v>
      </c>
      <c r="H7685" s="388" t="s">
        <v>9567</v>
      </c>
    </row>
    <row r="7686" spans="1:11" x14ac:dyDescent="0.3">
      <c r="A7686" s="45">
        <v>45220</v>
      </c>
      <c r="B7686" s="568" t="s">
        <v>25</v>
      </c>
      <c r="C7686" s="44" t="s">
        <v>25</v>
      </c>
      <c r="D7686" s="44" t="s">
        <v>11434</v>
      </c>
      <c r="E7686" s="28">
        <v>2500</v>
      </c>
      <c r="F7686" s="43"/>
      <c r="G7686" s="48">
        <f t="shared" si="192"/>
        <v>105869.46774193528</v>
      </c>
      <c r="H7686" s="388" t="s">
        <v>9567</v>
      </c>
    </row>
    <row r="7687" spans="1:11" x14ac:dyDescent="0.3">
      <c r="A7687" s="45">
        <v>45220</v>
      </c>
      <c r="B7687" s="396" t="s">
        <v>12045</v>
      </c>
      <c r="C7687" s="5" t="s">
        <v>5793</v>
      </c>
      <c r="D7687" s="124" t="s">
        <v>40</v>
      </c>
      <c r="E7687" s="43">
        <v>1500</v>
      </c>
      <c r="F7687" s="43"/>
      <c r="G7687" s="48">
        <f t="shared" si="192"/>
        <v>104369.46774193528</v>
      </c>
      <c r="H7687" s="388" t="s">
        <v>9567</v>
      </c>
    </row>
    <row r="7688" spans="1:11" x14ac:dyDescent="0.3">
      <c r="A7688" s="45">
        <v>45220</v>
      </c>
      <c r="B7688" s="396" t="s">
        <v>12086</v>
      </c>
      <c r="C7688" s="5" t="s">
        <v>5793</v>
      </c>
      <c r="D7688" s="124" t="s">
        <v>40</v>
      </c>
      <c r="E7688" s="43">
        <v>3000</v>
      </c>
      <c r="F7688" s="43"/>
      <c r="G7688" s="48">
        <f t="shared" si="192"/>
        <v>101369.46774193528</v>
      </c>
      <c r="H7688" s="388" t="s">
        <v>9567</v>
      </c>
    </row>
    <row r="7689" spans="1:11" x14ac:dyDescent="0.3">
      <c r="A7689" s="45">
        <v>45220</v>
      </c>
      <c r="B7689" s="396" t="s">
        <v>12086</v>
      </c>
      <c r="C7689" s="5" t="s">
        <v>5793</v>
      </c>
      <c r="D7689" s="124" t="s">
        <v>40</v>
      </c>
      <c r="E7689" s="43">
        <v>250</v>
      </c>
      <c r="F7689" s="43"/>
      <c r="G7689" s="48">
        <f t="shared" si="192"/>
        <v>101119.46774193528</v>
      </c>
      <c r="H7689" s="388" t="s">
        <v>9567</v>
      </c>
    </row>
    <row r="7690" spans="1:11" x14ac:dyDescent="0.3">
      <c r="A7690" s="45">
        <v>45222</v>
      </c>
      <c r="B7690" s="396" t="s">
        <v>12045</v>
      </c>
      <c r="C7690" s="5" t="s">
        <v>11174</v>
      </c>
      <c r="D7690" s="124" t="s">
        <v>12409</v>
      </c>
      <c r="E7690" s="43">
        <v>95000</v>
      </c>
      <c r="F7690" s="43"/>
      <c r="G7690" s="48">
        <f t="shared" ref="G7690:G7754" si="194">G7689+F7690-E7690</f>
        <v>6119.4677419352811</v>
      </c>
      <c r="H7690" s="388" t="s">
        <v>9567</v>
      </c>
      <c r="J7690" s="52">
        <f>SUM(J7678:J7682)</f>
        <v>30300</v>
      </c>
    </row>
    <row r="7691" spans="1:11" x14ac:dyDescent="0.3">
      <c r="A7691" s="45">
        <v>45223</v>
      </c>
      <c r="B7691" s="396" t="s">
        <v>12086</v>
      </c>
      <c r="C7691" s="5" t="s">
        <v>11174</v>
      </c>
      <c r="D7691" s="124" t="s">
        <v>12419</v>
      </c>
      <c r="E7691" s="43">
        <f>1150+400+1400</f>
        <v>2950</v>
      </c>
      <c r="F7691" s="43"/>
      <c r="G7691" s="48">
        <f t="shared" si="194"/>
        <v>3169.4677419352811</v>
      </c>
      <c r="H7691" s="388" t="s">
        <v>9567</v>
      </c>
    </row>
    <row r="7692" spans="1:11" x14ac:dyDescent="0.3">
      <c r="A7692" s="45">
        <v>45223</v>
      </c>
      <c r="B7692" s="396" t="s">
        <v>25</v>
      </c>
      <c r="C7692" s="5" t="s">
        <v>12351</v>
      </c>
      <c r="D7692" s="124" t="s">
        <v>12418</v>
      </c>
      <c r="E7692" s="43">
        <v>1050</v>
      </c>
      <c r="F7692" s="43"/>
      <c r="G7692" s="48">
        <f t="shared" si="194"/>
        <v>2119.4677419352811</v>
      </c>
      <c r="H7692" s="388" t="s">
        <v>9567</v>
      </c>
    </row>
    <row r="7693" spans="1:11" x14ac:dyDescent="0.3">
      <c r="A7693" s="45">
        <v>45223</v>
      </c>
      <c r="B7693" s="396" t="s">
        <v>12086</v>
      </c>
      <c r="C7693" s="5" t="s">
        <v>30</v>
      </c>
      <c r="D7693" s="124" t="s">
        <v>10637</v>
      </c>
      <c r="E7693" s="43">
        <v>1300</v>
      </c>
      <c r="F7693" s="43"/>
      <c r="G7693" s="48">
        <f t="shared" si="194"/>
        <v>819.46774193528108</v>
      </c>
      <c r="H7693" s="388" t="s">
        <v>9567</v>
      </c>
    </row>
    <row r="7694" spans="1:11" x14ac:dyDescent="0.3">
      <c r="A7694" s="45">
        <v>45223</v>
      </c>
      <c r="B7694" s="568" t="s">
        <v>25</v>
      </c>
      <c r="C7694" s="44" t="s">
        <v>25</v>
      </c>
      <c r="D7694" s="44" t="s">
        <v>11434</v>
      </c>
      <c r="E7694" s="28">
        <v>600</v>
      </c>
      <c r="F7694" s="43"/>
      <c r="G7694" s="48">
        <f t="shared" si="194"/>
        <v>219.46774193528108</v>
      </c>
      <c r="H7694" s="388" t="s">
        <v>9567</v>
      </c>
    </row>
    <row r="7695" spans="1:11" x14ac:dyDescent="0.3">
      <c r="A7695" s="45">
        <v>45223</v>
      </c>
      <c r="B7695" s="565"/>
      <c r="C7695" s="480"/>
      <c r="D7695" s="491" t="s">
        <v>12426</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12427</v>
      </c>
      <c r="E7696" s="43">
        <v>5000</v>
      </c>
      <c r="F7696" s="43"/>
      <c r="G7696" s="48">
        <f t="shared" si="194"/>
        <v>95219.467741935281</v>
      </c>
      <c r="H7696" s="388" t="s">
        <v>9567</v>
      </c>
    </row>
    <row r="7697" spans="1:14" s="387" customFormat="1" x14ac:dyDescent="0.3">
      <c r="A7697" s="45">
        <v>45223</v>
      </c>
      <c r="B7697" s="320" t="s">
        <v>12045</v>
      </c>
      <c r="C7697" s="44" t="s">
        <v>11174</v>
      </c>
      <c r="D7697" s="576" t="s">
        <v>12441</v>
      </c>
      <c r="E7697" s="28">
        <v>28000</v>
      </c>
      <c r="F7697" s="28"/>
      <c r="G7697" s="48">
        <f t="shared" si="194"/>
        <v>67219.467741935281</v>
      </c>
      <c r="H7697" s="388" t="s">
        <v>9567</v>
      </c>
      <c r="I7697" s="155"/>
      <c r="J7697" s="155"/>
      <c r="K7697" s="155"/>
      <c r="N7697" s="155"/>
    </row>
    <row r="7698" spans="1:14" x14ac:dyDescent="0.3">
      <c r="A7698" s="45">
        <v>45224</v>
      </c>
      <c r="B7698" s="565"/>
      <c r="C7698" s="480"/>
      <c r="D7698" s="491" t="s">
        <v>4106</v>
      </c>
      <c r="E7698" s="480"/>
      <c r="F7698" s="28">
        <v>192000</v>
      </c>
      <c r="G7698" s="48">
        <f t="shared" si="194"/>
        <v>259219.46774193528</v>
      </c>
      <c r="H7698" s="388" t="s">
        <v>9567</v>
      </c>
    </row>
    <row r="7699" spans="1:14" x14ac:dyDescent="0.3">
      <c r="A7699" s="45">
        <v>45224</v>
      </c>
      <c r="B7699" s="396" t="s">
        <v>12045</v>
      </c>
      <c r="C7699" s="5" t="s">
        <v>11174</v>
      </c>
      <c r="D7699" s="124" t="s">
        <v>12435</v>
      </c>
      <c r="E7699" s="43">
        <v>45000</v>
      </c>
      <c r="F7699" s="43"/>
      <c r="G7699" s="48">
        <f t="shared" si="194"/>
        <v>214219.46774193528</v>
      </c>
      <c r="H7699" s="388" t="s">
        <v>9567</v>
      </c>
    </row>
    <row r="7700" spans="1:14" x14ac:dyDescent="0.3">
      <c r="A7700" s="45">
        <v>45224</v>
      </c>
      <c r="B7700" s="396" t="s">
        <v>12045</v>
      </c>
      <c r="C7700" s="5" t="s">
        <v>5793</v>
      </c>
      <c r="D7700" s="124" t="s">
        <v>40</v>
      </c>
      <c r="E7700" s="43">
        <v>1000</v>
      </c>
      <c r="F7700" s="43"/>
      <c r="G7700" s="48">
        <f t="shared" si="194"/>
        <v>213219.46774193528</v>
      </c>
      <c r="H7700" s="388" t="s">
        <v>9567</v>
      </c>
    </row>
    <row r="7701" spans="1:14" x14ac:dyDescent="0.3">
      <c r="A7701" s="45">
        <v>45224</v>
      </c>
      <c r="B7701" s="396" t="s">
        <v>12054</v>
      </c>
      <c r="C7701" s="5" t="s">
        <v>14</v>
      </c>
      <c r="D7701" s="124" t="s">
        <v>640</v>
      </c>
      <c r="E7701" s="43">
        <v>1000</v>
      </c>
      <c r="F7701" s="43"/>
      <c r="G7701" s="48">
        <f t="shared" si="194"/>
        <v>212219.46774193528</v>
      </c>
      <c r="H7701" s="388" t="s">
        <v>9567</v>
      </c>
    </row>
    <row r="7702" spans="1:14" x14ac:dyDescent="0.3">
      <c r="A7702" s="45">
        <v>45224</v>
      </c>
      <c r="B7702" s="396" t="s">
        <v>12045</v>
      </c>
      <c r="C7702" s="5" t="s">
        <v>11174</v>
      </c>
      <c r="D7702" s="124" t="s">
        <v>12436</v>
      </c>
      <c r="E7702" s="43">
        <v>25380</v>
      </c>
      <c r="F7702" s="43"/>
      <c r="G7702" s="48">
        <f t="shared" si="194"/>
        <v>186839.46774193528</v>
      </c>
      <c r="H7702" s="388" t="s">
        <v>9567</v>
      </c>
      <c r="J7702" s="52">
        <f>E7713+E7712+E7707+E7706+E7705+E7704+E7703+E7702+E7697</f>
        <v>134290</v>
      </c>
    </row>
    <row r="7703" spans="1:14" x14ac:dyDescent="0.3">
      <c r="A7703" s="45">
        <v>45224</v>
      </c>
      <c r="B7703" s="396" t="s">
        <v>12044</v>
      </c>
      <c r="C7703" s="5" t="s">
        <v>11174</v>
      </c>
      <c r="D7703" s="124" t="s">
        <v>12437</v>
      </c>
      <c r="E7703" s="43">
        <v>34000</v>
      </c>
      <c r="F7703" s="43"/>
      <c r="G7703" s="48">
        <f t="shared" si="194"/>
        <v>152839.46774193528</v>
      </c>
      <c r="H7703" s="388" t="s">
        <v>9567</v>
      </c>
      <c r="J7703" s="52">
        <v>135000</v>
      </c>
    </row>
    <row r="7704" spans="1:14" x14ac:dyDescent="0.3">
      <c r="A7704" s="45">
        <v>45224</v>
      </c>
      <c r="B7704" s="396" t="s">
        <v>11743</v>
      </c>
      <c r="C7704" s="5" t="s">
        <v>11174</v>
      </c>
      <c r="D7704" s="124" t="s">
        <v>12392</v>
      </c>
      <c r="E7704" s="43">
        <v>14025</v>
      </c>
      <c r="F7704" s="43"/>
      <c r="G7704" s="48">
        <f t="shared" si="194"/>
        <v>138814.46774193528</v>
      </c>
      <c r="H7704" s="388" t="s">
        <v>9567</v>
      </c>
      <c r="J7704" s="52">
        <f>J7703-J7702</f>
        <v>710</v>
      </c>
    </row>
    <row r="7705" spans="1:14" x14ac:dyDescent="0.3">
      <c r="A7705" s="45">
        <v>45224</v>
      </c>
      <c r="B7705" s="396" t="s">
        <v>12086</v>
      </c>
      <c r="C7705" s="5" t="s">
        <v>11174</v>
      </c>
      <c r="D7705" s="124" t="s">
        <v>12436</v>
      </c>
      <c r="E7705" s="43">
        <v>4485</v>
      </c>
      <c r="F7705" s="43"/>
      <c r="G7705" s="48">
        <f t="shared" si="194"/>
        <v>134329.46774193528</v>
      </c>
      <c r="H7705" s="388" t="s">
        <v>9567</v>
      </c>
    </row>
    <row r="7706" spans="1:14" x14ac:dyDescent="0.3">
      <c r="A7706" s="45">
        <v>45224</v>
      </c>
      <c r="B7706" s="396" t="s">
        <v>12321</v>
      </c>
      <c r="C7706" s="5" t="s">
        <v>11174</v>
      </c>
      <c r="D7706" s="576" t="s">
        <v>12438</v>
      </c>
      <c r="E7706" s="43">
        <v>19500</v>
      </c>
      <c r="F7706" s="43"/>
      <c r="G7706" s="48">
        <f t="shared" si="194"/>
        <v>114829.46774193528</v>
      </c>
      <c r="H7706" s="388" t="s">
        <v>9567</v>
      </c>
    </row>
    <row r="7707" spans="1:14" x14ac:dyDescent="0.3">
      <c r="A7707" s="45">
        <v>45224</v>
      </c>
      <c r="B7707" s="396" t="s">
        <v>12439</v>
      </c>
      <c r="C7707" s="5" t="s">
        <v>11174</v>
      </c>
      <c r="D7707" s="124" t="s">
        <v>12440</v>
      </c>
      <c r="E7707" s="43">
        <v>8400</v>
      </c>
      <c r="F7707" s="43"/>
      <c r="G7707" s="48">
        <f t="shared" si="194"/>
        <v>106429.46774193528</v>
      </c>
      <c r="H7707" s="388" t="s">
        <v>9567</v>
      </c>
    </row>
    <row r="7708" spans="1:14" x14ac:dyDescent="0.3">
      <c r="A7708" s="45">
        <v>45224</v>
      </c>
      <c r="B7708" s="396" t="s">
        <v>12086</v>
      </c>
      <c r="C7708" s="5" t="s">
        <v>11174</v>
      </c>
      <c r="D7708" s="124" t="s">
        <v>12428</v>
      </c>
      <c r="E7708" s="43">
        <v>8000</v>
      </c>
      <c r="F7708" s="43"/>
      <c r="G7708" s="48">
        <f t="shared" si="194"/>
        <v>98429.467741935281</v>
      </c>
      <c r="H7708" s="388" t="s">
        <v>9567</v>
      </c>
    </row>
    <row r="7709" spans="1:14" x14ac:dyDescent="0.3">
      <c r="A7709" s="45">
        <v>45224</v>
      </c>
      <c r="B7709" s="396" t="s">
        <v>12086</v>
      </c>
      <c r="C7709" s="5" t="s">
        <v>5793</v>
      </c>
      <c r="D7709" s="124" t="s">
        <v>40</v>
      </c>
      <c r="E7709" s="43">
        <v>5000</v>
      </c>
      <c r="F7709" s="43"/>
      <c r="G7709" s="48">
        <f t="shared" si="194"/>
        <v>93429.467741935281</v>
      </c>
      <c r="H7709" s="388" t="s">
        <v>9567</v>
      </c>
      <c r="I7709" s="52">
        <v>120000</v>
      </c>
    </row>
    <row r="7710" spans="1:14" x14ac:dyDescent="0.3">
      <c r="A7710" s="45">
        <v>45224</v>
      </c>
      <c r="B7710" s="396" t="s">
        <v>12044</v>
      </c>
      <c r="C7710" s="5" t="s">
        <v>12122</v>
      </c>
      <c r="D7710" s="124" t="s">
        <v>12433</v>
      </c>
      <c r="E7710" s="43">
        <v>27300</v>
      </c>
      <c r="F7710" s="43"/>
      <c r="G7710" s="48">
        <f t="shared" si="194"/>
        <v>66129.467741935281</v>
      </c>
      <c r="H7710" s="388" t="s">
        <v>9567</v>
      </c>
      <c r="I7710" s="52">
        <v>32000</v>
      </c>
    </row>
    <row r="7711" spans="1:14" x14ac:dyDescent="0.3">
      <c r="A7711" s="45">
        <v>45224</v>
      </c>
      <c r="B7711" s="396" t="s">
        <v>12086</v>
      </c>
      <c r="C7711" s="5" t="s">
        <v>9643</v>
      </c>
      <c r="D7711" s="124" t="s">
        <v>294</v>
      </c>
      <c r="E7711" s="43">
        <v>25000</v>
      </c>
      <c r="F7711" s="43"/>
      <c r="G7711" s="48">
        <f t="shared" si="194"/>
        <v>41129.467741935281</v>
      </c>
      <c r="H7711" s="388" t="s">
        <v>9567</v>
      </c>
      <c r="I7711" s="52">
        <v>27000</v>
      </c>
    </row>
    <row r="7712" spans="1:14" x14ac:dyDescent="0.3">
      <c r="A7712" s="45">
        <v>45224</v>
      </c>
      <c r="B7712" s="396" t="s">
        <v>12044</v>
      </c>
      <c r="C7712" s="5" t="s">
        <v>5793</v>
      </c>
      <c r="D7712" s="124" t="s">
        <v>8924</v>
      </c>
      <c r="E7712" s="43">
        <v>250</v>
      </c>
      <c r="F7712" s="43"/>
      <c r="G7712" s="48">
        <f t="shared" si="194"/>
        <v>40879.467741935281</v>
      </c>
      <c r="H7712" s="388" t="s">
        <v>9567</v>
      </c>
    </row>
    <row r="7713" spans="1:12" x14ac:dyDescent="0.3">
      <c r="A7713" s="45">
        <v>45224</v>
      </c>
      <c r="B7713" s="396" t="s">
        <v>12080</v>
      </c>
      <c r="C7713" s="5" t="s">
        <v>5793</v>
      </c>
      <c r="D7713" s="124" t="s">
        <v>8924</v>
      </c>
      <c r="E7713" s="43">
        <v>250</v>
      </c>
      <c r="F7713" s="43"/>
      <c r="G7713" s="48">
        <f t="shared" si="194"/>
        <v>40629.467741935281</v>
      </c>
      <c r="H7713" s="388" t="s">
        <v>9567</v>
      </c>
    </row>
    <row r="7714" spans="1:12" x14ac:dyDescent="0.3">
      <c r="A7714" s="45">
        <v>45224</v>
      </c>
      <c r="B7714" s="396" t="s">
        <v>11743</v>
      </c>
      <c r="C7714" s="5" t="s">
        <v>54</v>
      </c>
      <c r="D7714" s="124" t="s">
        <v>12430</v>
      </c>
      <c r="E7714" s="43">
        <v>32000</v>
      </c>
      <c r="F7714" s="43"/>
      <c r="G7714" s="48">
        <f t="shared" si="194"/>
        <v>8629.4677419352811</v>
      </c>
      <c r="H7714" s="388" t="s">
        <v>9567</v>
      </c>
      <c r="I7714" s="52">
        <v>25000</v>
      </c>
    </row>
    <row r="7715" spans="1:12" x14ac:dyDescent="0.3">
      <c r="A7715" s="45">
        <v>45224</v>
      </c>
      <c r="B7715" s="396" t="s">
        <v>11505</v>
      </c>
      <c r="C7715" s="5" t="s">
        <v>9330</v>
      </c>
      <c r="D7715" s="124" t="s">
        <v>12429</v>
      </c>
      <c r="E7715" s="43">
        <v>1000</v>
      </c>
      <c r="F7715" s="43"/>
      <c r="G7715" s="48">
        <f t="shared" si="194"/>
        <v>7629.4677419352811</v>
      </c>
      <c r="H7715" s="388" t="s">
        <v>9567</v>
      </c>
      <c r="I7715" s="52">
        <f>SUM(I7709:I7714)</f>
        <v>204000</v>
      </c>
    </row>
    <row r="7716" spans="1:12" x14ac:dyDescent="0.3">
      <c r="A7716" s="45">
        <v>45224</v>
      </c>
      <c r="B7716" s="396"/>
      <c r="C7716" s="5" t="s">
        <v>84</v>
      </c>
      <c r="D7716" s="124" t="s">
        <v>12431</v>
      </c>
      <c r="E7716" s="43">
        <v>4000</v>
      </c>
      <c r="F7716" s="43"/>
      <c r="G7716" s="48">
        <f t="shared" si="194"/>
        <v>3629.4677419352811</v>
      </c>
      <c r="H7716" s="388" t="s">
        <v>9567</v>
      </c>
    </row>
    <row r="7717" spans="1:12" x14ac:dyDescent="0.3">
      <c r="A7717" s="45">
        <v>45224</v>
      </c>
      <c r="B7717" s="396" t="s">
        <v>12044</v>
      </c>
      <c r="C7717" s="5" t="s">
        <v>4122</v>
      </c>
      <c r="D7717" s="124" t="s">
        <v>12432</v>
      </c>
      <c r="E7717" s="43">
        <v>2000</v>
      </c>
      <c r="F7717" s="43"/>
      <c r="G7717" s="48">
        <f t="shared" si="194"/>
        <v>1629.4677419352811</v>
      </c>
      <c r="H7717" s="388" t="s">
        <v>9567</v>
      </c>
    </row>
    <row r="7718" spans="1:12" x14ac:dyDescent="0.3">
      <c r="A7718" s="45">
        <v>45225</v>
      </c>
      <c r="B7718" s="568" t="s">
        <v>25</v>
      </c>
      <c r="C7718" s="44" t="s">
        <v>25</v>
      </c>
      <c r="D7718" s="44" t="s">
        <v>11434</v>
      </c>
      <c r="E7718" s="28">
        <v>1600</v>
      </c>
      <c r="F7718" s="43"/>
      <c r="G7718" s="48">
        <f t="shared" si="194"/>
        <v>29.467741935281083</v>
      </c>
      <c r="H7718" s="388" t="s">
        <v>9567</v>
      </c>
    </row>
    <row r="7719" spans="1:12" x14ac:dyDescent="0.3">
      <c r="A7719" s="45">
        <v>45225</v>
      </c>
      <c r="B7719" s="565"/>
      <c r="C7719" s="480"/>
      <c r="D7719" s="491" t="s">
        <v>4106</v>
      </c>
      <c r="E7719" s="480"/>
      <c r="F7719" s="28">
        <v>300000</v>
      </c>
      <c r="G7719" s="48">
        <f t="shared" si="194"/>
        <v>300029.46774193528</v>
      </c>
      <c r="H7719" s="388" t="s">
        <v>9567</v>
      </c>
    </row>
    <row r="7720" spans="1:12" x14ac:dyDescent="0.3">
      <c r="A7720" s="45">
        <v>45225</v>
      </c>
      <c r="B7720" s="396" t="s">
        <v>12230</v>
      </c>
      <c r="C7720" s="5" t="s">
        <v>1074</v>
      </c>
      <c r="D7720" s="124" t="s">
        <v>12215</v>
      </c>
      <c r="E7720" s="43">
        <v>45373</v>
      </c>
      <c r="F7720" s="43"/>
      <c r="G7720" s="48">
        <f t="shared" si="194"/>
        <v>254656.46774193528</v>
      </c>
      <c r="H7720" s="388" t="s">
        <v>9567</v>
      </c>
    </row>
    <row r="7721" spans="1:12" x14ac:dyDescent="0.3">
      <c r="A7721" s="45">
        <v>45225</v>
      </c>
      <c r="B7721" s="396" t="s">
        <v>25</v>
      </c>
      <c r="C7721" s="5" t="s">
        <v>1074</v>
      </c>
      <c r="D7721" s="124" t="s">
        <v>12215</v>
      </c>
      <c r="E7721" s="43">
        <v>74660</v>
      </c>
      <c r="F7721" s="43"/>
      <c r="G7721" s="48">
        <f t="shared" si="194"/>
        <v>179996.46774193528</v>
      </c>
      <c r="H7721" s="388" t="s">
        <v>9567</v>
      </c>
    </row>
    <row r="7722" spans="1:12" x14ac:dyDescent="0.3">
      <c r="A7722" s="45">
        <v>45225</v>
      </c>
      <c r="B7722" s="396" t="s">
        <v>10319</v>
      </c>
      <c r="C7722" s="5" t="s">
        <v>10996</v>
      </c>
      <c r="D7722" s="124" t="s">
        <v>12442</v>
      </c>
      <c r="E7722" s="43">
        <v>40800</v>
      </c>
      <c r="F7722" s="43"/>
      <c r="G7722" s="48">
        <f t="shared" si="194"/>
        <v>139196.46774193528</v>
      </c>
      <c r="H7722" s="388" t="s">
        <v>9567</v>
      </c>
      <c r="L7722" s="575"/>
    </row>
    <row r="7723" spans="1:12" x14ac:dyDescent="0.3">
      <c r="A7723" s="45">
        <v>45225</v>
      </c>
      <c r="B7723" s="396" t="s">
        <v>12045</v>
      </c>
      <c r="C7723" s="5" t="s">
        <v>12443</v>
      </c>
      <c r="D7723" s="124" t="s">
        <v>12444</v>
      </c>
      <c r="E7723" s="43">
        <v>80000</v>
      </c>
      <c r="F7723" s="43"/>
      <c r="G7723" s="48">
        <f t="shared" si="194"/>
        <v>59196.467741935281</v>
      </c>
      <c r="H7723" s="388" t="s">
        <v>9567</v>
      </c>
    </row>
    <row r="7724" spans="1:12" x14ac:dyDescent="0.3">
      <c r="A7724" s="45">
        <v>45225</v>
      </c>
      <c r="B7724" s="396"/>
      <c r="C7724" s="5" t="s">
        <v>14</v>
      </c>
      <c r="D7724" s="124" t="s">
        <v>12445</v>
      </c>
      <c r="E7724" s="43">
        <v>12200</v>
      </c>
      <c r="F7724" s="43"/>
      <c r="G7724" s="48">
        <f t="shared" si="194"/>
        <v>46996.467741935281</v>
      </c>
      <c r="H7724" s="388" t="s">
        <v>9567</v>
      </c>
    </row>
    <row r="7725" spans="1:12" x14ac:dyDescent="0.3">
      <c r="A7725" s="45">
        <v>45225</v>
      </c>
      <c r="B7725" s="396"/>
      <c r="C7725" s="5" t="s">
        <v>14</v>
      </c>
      <c r="D7725" s="124" t="s">
        <v>12446</v>
      </c>
      <c r="E7725" s="43">
        <v>11150</v>
      </c>
      <c r="F7725" s="43"/>
      <c r="G7725" s="48">
        <f t="shared" si="194"/>
        <v>35846.467741935281</v>
      </c>
      <c r="H7725" s="388" t="s">
        <v>9567</v>
      </c>
      <c r="L7725" s="52"/>
    </row>
    <row r="7726" spans="1:12" x14ac:dyDescent="0.3">
      <c r="A7726" s="45">
        <v>45225</v>
      </c>
      <c r="B7726" s="396" t="s">
        <v>12050</v>
      </c>
      <c r="C7726" s="5" t="s">
        <v>107</v>
      </c>
      <c r="D7726" s="124" t="s">
        <v>5813</v>
      </c>
      <c r="E7726" s="43">
        <v>5000</v>
      </c>
      <c r="F7726" s="43"/>
      <c r="G7726" s="48">
        <f t="shared" si="194"/>
        <v>30846.467741935281</v>
      </c>
      <c r="H7726" s="388" t="s">
        <v>9567</v>
      </c>
    </row>
    <row r="7727" spans="1:12" x14ac:dyDescent="0.3">
      <c r="A7727" s="45">
        <v>45225</v>
      </c>
      <c r="B7727" s="396" t="s">
        <v>12439</v>
      </c>
      <c r="C7727" s="5" t="s">
        <v>11174</v>
      </c>
      <c r="D7727" s="124" t="s">
        <v>12447</v>
      </c>
      <c r="E7727" s="43">
        <v>1200</v>
      </c>
      <c r="F7727" s="43"/>
      <c r="G7727" s="48">
        <f t="shared" si="194"/>
        <v>29646.467741935281</v>
      </c>
      <c r="H7727" s="388" t="s">
        <v>9567</v>
      </c>
    </row>
    <row r="7728" spans="1:12" x14ac:dyDescent="0.3">
      <c r="A7728" s="45">
        <v>45225</v>
      </c>
      <c r="B7728" s="396" t="s">
        <v>12086</v>
      </c>
      <c r="C7728" s="5" t="s">
        <v>9794</v>
      </c>
      <c r="D7728" s="124" t="s">
        <v>40</v>
      </c>
      <c r="E7728" s="43">
        <v>2670</v>
      </c>
      <c r="F7728" s="43"/>
      <c r="G7728" s="48">
        <f t="shared" si="194"/>
        <v>26976.467741935281</v>
      </c>
      <c r="H7728" s="388" t="s">
        <v>9567</v>
      </c>
    </row>
    <row r="7729" spans="1:12" x14ac:dyDescent="0.3">
      <c r="A7729" s="45">
        <v>45225</v>
      </c>
      <c r="B7729" s="396" t="s">
        <v>12045</v>
      </c>
      <c r="C7729" s="5" t="s">
        <v>5793</v>
      </c>
      <c r="D7729" s="124" t="s">
        <v>40</v>
      </c>
      <c r="E7729" s="43">
        <v>4000</v>
      </c>
      <c r="F7729" s="43"/>
      <c r="G7729" s="48">
        <f t="shared" si="194"/>
        <v>22976.467741935281</v>
      </c>
      <c r="H7729" s="388" t="s">
        <v>9567</v>
      </c>
    </row>
    <row r="7730" spans="1:12" x14ac:dyDescent="0.3">
      <c r="A7730" s="45">
        <v>45225</v>
      </c>
      <c r="B7730" s="396" t="s">
        <v>12086</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12448</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12086</v>
      </c>
      <c r="C7733" s="5" t="s">
        <v>5793</v>
      </c>
      <c r="D7733" s="124" t="s">
        <v>8924</v>
      </c>
      <c r="E7733" s="43">
        <v>500</v>
      </c>
      <c r="F7733" s="43"/>
      <c r="G7733" s="48">
        <f t="shared" si="194"/>
        <v>6276.4677419352811</v>
      </c>
      <c r="H7733" s="388" t="s">
        <v>9567</v>
      </c>
    </row>
    <row r="7734" spans="1:12" x14ac:dyDescent="0.3">
      <c r="A7734" s="45">
        <v>45225</v>
      </c>
      <c r="B7734" s="568" t="s">
        <v>25</v>
      </c>
      <c r="C7734" s="44" t="s">
        <v>25</v>
      </c>
      <c r="D7734" s="44" t="s">
        <v>11434</v>
      </c>
      <c r="E7734" s="43">
        <v>4000</v>
      </c>
      <c r="F7734" s="43"/>
      <c r="G7734" s="48">
        <f t="shared" si="194"/>
        <v>2276.4677419352811</v>
      </c>
      <c r="H7734" s="388" t="s">
        <v>9567</v>
      </c>
    </row>
    <row r="7735" spans="1:12" x14ac:dyDescent="0.3">
      <c r="A7735" s="45">
        <v>45226</v>
      </c>
      <c r="B7735" s="565"/>
      <c r="C7735" s="480"/>
      <c r="D7735" s="491" t="s">
        <v>4106</v>
      </c>
      <c r="E7735" s="480"/>
      <c r="F7735" s="28">
        <v>150000</v>
      </c>
      <c r="G7735" s="48">
        <f t="shared" si="194"/>
        <v>152276.46774193528</v>
      </c>
      <c r="H7735" s="388" t="s">
        <v>9567</v>
      </c>
    </row>
    <row r="7736" spans="1:12" x14ac:dyDescent="0.3">
      <c r="A7736" s="45">
        <v>45227</v>
      </c>
      <c r="B7736" s="396"/>
      <c r="C7736" s="5" t="s">
        <v>84</v>
      </c>
      <c r="D7736" s="124" t="s">
        <v>12454</v>
      </c>
      <c r="E7736" s="43">
        <v>30000</v>
      </c>
      <c r="F7736" s="43"/>
      <c r="G7736" s="48">
        <f t="shared" si="194"/>
        <v>122276.46774193528</v>
      </c>
      <c r="H7736" s="388" t="s">
        <v>9567</v>
      </c>
    </row>
    <row r="7737" spans="1:12" x14ac:dyDescent="0.3">
      <c r="A7737" s="45">
        <v>45227</v>
      </c>
      <c r="B7737" s="396" t="s">
        <v>12054</v>
      </c>
      <c r="C7737" s="5" t="s">
        <v>9758</v>
      </c>
      <c r="D7737" s="124" t="s">
        <v>12455</v>
      </c>
      <c r="E7737" s="43">
        <v>20000</v>
      </c>
      <c r="F7737" s="43"/>
      <c r="G7737" s="48">
        <f t="shared" si="194"/>
        <v>102276.46774193528</v>
      </c>
      <c r="H7737" s="388" t="s">
        <v>9567</v>
      </c>
    </row>
    <row r="7738" spans="1:12" x14ac:dyDescent="0.3">
      <c r="A7738" s="45">
        <v>45227</v>
      </c>
      <c r="B7738" s="396" t="s">
        <v>10601</v>
      </c>
      <c r="C7738" s="5" t="s">
        <v>9758</v>
      </c>
      <c r="D7738" s="124" t="s">
        <v>12480</v>
      </c>
      <c r="E7738" s="43">
        <v>10000</v>
      </c>
      <c r="F7738" s="43"/>
      <c r="G7738" s="48">
        <f t="shared" si="194"/>
        <v>92276.467741935281</v>
      </c>
      <c r="H7738" s="388" t="s">
        <v>9567</v>
      </c>
    </row>
    <row r="7739" spans="1:12" x14ac:dyDescent="0.3">
      <c r="A7739" s="45">
        <v>45227</v>
      </c>
      <c r="B7739" s="396" t="s">
        <v>12046</v>
      </c>
      <c r="C7739" s="5" t="s">
        <v>12351</v>
      </c>
      <c r="D7739" s="124" t="s">
        <v>12481</v>
      </c>
      <c r="E7739" s="43">
        <v>3000</v>
      </c>
      <c r="F7739" s="43"/>
      <c r="G7739" s="48">
        <f t="shared" si="194"/>
        <v>89276.467741935281</v>
      </c>
      <c r="H7739" s="388" t="s">
        <v>9567</v>
      </c>
    </row>
    <row r="7740" spans="1:12" x14ac:dyDescent="0.3">
      <c r="A7740" s="45">
        <v>45227</v>
      </c>
      <c r="B7740" s="396" t="s">
        <v>12439</v>
      </c>
      <c r="C7740" s="5" t="s">
        <v>11174</v>
      </c>
      <c r="D7740" s="124" t="s">
        <v>12456</v>
      </c>
      <c r="E7740" s="43">
        <v>1600</v>
      </c>
      <c r="F7740" s="43"/>
      <c r="G7740" s="48">
        <f t="shared" si="194"/>
        <v>87676.467741935281</v>
      </c>
      <c r="H7740" s="388" t="s">
        <v>9567</v>
      </c>
    </row>
    <row r="7741" spans="1:12" x14ac:dyDescent="0.3">
      <c r="A7741" s="45">
        <v>45227</v>
      </c>
      <c r="B7741" s="396" t="s">
        <v>12086</v>
      </c>
      <c r="C7741" s="5" t="s">
        <v>11174</v>
      </c>
      <c r="D7741" s="124" t="s">
        <v>10822</v>
      </c>
      <c r="E7741" s="43">
        <v>3700</v>
      </c>
      <c r="F7741" s="43"/>
      <c r="G7741" s="48">
        <f t="shared" si="194"/>
        <v>83976.467741935281</v>
      </c>
      <c r="H7741" s="388" t="s">
        <v>9567</v>
      </c>
    </row>
    <row r="7742" spans="1:12" x14ac:dyDescent="0.3">
      <c r="A7742" s="45">
        <v>45227</v>
      </c>
      <c r="B7742" s="568" t="s">
        <v>25</v>
      </c>
      <c r="C7742" s="44" t="s">
        <v>25</v>
      </c>
      <c r="D7742" s="44" t="s">
        <v>11434</v>
      </c>
      <c r="E7742" s="43">
        <v>4000</v>
      </c>
      <c r="F7742" s="43"/>
      <c r="G7742" s="48">
        <f t="shared" si="194"/>
        <v>79976.467741935281</v>
      </c>
      <c r="H7742" s="388" t="s">
        <v>9567</v>
      </c>
    </row>
    <row r="7743" spans="1:12" x14ac:dyDescent="0.3">
      <c r="A7743" s="45">
        <v>45227</v>
      </c>
      <c r="B7743" s="577" t="s">
        <v>12044</v>
      </c>
      <c r="C7743" s="219" t="s">
        <v>9758</v>
      </c>
      <c r="D7743" s="578" t="s">
        <v>12457</v>
      </c>
      <c r="E7743" s="220">
        <v>10500</v>
      </c>
      <c r="F7743" s="43"/>
      <c r="G7743" s="48">
        <f t="shared" si="194"/>
        <v>69476.467741935281</v>
      </c>
      <c r="H7743" s="388" t="s">
        <v>9567</v>
      </c>
      <c r="K7743" s="52">
        <v>105000</v>
      </c>
    </row>
    <row r="7744" spans="1:12" x14ac:dyDescent="0.3">
      <c r="A7744" s="45">
        <v>45227</v>
      </c>
      <c r="B7744" s="396" t="s">
        <v>12321</v>
      </c>
      <c r="C7744" s="5" t="s">
        <v>11174</v>
      </c>
      <c r="D7744" s="124" t="s">
        <v>12458</v>
      </c>
      <c r="E7744" s="43">
        <v>280</v>
      </c>
      <c r="F7744" s="43"/>
      <c r="G7744" s="48">
        <f t="shared" si="194"/>
        <v>69196.467741935281</v>
      </c>
      <c r="H7744" s="388" t="s">
        <v>9567</v>
      </c>
      <c r="K7744" s="52">
        <v>35400</v>
      </c>
    </row>
    <row r="7745" spans="1:11" x14ac:dyDescent="0.3">
      <c r="A7745" s="45">
        <v>45227</v>
      </c>
      <c r="B7745" s="396" t="s">
        <v>12321</v>
      </c>
      <c r="C7745" s="5" t="s">
        <v>5793</v>
      </c>
      <c r="D7745" s="124" t="s">
        <v>40</v>
      </c>
      <c r="E7745" s="43">
        <v>3000</v>
      </c>
      <c r="F7745" s="43"/>
      <c r="G7745" s="48">
        <f t="shared" si="194"/>
        <v>66196.467741935281</v>
      </c>
      <c r="H7745" s="388" t="s">
        <v>9567</v>
      </c>
      <c r="K7745" s="52">
        <v>57000</v>
      </c>
    </row>
    <row r="7746" spans="1:11" x14ac:dyDescent="0.3">
      <c r="A7746" s="45">
        <v>45227</v>
      </c>
      <c r="B7746" s="396" t="s">
        <v>12050</v>
      </c>
      <c r="C7746" s="5" t="s">
        <v>5793</v>
      </c>
      <c r="D7746" s="124" t="s">
        <v>40</v>
      </c>
      <c r="E7746" s="43">
        <v>3000</v>
      </c>
      <c r="F7746" s="43"/>
      <c r="G7746" s="48">
        <f t="shared" si="194"/>
        <v>63196.467741935281</v>
      </c>
      <c r="H7746" s="388" t="s">
        <v>9567</v>
      </c>
      <c r="K7746" s="52">
        <v>390000</v>
      </c>
    </row>
    <row r="7747" spans="1:11" x14ac:dyDescent="0.3">
      <c r="A7747" s="45">
        <v>45227</v>
      </c>
      <c r="B7747" s="396" t="s">
        <v>12086</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12462</v>
      </c>
      <c r="E7748" s="43">
        <v>35150</v>
      </c>
      <c r="F7748" s="43"/>
      <c r="G7748" s="48">
        <f t="shared" si="194"/>
        <v>25046.467741935281</v>
      </c>
      <c r="H7748" s="388" t="s">
        <v>9567</v>
      </c>
      <c r="K7748" s="52">
        <v>1500</v>
      </c>
    </row>
    <row r="7749" spans="1:11" x14ac:dyDescent="0.3">
      <c r="A7749" s="45">
        <v>45227</v>
      </c>
      <c r="B7749" s="565"/>
      <c r="C7749" s="480"/>
      <c r="D7749" s="491" t="s">
        <v>5431</v>
      </c>
      <c r="E7749" s="480"/>
      <c r="F7749" s="28">
        <v>200000</v>
      </c>
      <c r="G7749" s="48">
        <f t="shared" si="194"/>
        <v>225046.46774193528</v>
      </c>
      <c r="H7749" s="388" t="s">
        <v>9567</v>
      </c>
      <c r="K7749" s="52">
        <v>529000</v>
      </c>
    </row>
    <row r="7750" spans="1:11" x14ac:dyDescent="0.3">
      <c r="A7750" s="45">
        <v>45227</v>
      </c>
      <c r="B7750" s="396" t="s">
        <v>11505</v>
      </c>
      <c r="C7750" s="5" t="s">
        <v>12379</v>
      </c>
      <c r="D7750" s="124" t="s">
        <v>12459</v>
      </c>
      <c r="E7750" s="43">
        <v>850</v>
      </c>
      <c r="F7750" s="43"/>
      <c r="G7750" s="48">
        <f t="shared" si="194"/>
        <v>224196.46774193528</v>
      </c>
      <c r="H7750" s="388" t="s">
        <v>9567</v>
      </c>
      <c r="K7750" s="52">
        <v>6000</v>
      </c>
    </row>
    <row r="7751" spans="1:11" x14ac:dyDescent="0.3">
      <c r="A7751" s="45">
        <v>45227</v>
      </c>
      <c r="B7751" s="396" t="s">
        <v>12439</v>
      </c>
      <c r="C7751" s="5" t="s">
        <v>12379</v>
      </c>
      <c r="D7751" s="124" t="s">
        <v>12460</v>
      </c>
      <c r="E7751" s="43">
        <v>2340</v>
      </c>
      <c r="F7751" s="43"/>
      <c r="G7751" s="48">
        <f t="shared" si="194"/>
        <v>221856.46774193528</v>
      </c>
      <c r="H7751" s="388" t="s">
        <v>9567</v>
      </c>
      <c r="I7751" s="52">
        <v>2000</v>
      </c>
      <c r="K7751" s="52">
        <v>72682</v>
      </c>
    </row>
    <row r="7752" spans="1:11" x14ac:dyDescent="0.3">
      <c r="A7752" s="45">
        <v>45227</v>
      </c>
      <c r="B7752" s="396" t="s">
        <v>12439</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12044</v>
      </c>
      <c r="C7753" s="5" t="s">
        <v>11174</v>
      </c>
      <c r="D7753" s="124" t="s">
        <v>12461</v>
      </c>
      <c r="E7753" s="43">
        <v>600</v>
      </c>
      <c r="F7753" s="43"/>
      <c r="G7753" s="48">
        <f t="shared" si="194"/>
        <v>221056.46774193528</v>
      </c>
      <c r="H7753" s="388" t="s">
        <v>9567</v>
      </c>
      <c r="I7753" s="52">
        <f>I7751-I7752</f>
        <v>1150</v>
      </c>
    </row>
    <row r="7754" spans="1:11" x14ac:dyDescent="0.3">
      <c r="A7754" s="45">
        <v>45227</v>
      </c>
      <c r="B7754" s="396" t="s">
        <v>12050</v>
      </c>
      <c r="C7754" s="5" t="s">
        <v>11174</v>
      </c>
      <c r="D7754" s="124" t="s">
        <v>12463</v>
      </c>
      <c r="E7754" s="43">
        <v>5450</v>
      </c>
      <c r="F7754" s="43"/>
      <c r="G7754" s="48">
        <f t="shared" si="194"/>
        <v>215606.46774193528</v>
      </c>
      <c r="H7754" s="388" t="s">
        <v>9567</v>
      </c>
      <c r="I7754" s="52">
        <v>340</v>
      </c>
      <c r="K7754" s="52">
        <f>SUM(K7743:K7753)</f>
        <v>1304652</v>
      </c>
    </row>
    <row r="7755" spans="1:11" x14ac:dyDescent="0.3">
      <c r="A7755" s="45">
        <v>45227</v>
      </c>
      <c r="B7755" s="396" t="s">
        <v>12439</v>
      </c>
      <c r="C7755" s="5" t="s">
        <v>12466</v>
      </c>
      <c r="D7755" s="124" t="s">
        <v>12467</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12468</v>
      </c>
      <c r="E7756" s="43">
        <v>1000</v>
      </c>
      <c r="F7756" s="43"/>
      <c r="G7756" s="48">
        <f t="shared" si="195"/>
        <v>213306.46774193528</v>
      </c>
      <c r="H7756" s="388" t="s">
        <v>9567</v>
      </c>
      <c r="K7756" s="52">
        <f>K7754-K7755</f>
        <v>1173652</v>
      </c>
    </row>
    <row r="7757" spans="1:11" x14ac:dyDescent="0.3">
      <c r="A7757" s="45">
        <v>45229</v>
      </c>
      <c r="B7757" s="396"/>
      <c r="C7757" s="5" t="s">
        <v>84</v>
      </c>
      <c r="D7757" s="124" t="s">
        <v>12469</v>
      </c>
      <c r="E7757" s="43">
        <v>1000</v>
      </c>
      <c r="F7757" s="43"/>
      <c r="G7757" s="48">
        <f t="shared" si="195"/>
        <v>212306.46774193528</v>
      </c>
      <c r="H7757" s="388" t="s">
        <v>9567</v>
      </c>
      <c r="K7757" s="52">
        <v>53800</v>
      </c>
    </row>
    <row r="7758" spans="1:11" x14ac:dyDescent="0.3">
      <c r="A7758" s="45">
        <v>45229</v>
      </c>
      <c r="B7758" s="396" t="s">
        <v>12157</v>
      </c>
      <c r="C7758" s="5" t="s">
        <v>12351</v>
      </c>
      <c r="D7758" s="124" t="s">
        <v>12470</v>
      </c>
      <c r="E7758" s="43">
        <v>500</v>
      </c>
      <c r="F7758" s="43"/>
      <c r="G7758" s="48">
        <f t="shared" si="195"/>
        <v>211806.46774193528</v>
      </c>
      <c r="H7758" s="388" t="s">
        <v>9567</v>
      </c>
      <c r="K7758" s="52">
        <f>K7756-K7757</f>
        <v>1119852</v>
      </c>
    </row>
    <row r="7759" spans="1:11" x14ac:dyDescent="0.3">
      <c r="A7759" s="45">
        <v>45229</v>
      </c>
      <c r="B7759" s="396" t="s">
        <v>12044</v>
      </c>
      <c r="C7759" s="5" t="s">
        <v>5793</v>
      </c>
      <c r="D7759" s="124" t="s">
        <v>40</v>
      </c>
      <c r="E7759" s="43">
        <v>2000</v>
      </c>
      <c r="F7759" s="43"/>
      <c r="G7759" s="48">
        <f t="shared" si="195"/>
        <v>209806.46774193528</v>
      </c>
      <c r="H7759" s="388" t="s">
        <v>9567</v>
      </c>
      <c r="K7759" s="52">
        <v>200000</v>
      </c>
    </row>
    <row r="7760" spans="1:11" x14ac:dyDescent="0.3">
      <c r="A7760" s="45">
        <v>45229</v>
      </c>
      <c r="B7760" s="396" t="s">
        <v>11505</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12439</v>
      </c>
      <c r="C7761" s="5" t="s">
        <v>11174</v>
      </c>
      <c r="D7761" s="124" t="s">
        <v>12473</v>
      </c>
      <c r="E7761" s="43">
        <v>80000</v>
      </c>
      <c r="F7761" s="43"/>
      <c r="G7761" s="48">
        <f t="shared" si="195"/>
        <v>126806.46774193528</v>
      </c>
      <c r="H7761" s="388" t="s">
        <v>9567</v>
      </c>
    </row>
    <row r="7762" spans="1:9" x14ac:dyDescent="0.3">
      <c r="A7762" s="45">
        <v>45229</v>
      </c>
      <c r="B7762" s="396" t="s">
        <v>12045</v>
      </c>
      <c r="C7762" s="5" t="s">
        <v>11174</v>
      </c>
      <c r="D7762" s="124" t="s">
        <v>12479</v>
      </c>
      <c r="E7762" s="43">
        <v>16000</v>
      </c>
      <c r="F7762" s="43"/>
      <c r="G7762" s="48">
        <f t="shared" si="195"/>
        <v>110806.46774193528</v>
      </c>
      <c r="H7762" s="388" t="s">
        <v>9567</v>
      </c>
    </row>
    <row r="7763" spans="1:9" x14ac:dyDescent="0.3">
      <c r="A7763" s="45">
        <v>45229</v>
      </c>
      <c r="B7763" s="396" t="s">
        <v>12086</v>
      </c>
      <c r="C7763" s="5" t="s">
        <v>11174</v>
      </c>
      <c r="D7763" s="124" t="s">
        <v>12479</v>
      </c>
      <c r="E7763" s="43">
        <v>39000</v>
      </c>
      <c r="F7763" s="43"/>
      <c r="G7763" s="48">
        <f t="shared" si="195"/>
        <v>71806.467741935281</v>
      </c>
      <c r="H7763" s="388" t="s">
        <v>9567</v>
      </c>
    </row>
    <row r="7764" spans="1:9" x14ac:dyDescent="0.3">
      <c r="A7764" s="45">
        <v>45229</v>
      </c>
      <c r="B7764" s="396" t="s">
        <v>12439</v>
      </c>
      <c r="C7764" s="5" t="s">
        <v>5793</v>
      </c>
      <c r="D7764" s="124" t="s">
        <v>40</v>
      </c>
      <c r="E7764" s="43">
        <v>2700</v>
      </c>
      <c r="F7764" s="43"/>
      <c r="G7764" s="48">
        <f>G7763+F7764-E7764</f>
        <v>69106.467741935281</v>
      </c>
      <c r="H7764" s="388" t="s">
        <v>9567</v>
      </c>
    </row>
    <row r="7765" spans="1:9" x14ac:dyDescent="0.3">
      <c r="A7765" s="45">
        <v>45229</v>
      </c>
      <c r="B7765" s="396" t="s">
        <v>12049</v>
      </c>
      <c r="C7765" s="5" t="s">
        <v>5793</v>
      </c>
      <c r="D7765" s="124" t="s">
        <v>40</v>
      </c>
      <c r="E7765" s="43">
        <v>1300</v>
      </c>
      <c r="F7765" s="43"/>
      <c r="G7765" s="48">
        <f t="shared" si="195"/>
        <v>67806.467741935281</v>
      </c>
      <c r="H7765" s="388" t="s">
        <v>9567</v>
      </c>
    </row>
    <row r="7766" spans="1:9" x14ac:dyDescent="0.3">
      <c r="A7766" s="45">
        <v>45229</v>
      </c>
      <c r="B7766" s="396" t="s">
        <v>12044</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12474</v>
      </c>
      <c r="E7767" s="43">
        <f>3900*7</f>
        <v>27300</v>
      </c>
      <c r="F7767" s="43"/>
      <c r="G7767" s="48">
        <f t="shared" si="195"/>
        <v>39006.467741935281</v>
      </c>
      <c r="H7767" s="388" t="s">
        <v>9567</v>
      </c>
    </row>
    <row r="7768" spans="1:9" x14ac:dyDescent="0.3">
      <c r="A7768" s="45">
        <v>45229</v>
      </c>
      <c r="B7768" s="396"/>
      <c r="C7768" s="5" t="s">
        <v>11174</v>
      </c>
      <c r="D7768" s="124" t="s">
        <v>12475</v>
      </c>
      <c r="E7768" s="43">
        <f>1800*8</f>
        <v>14400</v>
      </c>
      <c r="F7768" s="43"/>
      <c r="G7768" s="48">
        <f t="shared" si="195"/>
        <v>24606.467741935281</v>
      </c>
      <c r="H7768" s="388" t="s">
        <v>9567</v>
      </c>
    </row>
    <row r="7769" spans="1:9" x14ac:dyDescent="0.3">
      <c r="A7769" s="45">
        <v>45229</v>
      </c>
      <c r="B7769" s="396" t="s">
        <v>12157</v>
      </c>
      <c r="C7769" s="5" t="s">
        <v>9747</v>
      </c>
      <c r="D7769" s="124" t="s">
        <v>12477</v>
      </c>
      <c r="E7769" s="43">
        <v>20000</v>
      </c>
      <c r="F7769" s="43"/>
      <c r="G7769" s="48">
        <f t="shared" si="195"/>
        <v>4606.4677419352811</v>
      </c>
      <c r="H7769" s="388" t="s">
        <v>9567</v>
      </c>
    </row>
    <row r="7770" spans="1:9" x14ac:dyDescent="0.3">
      <c r="A7770" s="45">
        <v>45230</v>
      </c>
      <c r="B7770" s="396" t="s">
        <v>12086</v>
      </c>
      <c r="C7770" s="5" t="s">
        <v>5793</v>
      </c>
      <c r="D7770" s="124" t="s">
        <v>40</v>
      </c>
      <c r="E7770" s="43">
        <v>3000</v>
      </c>
      <c r="F7770" s="43"/>
      <c r="G7770" s="48">
        <f t="shared" si="195"/>
        <v>1606.4677419352811</v>
      </c>
      <c r="H7770" s="388" t="s">
        <v>9567</v>
      </c>
    </row>
    <row r="7771" spans="1:9" x14ac:dyDescent="0.3">
      <c r="A7771" s="45">
        <v>45230</v>
      </c>
      <c r="B7771" s="565"/>
      <c r="C7771" s="480"/>
      <c r="D7771" s="491" t="s">
        <v>4106</v>
      </c>
      <c r="E7771" s="480"/>
      <c r="F7771" s="28">
        <v>200000</v>
      </c>
      <c r="G7771" s="48">
        <f t="shared" si="195"/>
        <v>201606.46774193528</v>
      </c>
      <c r="H7771" s="388" t="s">
        <v>9567</v>
      </c>
    </row>
    <row r="7772" spans="1:9" x14ac:dyDescent="0.3">
      <c r="A7772" s="45">
        <v>45230</v>
      </c>
      <c r="B7772" s="396" t="s">
        <v>12483</v>
      </c>
      <c r="C7772" s="5" t="s">
        <v>11174</v>
      </c>
      <c r="D7772" s="124" t="s">
        <v>12478</v>
      </c>
      <c r="E7772" s="43">
        <v>33600</v>
      </c>
      <c r="F7772" s="43"/>
      <c r="G7772" s="48">
        <f t="shared" si="195"/>
        <v>168006.46774193528</v>
      </c>
      <c r="H7772" s="388" t="s">
        <v>9567</v>
      </c>
    </row>
    <row r="7773" spans="1:9" x14ac:dyDescent="0.3">
      <c r="A7773" s="45">
        <v>45230</v>
      </c>
      <c r="B7773" s="396" t="s">
        <v>12050</v>
      </c>
      <c r="C7773" s="5" t="s">
        <v>11174</v>
      </c>
      <c r="D7773" s="124" t="s">
        <v>12001</v>
      </c>
      <c r="E7773" s="43">
        <v>8700</v>
      </c>
      <c r="F7773" s="43"/>
      <c r="G7773" s="48">
        <f t="shared" si="195"/>
        <v>159306.46774193528</v>
      </c>
      <c r="H7773" s="388" t="s">
        <v>9567</v>
      </c>
    </row>
    <row r="7774" spans="1:9" x14ac:dyDescent="0.3">
      <c r="A7774" s="45">
        <v>45230</v>
      </c>
      <c r="B7774" s="396" t="s">
        <v>12483</v>
      </c>
      <c r="C7774" s="5" t="s">
        <v>11174</v>
      </c>
      <c r="D7774" s="124" t="s">
        <v>12484</v>
      </c>
      <c r="E7774" s="43">
        <v>10000</v>
      </c>
      <c r="F7774" s="43"/>
      <c r="G7774" s="48">
        <f t="shared" si="195"/>
        <v>149306.46774193528</v>
      </c>
      <c r="H7774" s="388" t="s">
        <v>9567</v>
      </c>
    </row>
    <row r="7775" spans="1:9" x14ac:dyDescent="0.3">
      <c r="A7775" s="45">
        <v>45230</v>
      </c>
      <c r="B7775" s="396" t="s">
        <v>10319</v>
      </c>
      <c r="C7775" s="5" t="s">
        <v>11174</v>
      </c>
      <c r="D7775" s="124" t="s">
        <v>12478</v>
      </c>
      <c r="E7775" s="43">
        <v>28000</v>
      </c>
      <c r="F7775" s="43"/>
      <c r="G7775" s="48">
        <f t="shared" si="195"/>
        <v>121306.46774193528</v>
      </c>
      <c r="H7775" s="388" t="s">
        <v>9567</v>
      </c>
    </row>
    <row r="7776" spans="1:9" x14ac:dyDescent="0.3">
      <c r="A7776" s="45">
        <v>45230</v>
      </c>
      <c r="B7776" s="396" t="s">
        <v>12044</v>
      </c>
      <c r="C7776" s="5" t="s">
        <v>11174</v>
      </c>
      <c r="D7776" s="124" t="s">
        <v>12287</v>
      </c>
      <c r="E7776" s="43">
        <v>2400</v>
      </c>
      <c r="F7776" s="43"/>
      <c r="G7776" s="48">
        <f t="shared" si="195"/>
        <v>118906.46774193528</v>
      </c>
      <c r="H7776" s="388" t="s">
        <v>9567</v>
      </c>
      <c r="I7776" s="52">
        <v>250</v>
      </c>
    </row>
    <row r="7777" spans="1:8" x14ac:dyDescent="0.3">
      <c r="A7777" s="45">
        <v>45230</v>
      </c>
      <c r="B7777" s="396" t="s">
        <v>12044</v>
      </c>
      <c r="C7777" s="5" t="s">
        <v>11174</v>
      </c>
      <c r="D7777" s="124" t="s">
        <v>12485</v>
      </c>
      <c r="E7777" s="43">
        <v>4180</v>
      </c>
      <c r="F7777" s="43"/>
      <c r="G7777" s="48">
        <f t="shared" si="195"/>
        <v>114726.46774193528</v>
      </c>
      <c r="H7777" s="388" t="s">
        <v>9567</v>
      </c>
    </row>
    <row r="7778" spans="1:8" x14ac:dyDescent="0.3">
      <c r="A7778" s="45">
        <v>45230</v>
      </c>
      <c r="B7778" s="396" t="s">
        <v>12050</v>
      </c>
      <c r="C7778" s="5" t="s">
        <v>11174</v>
      </c>
      <c r="D7778" s="124" t="s">
        <v>12486</v>
      </c>
      <c r="E7778" s="43">
        <v>5800</v>
      </c>
      <c r="F7778" s="43"/>
      <c r="G7778" s="48">
        <f t="shared" si="195"/>
        <v>108926.46774193528</v>
      </c>
      <c r="H7778" s="388" t="s">
        <v>9567</v>
      </c>
    </row>
    <row r="7779" spans="1:8" x14ac:dyDescent="0.3">
      <c r="A7779" s="45">
        <v>45230</v>
      </c>
      <c r="B7779" s="396" t="s">
        <v>12086</v>
      </c>
      <c r="C7779" s="5" t="s">
        <v>5793</v>
      </c>
      <c r="D7779" s="124" t="s">
        <v>40</v>
      </c>
      <c r="E7779" s="43">
        <v>750</v>
      </c>
      <c r="F7779" s="43"/>
      <c r="G7779" s="48">
        <f t="shared" si="195"/>
        <v>108176.46774193528</v>
      </c>
      <c r="H7779" s="388" t="s">
        <v>9567</v>
      </c>
    </row>
    <row r="7780" spans="1:8" x14ac:dyDescent="0.3">
      <c r="A7780" s="45">
        <v>45230</v>
      </c>
      <c r="B7780" s="396" t="s">
        <v>12230</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68" t="s">
        <v>25</v>
      </c>
      <c r="C7783" s="44" t="s">
        <v>25</v>
      </c>
      <c r="D7783" s="44" t="s">
        <v>11434</v>
      </c>
      <c r="E7783" s="43">
        <v>3000</v>
      </c>
      <c r="F7783" s="43"/>
      <c r="G7783" s="48">
        <f t="shared" si="195"/>
        <v>104526.46774193528</v>
      </c>
      <c r="H7783" s="388" t="s">
        <v>9567</v>
      </c>
    </row>
    <row r="7784" spans="1:8" x14ac:dyDescent="0.3">
      <c r="A7784" s="45">
        <v>45230</v>
      </c>
      <c r="B7784" s="396" t="s">
        <v>12321</v>
      </c>
      <c r="C7784" s="5" t="s">
        <v>5162</v>
      </c>
      <c r="D7784" s="124" t="s">
        <v>5813</v>
      </c>
      <c r="E7784" s="43">
        <v>1000</v>
      </c>
      <c r="F7784" s="43"/>
      <c r="G7784" s="48">
        <f t="shared" si="195"/>
        <v>103526.46774193528</v>
      </c>
      <c r="H7784" s="388" t="s">
        <v>9567</v>
      </c>
    </row>
    <row r="7785" spans="1:8" x14ac:dyDescent="0.3">
      <c r="A7785" s="45">
        <v>45230</v>
      </c>
      <c r="B7785" s="396" t="s">
        <v>12141</v>
      </c>
      <c r="C7785" s="5" t="s">
        <v>68</v>
      </c>
      <c r="D7785" s="124" t="s">
        <v>12482</v>
      </c>
      <c r="E7785" s="43">
        <v>5000</v>
      </c>
      <c r="F7785" s="43"/>
      <c r="G7785" s="48">
        <f t="shared" si="195"/>
        <v>98526.467741935281</v>
      </c>
      <c r="H7785" s="388" t="s">
        <v>9567</v>
      </c>
    </row>
    <row r="7786" spans="1:8" x14ac:dyDescent="0.3">
      <c r="A7786" s="45">
        <v>45231</v>
      </c>
      <c r="B7786" s="396" t="s">
        <v>12230</v>
      </c>
      <c r="C7786" s="5" t="s">
        <v>12351</v>
      </c>
      <c r="D7786" s="124" t="s">
        <v>12498</v>
      </c>
      <c r="E7786" s="43">
        <v>15000</v>
      </c>
      <c r="F7786" s="43"/>
      <c r="G7786" s="48">
        <f t="shared" si="195"/>
        <v>83526.467741935281</v>
      </c>
      <c r="H7786" s="388" t="s">
        <v>9567</v>
      </c>
    </row>
    <row r="7787" spans="1:8" x14ac:dyDescent="0.3">
      <c r="A7787" s="45">
        <v>45231</v>
      </c>
      <c r="B7787" s="396" t="s">
        <v>12086</v>
      </c>
      <c r="C7787" s="5" t="s">
        <v>11174</v>
      </c>
      <c r="D7787" s="124" t="s">
        <v>11701</v>
      </c>
      <c r="E7787" s="43">
        <v>1820</v>
      </c>
      <c r="F7787" s="43"/>
      <c r="G7787" s="48">
        <f t="shared" si="195"/>
        <v>81706.467741935281</v>
      </c>
      <c r="H7787" s="388" t="s">
        <v>9567</v>
      </c>
    </row>
    <row r="7788" spans="1:8" x14ac:dyDescent="0.3">
      <c r="A7788" s="45">
        <v>45231</v>
      </c>
      <c r="B7788" s="396" t="s">
        <v>11743</v>
      </c>
      <c r="C7788" s="5" t="s">
        <v>5793</v>
      </c>
      <c r="D7788" s="124" t="s">
        <v>12488</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11743</v>
      </c>
      <c r="C7790" s="5" t="s">
        <v>12492</v>
      </c>
      <c r="D7790" s="124" t="s">
        <v>12493</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12494</v>
      </c>
      <c r="E7792" s="43">
        <v>2000</v>
      </c>
      <c r="F7792" s="43"/>
      <c r="G7792" s="48">
        <f t="shared" si="195"/>
        <v>57206.467741935281</v>
      </c>
      <c r="H7792" s="388" t="s">
        <v>9567</v>
      </c>
    </row>
    <row r="7793" spans="1:8" x14ac:dyDescent="0.3">
      <c r="A7793" s="45">
        <v>45231</v>
      </c>
      <c r="B7793" s="568" t="s">
        <v>25</v>
      </c>
      <c r="C7793" s="44" t="s">
        <v>25</v>
      </c>
      <c r="D7793" s="44" t="s">
        <v>11434</v>
      </c>
      <c r="E7793" s="43">
        <v>3000</v>
      </c>
      <c r="F7793" s="43"/>
      <c r="G7793" s="48">
        <f t="shared" si="195"/>
        <v>54206.467741935281</v>
      </c>
      <c r="H7793" s="388" t="s">
        <v>9567</v>
      </c>
    </row>
    <row r="7794" spans="1:8" x14ac:dyDescent="0.3">
      <c r="A7794" s="45">
        <v>45232</v>
      </c>
      <c r="B7794" s="565"/>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79" t="s">
        <v>12501</v>
      </c>
      <c r="C7796" s="580"/>
      <c r="D7796" s="581" t="s">
        <v>12502</v>
      </c>
      <c r="E7796" s="582">
        <v>12500</v>
      </c>
      <c r="F7796" s="43"/>
      <c r="G7796" s="48">
        <f t="shared" si="196"/>
        <v>240206.46774193528</v>
      </c>
      <c r="H7796" s="388" t="s">
        <v>9567</v>
      </c>
    </row>
    <row r="7797" spans="1:8" x14ac:dyDescent="0.3">
      <c r="A7797" s="45">
        <v>45232</v>
      </c>
      <c r="B7797" s="396" t="s">
        <v>12047</v>
      </c>
      <c r="C7797" s="5" t="s">
        <v>26</v>
      </c>
      <c r="D7797" s="124" t="s">
        <v>12503</v>
      </c>
      <c r="E7797" s="43">
        <v>650</v>
      </c>
      <c r="F7797" s="43"/>
      <c r="G7797" s="48">
        <f t="shared" si="196"/>
        <v>239556.46774193528</v>
      </c>
      <c r="H7797" s="388" t="s">
        <v>9567</v>
      </c>
    </row>
    <row r="7798" spans="1:8" x14ac:dyDescent="0.3">
      <c r="A7798" s="45">
        <v>45232</v>
      </c>
      <c r="B7798" s="396" t="s">
        <v>12141</v>
      </c>
      <c r="C7798" s="5" t="s">
        <v>5793</v>
      </c>
      <c r="D7798" s="124" t="s">
        <v>12503</v>
      </c>
      <c r="E7798" s="43">
        <v>600</v>
      </c>
      <c r="F7798" s="43"/>
      <c r="G7798" s="48">
        <f t="shared" si="196"/>
        <v>238956.46774193528</v>
      </c>
      <c r="H7798" s="388" t="s">
        <v>9567</v>
      </c>
    </row>
    <row r="7799" spans="1:8" x14ac:dyDescent="0.3">
      <c r="A7799" s="45">
        <v>45232</v>
      </c>
      <c r="B7799" s="396" t="s">
        <v>12439</v>
      </c>
      <c r="C7799" s="5" t="s">
        <v>11174</v>
      </c>
      <c r="D7799" s="124" t="s">
        <v>12504</v>
      </c>
      <c r="E7799" s="43">
        <v>2350</v>
      </c>
      <c r="F7799" s="43"/>
      <c r="G7799" s="48">
        <f t="shared" si="196"/>
        <v>236606.46774193528</v>
      </c>
      <c r="H7799" s="388" t="s">
        <v>9567</v>
      </c>
    </row>
    <row r="7800" spans="1:8" x14ac:dyDescent="0.3">
      <c r="A7800" s="45">
        <v>45232</v>
      </c>
      <c r="B7800" s="396" t="s">
        <v>12439</v>
      </c>
      <c r="C7800" s="5" t="s">
        <v>11174</v>
      </c>
      <c r="D7800" s="124" t="s">
        <v>12001</v>
      </c>
      <c r="E7800" s="43">
        <v>9000</v>
      </c>
      <c r="F7800" s="43"/>
      <c r="G7800" s="48">
        <f t="shared" si="196"/>
        <v>227606.46774193528</v>
      </c>
      <c r="H7800" s="388" t="s">
        <v>9567</v>
      </c>
    </row>
    <row r="7801" spans="1:8" x14ac:dyDescent="0.3">
      <c r="A7801" s="45">
        <v>45232</v>
      </c>
      <c r="B7801" s="396" t="s">
        <v>12049</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12045</v>
      </c>
      <c r="C7803" s="5" t="s">
        <v>11174</v>
      </c>
      <c r="D7803" s="124" t="s">
        <v>12505</v>
      </c>
      <c r="E7803" s="43">
        <v>2880</v>
      </c>
      <c r="F7803" s="43"/>
      <c r="G7803" s="48">
        <f t="shared" si="196"/>
        <v>221526.46774193528</v>
      </c>
      <c r="H7803" s="388" t="s">
        <v>9567</v>
      </c>
    </row>
    <row r="7804" spans="1:8" x14ac:dyDescent="0.3">
      <c r="A7804" s="45">
        <v>45233</v>
      </c>
      <c r="B7804" s="568" t="s">
        <v>25</v>
      </c>
      <c r="C7804" s="44" t="s">
        <v>25</v>
      </c>
      <c r="D7804" s="44" t="s">
        <v>11434</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12506</v>
      </c>
      <c r="E7806" s="43">
        <v>15000</v>
      </c>
      <c r="F7806" s="43"/>
      <c r="G7806" s="48">
        <f t="shared" si="196"/>
        <v>198526.46774193528</v>
      </c>
      <c r="H7806" s="388" t="s">
        <v>9567</v>
      </c>
    </row>
    <row r="7807" spans="1:8" x14ac:dyDescent="0.3">
      <c r="A7807" s="45">
        <v>45233</v>
      </c>
      <c r="B7807" s="396" t="s">
        <v>12517</v>
      </c>
      <c r="C7807" s="5" t="s">
        <v>9451</v>
      </c>
      <c r="D7807" s="124" t="s">
        <v>12523</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12507</v>
      </c>
      <c r="E7809" s="43">
        <v>2000</v>
      </c>
      <c r="F7809" s="43"/>
      <c r="G7809" s="48">
        <f t="shared" si="196"/>
        <v>188526.46774193528</v>
      </c>
      <c r="H7809" s="388" t="s">
        <v>9567</v>
      </c>
    </row>
    <row r="7810" spans="1:8" x14ac:dyDescent="0.3">
      <c r="A7810" s="45">
        <v>45233</v>
      </c>
      <c r="B7810" s="584" t="s">
        <v>12135</v>
      </c>
      <c r="C7810" s="530" t="s">
        <v>54</v>
      </c>
      <c r="D7810" s="585" t="s">
        <v>12305</v>
      </c>
      <c r="E7810" s="531">
        <v>41000</v>
      </c>
      <c r="F7810" s="43"/>
      <c r="G7810" s="48">
        <f t="shared" si="196"/>
        <v>147526.46774193528</v>
      </c>
      <c r="H7810" s="388" t="s">
        <v>9567</v>
      </c>
    </row>
    <row r="7811" spans="1:8" x14ac:dyDescent="0.3">
      <c r="A7811" s="45">
        <v>45233</v>
      </c>
      <c r="B7811" s="584" t="s">
        <v>12045</v>
      </c>
      <c r="C7811" s="530" t="s">
        <v>54</v>
      </c>
      <c r="D7811" s="585" t="s">
        <v>12508</v>
      </c>
      <c r="E7811" s="531">
        <v>45000</v>
      </c>
      <c r="F7811" s="43"/>
      <c r="G7811" s="48">
        <f t="shared" si="196"/>
        <v>102526.46774193528</v>
      </c>
      <c r="H7811" s="388" t="s">
        <v>9567</v>
      </c>
    </row>
    <row r="7812" spans="1:8" x14ac:dyDescent="0.3">
      <c r="A7812" s="45">
        <v>45233</v>
      </c>
      <c r="B7812" s="584" t="s">
        <v>25</v>
      </c>
      <c r="C7812" s="530" t="s">
        <v>54</v>
      </c>
      <c r="D7812" s="585" t="s">
        <v>6673</v>
      </c>
      <c r="E7812" s="531">
        <v>65000</v>
      </c>
      <c r="F7812" s="43"/>
      <c r="G7812" s="48">
        <f t="shared" si="196"/>
        <v>37526.467741935281</v>
      </c>
      <c r="H7812" s="388" t="s">
        <v>9567</v>
      </c>
    </row>
    <row r="7813" spans="1:8" x14ac:dyDescent="0.3">
      <c r="A7813" s="45">
        <v>45233</v>
      </c>
      <c r="B7813" s="584" t="s">
        <v>25</v>
      </c>
      <c r="C7813" s="530" t="s">
        <v>54</v>
      </c>
      <c r="D7813" s="585" t="s">
        <v>12510</v>
      </c>
      <c r="E7813" s="531">
        <v>22000</v>
      </c>
      <c r="F7813" s="43"/>
      <c r="G7813" s="48">
        <f t="shared" si="196"/>
        <v>15526.467741935281</v>
      </c>
      <c r="H7813" s="388" t="s">
        <v>9567</v>
      </c>
    </row>
    <row r="7814" spans="1:8" x14ac:dyDescent="0.3">
      <c r="A7814" s="45">
        <v>45233</v>
      </c>
      <c r="B7814" s="396" t="s">
        <v>25</v>
      </c>
      <c r="C7814" s="5" t="s">
        <v>12351</v>
      </c>
      <c r="D7814" s="124" t="s">
        <v>6543</v>
      </c>
      <c r="E7814" s="43">
        <v>1400</v>
      </c>
      <c r="F7814" s="43"/>
      <c r="G7814" s="48">
        <f t="shared" si="196"/>
        <v>14126.467741935281</v>
      </c>
      <c r="H7814" s="388" t="s">
        <v>9567</v>
      </c>
    </row>
    <row r="7815" spans="1:8" x14ac:dyDescent="0.3">
      <c r="A7815" s="45">
        <v>45233</v>
      </c>
      <c r="B7815" s="565"/>
      <c r="C7815" s="480"/>
      <c r="D7815" s="491" t="s">
        <v>4106</v>
      </c>
      <c r="E7815" s="480"/>
      <c r="F7815" s="28">
        <v>500000</v>
      </c>
      <c r="G7815" s="48">
        <f t="shared" si="196"/>
        <v>514126.46774193528</v>
      </c>
      <c r="H7815" s="388" t="s">
        <v>9567</v>
      </c>
    </row>
    <row r="7816" spans="1:8" x14ac:dyDescent="0.3">
      <c r="A7816" s="45">
        <v>45233</v>
      </c>
      <c r="B7816" s="584" t="s">
        <v>12046</v>
      </c>
      <c r="C7816" s="530" t="s">
        <v>54</v>
      </c>
      <c r="D7816" s="585" t="s">
        <v>12509</v>
      </c>
      <c r="E7816" s="531">
        <v>40800</v>
      </c>
      <c r="F7816" s="43"/>
      <c r="G7816" s="48">
        <f t="shared" si="196"/>
        <v>473326.46774193528</v>
      </c>
      <c r="H7816" s="388" t="s">
        <v>9567</v>
      </c>
    </row>
    <row r="7817" spans="1:8" x14ac:dyDescent="0.3">
      <c r="A7817" s="45">
        <v>45233</v>
      </c>
      <c r="B7817" s="396" t="s">
        <v>12517</v>
      </c>
      <c r="C7817" s="5" t="s">
        <v>5793</v>
      </c>
      <c r="D7817" s="124" t="s">
        <v>40</v>
      </c>
      <c r="E7817" s="43">
        <v>250</v>
      </c>
      <c r="F7817" s="43"/>
      <c r="G7817" s="48">
        <f t="shared" si="196"/>
        <v>473076.46774193528</v>
      </c>
      <c r="H7817" s="388" t="s">
        <v>9567</v>
      </c>
    </row>
    <row r="7818" spans="1:8" x14ac:dyDescent="0.3">
      <c r="A7818" s="45">
        <v>45233</v>
      </c>
      <c r="B7818" s="396" t="s">
        <v>12517</v>
      </c>
      <c r="C7818" s="5" t="s">
        <v>11174</v>
      </c>
      <c r="D7818" s="124" t="s">
        <v>12511</v>
      </c>
      <c r="E7818" s="43">
        <v>4200</v>
      </c>
      <c r="F7818" s="43"/>
      <c r="G7818" s="48">
        <f t="shared" si="196"/>
        <v>468876.46774193528</v>
      </c>
      <c r="H7818" s="388" t="s">
        <v>9567</v>
      </c>
    </row>
    <row r="7819" spans="1:8" x14ac:dyDescent="0.3">
      <c r="A7819" s="45">
        <v>45234</v>
      </c>
      <c r="B7819" s="396" t="s">
        <v>12049</v>
      </c>
      <c r="C7819" s="5" t="s">
        <v>12515</v>
      </c>
      <c r="D7819" s="124" t="s">
        <v>12516</v>
      </c>
      <c r="E7819" s="43">
        <v>2000</v>
      </c>
      <c r="F7819" s="43"/>
      <c r="G7819" s="48">
        <f t="shared" si="196"/>
        <v>466876.46774193528</v>
      </c>
      <c r="H7819" s="388" t="s">
        <v>9567</v>
      </c>
    </row>
    <row r="7820" spans="1:8" x14ac:dyDescent="0.3">
      <c r="A7820" s="45">
        <v>45234</v>
      </c>
      <c r="B7820" s="396" t="s">
        <v>12517</v>
      </c>
      <c r="C7820" s="5" t="s">
        <v>9451</v>
      </c>
      <c r="D7820" s="124" t="s">
        <v>12524</v>
      </c>
      <c r="E7820" s="43">
        <v>2500</v>
      </c>
      <c r="F7820" s="43"/>
      <c r="G7820" s="48">
        <f t="shared" si="196"/>
        <v>464376.46774193528</v>
      </c>
      <c r="H7820" s="388" t="s">
        <v>9567</v>
      </c>
    </row>
    <row r="7821" spans="1:8" x14ac:dyDescent="0.3">
      <c r="A7821" s="45">
        <v>45234</v>
      </c>
      <c r="B7821" s="568" t="s">
        <v>25</v>
      </c>
      <c r="C7821" s="44" t="s">
        <v>25</v>
      </c>
      <c r="D7821" s="44" t="s">
        <v>11434</v>
      </c>
      <c r="E7821" s="43">
        <v>3000</v>
      </c>
      <c r="F7821" s="43"/>
      <c r="G7821" s="48">
        <f t="shared" si="196"/>
        <v>461376.46774193528</v>
      </c>
      <c r="H7821" s="388" t="s">
        <v>9567</v>
      </c>
    </row>
    <row r="7822" spans="1:8" x14ac:dyDescent="0.3">
      <c r="A7822" s="45">
        <v>45234</v>
      </c>
      <c r="B7822" s="584" t="s">
        <v>12044</v>
      </c>
      <c r="C7822" s="586" t="s">
        <v>54</v>
      </c>
      <c r="D7822" s="586" t="s">
        <v>12520</v>
      </c>
      <c r="E7822" s="531">
        <v>39200</v>
      </c>
      <c r="F7822" s="43"/>
      <c r="G7822" s="48">
        <f t="shared" si="196"/>
        <v>422176.46774193528</v>
      </c>
      <c r="H7822" s="388" t="s">
        <v>9567</v>
      </c>
    </row>
    <row r="7823" spans="1:8" x14ac:dyDescent="0.3">
      <c r="A7823" s="45">
        <v>45234</v>
      </c>
      <c r="B7823" s="396" t="s">
        <v>12044</v>
      </c>
      <c r="C7823" s="44" t="s">
        <v>12351</v>
      </c>
      <c r="D7823" s="44" t="s">
        <v>12521</v>
      </c>
      <c r="E7823" s="43">
        <v>400</v>
      </c>
      <c r="F7823" s="43"/>
      <c r="G7823" s="48">
        <f t="shared" si="196"/>
        <v>421776.46774193528</v>
      </c>
      <c r="H7823" s="388" t="s">
        <v>9567</v>
      </c>
    </row>
    <row r="7824" spans="1:8" x14ac:dyDescent="0.3">
      <c r="A7824" s="45">
        <v>45234</v>
      </c>
      <c r="B7824" s="396" t="s">
        <v>12517</v>
      </c>
      <c r="C7824" s="44" t="s">
        <v>5793</v>
      </c>
      <c r="D7824" s="124" t="s">
        <v>12525</v>
      </c>
      <c r="E7824" s="43">
        <v>1600</v>
      </c>
      <c r="F7824" s="43"/>
      <c r="G7824" s="48">
        <f t="shared" si="196"/>
        <v>420176.46774193528</v>
      </c>
      <c r="H7824" s="388" t="s">
        <v>9567</v>
      </c>
    </row>
    <row r="7825" spans="1:8" x14ac:dyDescent="0.3">
      <c r="A7825" s="45">
        <v>45234</v>
      </c>
      <c r="B7825" s="587" t="s">
        <v>12080</v>
      </c>
      <c r="C7825" s="586" t="s">
        <v>54</v>
      </c>
      <c r="D7825" s="586" t="s">
        <v>8636</v>
      </c>
      <c r="E7825" s="531">
        <v>128774.19354838709</v>
      </c>
      <c r="F7825" s="43"/>
      <c r="G7825" s="48">
        <f t="shared" si="196"/>
        <v>291402.27419354819</v>
      </c>
      <c r="H7825" s="388" t="s">
        <v>9567</v>
      </c>
    </row>
    <row r="7826" spans="1:8" x14ac:dyDescent="0.3">
      <c r="A7826" s="45">
        <v>45234</v>
      </c>
      <c r="B7826" s="587" t="s">
        <v>12055</v>
      </c>
      <c r="C7826" s="586" t="s">
        <v>54</v>
      </c>
      <c r="D7826" s="586" t="s">
        <v>12522</v>
      </c>
      <c r="E7826" s="531">
        <v>120084.67741935485</v>
      </c>
      <c r="F7826" s="43"/>
      <c r="G7826" s="48">
        <f t="shared" si="196"/>
        <v>171317.59677419334</v>
      </c>
      <c r="H7826" s="388" t="s">
        <v>9567</v>
      </c>
    </row>
    <row r="7827" spans="1:8" x14ac:dyDescent="0.3">
      <c r="A7827" s="45">
        <v>45234</v>
      </c>
      <c r="B7827" s="587" t="s">
        <v>12055</v>
      </c>
      <c r="C7827" s="586" t="s">
        <v>54</v>
      </c>
      <c r="D7827" s="586" t="s">
        <v>6239</v>
      </c>
      <c r="E7827" s="531">
        <v>20000</v>
      </c>
      <c r="F7827" s="43"/>
      <c r="G7827" s="48">
        <f t="shared" si="196"/>
        <v>151317.59677419334</v>
      </c>
      <c r="H7827" s="388" t="s">
        <v>9567</v>
      </c>
    </row>
    <row r="7828" spans="1:8" x14ac:dyDescent="0.3">
      <c r="A7828" s="45">
        <v>45234</v>
      </c>
      <c r="B7828" s="568" t="s">
        <v>12080</v>
      </c>
      <c r="C7828" s="44" t="s">
        <v>12351</v>
      </c>
      <c r="D7828" s="44" t="s">
        <v>12526</v>
      </c>
      <c r="E7828" s="43">
        <v>3000</v>
      </c>
      <c r="F7828" s="43"/>
      <c r="G7828" s="48">
        <f t="shared" si="196"/>
        <v>148317.59677419334</v>
      </c>
      <c r="H7828" s="388" t="s">
        <v>9567</v>
      </c>
    </row>
    <row r="7829" spans="1:8" x14ac:dyDescent="0.3">
      <c r="A7829" s="45">
        <v>45234</v>
      </c>
      <c r="B7829" s="568" t="s">
        <v>12157</v>
      </c>
      <c r="C7829" s="44" t="s">
        <v>12351</v>
      </c>
      <c r="D7829" s="44" t="s">
        <v>12527</v>
      </c>
      <c r="E7829" s="43">
        <v>730</v>
      </c>
      <c r="F7829" s="43"/>
      <c r="G7829" s="48">
        <f t="shared" si="196"/>
        <v>147587.59677419334</v>
      </c>
      <c r="H7829" s="388" t="s">
        <v>9567</v>
      </c>
    </row>
    <row r="7830" spans="1:8" x14ac:dyDescent="0.3">
      <c r="A7830" s="45">
        <v>45234</v>
      </c>
      <c r="B7830" s="396" t="s">
        <v>12045</v>
      </c>
      <c r="C7830" s="73" t="s">
        <v>10695</v>
      </c>
      <c r="D7830" s="588" t="s">
        <v>4319</v>
      </c>
      <c r="E7830" s="58">
        <v>2000</v>
      </c>
      <c r="F7830" s="43"/>
      <c r="G7830" s="48">
        <f t="shared" si="196"/>
        <v>145587.59677419334</v>
      </c>
      <c r="H7830" s="388" t="s">
        <v>9567</v>
      </c>
    </row>
    <row r="7831" spans="1:8" x14ac:dyDescent="0.3">
      <c r="A7831" s="45">
        <v>45234</v>
      </c>
      <c r="B7831" s="396" t="s">
        <v>10601</v>
      </c>
      <c r="C7831" s="5" t="s">
        <v>6430</v>
      </c>
      <c r="D7831" s="588" t="s">
        <v>4319</v>
      </c>
      <c r="E7831" s="58">
        <v>5000</v>
      </c>
      <c r="F7831" s="43"/>
      <c r="G7831" s="48">
        <f t="shared" si="196"/>
        <v>140587.59677419334</v>
      </c>
      <c r="H7831" s="388" t="s">
        <v>9567</v>
      </c>
    </row>
    <row r="7832" spans="1:8" x14ac:dyDescent="0.3">
      <c r="A7832" s="45">
        <v>45234</v>
      </c>
      <c r="B7832" s="396" t="s">
        <v>12044</v>
      </c>
      <c r="C7832" s="5" t="s">
        <v>11174</v>
      </c>
      <c r="D7832" s="124" t="s">
        <v>12528</v>
      </c>
      <c r="E7832" s="43">
        <v>24400</v>
      </c>
      <c r="F7832" s="43"/>
      <c r="G7832" s="48">
        <f t="shared" si="196"/>
        <v>116187.59677419334</v>
      </c>
      <c r="H7832" s="388" t="s">
        <v>9567</v>
      </c>
    </row>
    <row r="7833" spans="1:8" x14ac:dyDescent="0.3">
      <c r="A7833" s="45">
        <v>45234</v>
      </c>
      <c r="B7833" s="396" t="s">
        <v>12049</v>
      </c>
      <c r="C7833" s="5" t="s">
        <v>5793</v>
      </c>
      <c r="D7833" s="124" t="s">
        <v>40</v>
      </c>
      <c r="E7833" s="43">
        <v>400</v>
      </c>
      <c r="F7833" s="43"/>
      <c r="G7833" s="48">
        <f t="shared" si="196"/>
        <v>115787.59677419334</v>
      </c>
      <c r="H7833" s="388" t="s">
        <v>9567</v>
      </c>
    </row>
    <row r="7834" spans="1:8" x14ac:dyDescent="0.3">
      <c r="A7834" s="45">
        <v>45234</v>
      </c>
      <c r="B7834" s="396" t="s">
        <v>12517</v>
      </c>
      <c r="C7834" s="5" t="s">
        <v>5793</v>
      </c>
      <c r="D7834" s="124" t="s">
        <v>40</v>
      </c>
      <c r="E7834" s="43">
        <v>270</v>
      </c>
      <c r="F7834" s="43"/>
      <c r="G7834" s="48">
        <f t="shared" si="196"/>
        <v>115517.59677419334</v>
      </c>
      <c r="H7834" s="388" t="s">
        <v>9567</v>
      </c>
    </row>
    <row r="7835" spans="1:8" x14ac:dyDescent="0.3">
      <c r="A7835" s="45">
        <v>45234</v>
      </c>
      <c r="B7835" s="587" t="s">
        <v>12049</v>
      </c>
      <c r="C7835" s="586" t="s">
        <v>54</v>
      </c>
      <c r="D7835" s="586" t="s">
        <v>12529</v>
      </c>
      <c r="E7835" s="531">
        <v>36800</v>
      </c>
      <c r="F7835" s="43"/>
      <c r="G7835" s="48">
        <f t="shared" si="196"/>
        <v>78717.596774193342</v>
      </c>
      <c r="H7835" s="388" t="s">
        <v>9567</v>
      </c>
    </row>
    <row r="7836" spans="1:8" x14ac:dyDescent="0.3">
      <c r="A7836" s="45">
        <v>45236</v>
      </c>
      <c r="B7836" s="587" t="s">
        <v>11743</v>
      </c>
      <c r="C7836" s="586" t="s">
        <v>54</v>
      </c>
      <c r="D7836" s="586" t="s">
        <v>6245</v>
      </c>
      <c r="E7836" s="531">
        <v>76750</v>
      </c>
      <c r="F7836" s="43"/>
      <c r="G7836" s="48">
        <f t="shared" si="196"/>
        <v>1967.5967741933418</v>
      </c>
      <c r="H7836" s="388" t="s">
        <v>9567</v>
      </c>
    </row>
    <row r="7837" spans="1:8" x14ac:dyDescent="0.3">
      <c r="A7837" s="45">
        <v>45236</v>
      </c>
      <c r="B7837" s="396" t="s">
        <v>12321</v>
      </c>
      <c r="C7837" s="5" t="s">
        <v>11174</v>
      </c>
      <c r="D7837" s="124" t="s">
        <v>12530</v>
      </c>
      <c r="E7837" s="43">
        <v>2480</v>
      </c>
      <c r="F7837" s="43"/>
      <c r="G7837" s="48">
        <f t="shared" si="196"/>
        <v>-512.40322580665816</v>
      </c>
      <c r="H7837" s="388" t="s">
        <v>9567</v>
      </c>
    </row>
    <row r="7838" spans="1:8" x14ac:dyDescent="0.3">
      <c r="A7838" s="45">
        <v>45236</v>
      </c>
      <c r="B7838" s="565"/>
      <c r="C7838" s="480"/>
      <c r="D7838" s="491" t="s">
        <v>4106</v>
      </c>
      <c r="E7838" s="480"/>
      <c r="F7838" s="28">
        <v>500000</v>
      </c>
      <c r="G7838" s="48">
        <f t="shared" si="196"/>
        <v>499487.59677419334</v>
      </c>
      <c r="H7838" s="388" t="s">
        <v>9567</v>
      </c>
    </row>
    <row r="7839" spans="1:8" x14ac:dyDescent="0.3">
      <c r="A7839" s="45">
        <v>45236</v>
      </c>
      <c r="B7839" s="396" t="s">
        <v>12044</v>
      </c>
      <c r="C7839" s="5" t="s">
        <v>11174</v>
      </c>
      <c r="D7839" s="124" t="s">
        <v>12531</v>
      </c>
      <c r="E7839" s="43">
        <v>18850</v>
      </c>
      <c r="F7839" s="43"/>
      <c r="G7839" s="48">
        <f t="shared" si="196"/>
        <v>480637.59677419334</v>
      </c>
      <c r="H7839" s="388" t="s">
        <v>9567</v>
      </c>
    </row>
    <row r="7840" spans="1:8" x14ac:dyDescent="0.3">
      <c r="A7840" s="45">
        <v>45236</v>
      </c>
      <c r="B7840" s="396" t="s">
        <v>12044</v>
      </c>
      <c r="C7840" s="5" t="s">
        <v>11174</v>
      </c>
      <c r="D7840" s="124" t="s">
        <v>4342</v>
      </c>
      <c r="E7840" s="43">
        <v>1850</v>
      </c>
      <c r="F7840" s="43"/>
      <c r="G7840" s="48">
        <f t="shared" si="196"/>
        <v>478787.59677419334</v>
      </c>
      <c r="H7840" s="388" t="s">
        <v>9567</v>
      </c>
    </row>
    <row r="7841" spans="1:11" x14ac:dyDescent="0.3">
      <c r="A7841" s="45">
        <v>45236</v>
      </c>
      <c r="B7841" s="396" t="s">
        <v>12517</v>
      </c>
      <c r="C7841" s="5" t="s">
        <v>11174</v>
      </c>
      <c r="D7841" s="124" t="s">
        <v>4342</v>
      </c>
      <c r="E7841" s="43">
        <v>7560</v>
      </c>
      <c r="F7841" s="43"/>
      <c r="G7841" s="48">
        <f t="shared" si="196"/>
        <v>471227.59677419334</v>
      </c>
      <c r="H7841" s="388" t="s">
        <v>9567</v>
      </c>
    </row>
    <row r="7842" spans="1:11" x14ac:dyDescent="0.3">
      <c r="A7842" s="45">
        <v>45236</v>
      </c>
      <c r="B7842" s="396" t="s">
        <v>12517</v>
      </c>
      <c r="C7842" s="5" t="s">
        <v>11174</v>
      </c>
      <c r="D7842" s="124" t="s">
        <v>4342</v>
      </c>
      <c r="E7842" s="43">
        <v>1500</v>
      </c>
      <c r="F7842" s="43"/>
      <c r="G7842" s="48">
        <f t="shared" si="196"/>
        <v>469727.59677419334</v>
      </c>
      <c r="H7842" s="388" t="s">
        <v>9567</v>
      </c>
    </row>
    <row r="7843" spans="1:11" x14ac:dyDescent="0.3">
      <c r="A7843" s="45">
        <v>45236</v>
      </c>
      <c r="B7843" s="396" t="s">
        <v>12044</v>
      </c>
      <c r="C7843" s="5" t="s">
        <v>5793</v>
      </c>
      <c r="D7843" s="124" t="s">
        <v>40</v>
      </c>
      <c r="E7843" s="43">
        <v>700</v>
      </c>
      <c r="F7843" s="43"/>
      <c r="G7843" s="48">
        <f t="shared" si="196"/>
        <v>469027.59677419334</v>
      </c>
      <c r="H7843" s="388" t="s">
        <v>9567</v>
      </c>
    </row>
    <row r="7844" spans="1:11" x14ac:dyDescent="0.3">
      <c r="A7844" s="45">
        <v>45236</v>
      </c>
      <c r="B7844" s="396" t="s">
        <v>12133</v>
      </c>
      <c r="C7844" s="5" t="s">
        <v>6430</v>
      </c>
      <c r="D7844" s="124" t="s">
        <v>4187</v>
      </c>
      <c r="E7844" s="43">
        <v>5000</v>
      </c>
      <c r="F7844" s="43"/>
      <c r="G7844" s="48">
        <f t="shared" si="196"/>
        <v>464027.59677419334</v>
      </c>
      <c r="H7844" s="388" t="s">
        <v>9567</v>
      </c>
    </row>
    <row r="7845" spans="1:11" x14ac:dyDescent="0.3">
      <c r="A7845" s="45">
        <v>45236</v>
      </c>
      <c r="B7845" s="587" t="s">
        <v>12046</v>
      </c>
      <c r="C7845" s="586" t="s">
        <v>54</v>
      </c>
      <c r="D7845" s="586" t="s">
        <v>12532</v>
      </c>
      <c r="E7845" s="531">
        <v>63910</v>
      </c>
      <c r="F7845" s="43"/>
      <c r="G7845" s="48">
        <f t="shared" si="196"/>
        <v>400117.59677419334</v>
      </c>
      <c r="H7845" s="388" t="s">
        <v>9567</v>
      </c>
    </row>
    <row r="7846" spans="1:11" x14ac:dyDescent="0.3">
      <c r="A7846" s="45">
        <v>45236</v>
      </c>
      <c r="B7846" s="396" t="s">
        <v>12439</v>
      </c>
      <c r="C7846" s="5" t="s">
        <v>11174</v>
      </c>
      <c r="D7846" s="124" t="s">
        <v>12534</v>
      </c>
      <c r="E7846" s="43">
        <v>9000</v>
      </c>
      <c r="F7846" s="43"/>
      <c r="G7846" s="48">
        <f t="shared" si="196"/>
        <v>391117.59677419334</v>
      </c>
      <c r="H7846" s="388" t="s">
        <v>9567</v>
      </c>
    </row>
    <row r="7847" spans="1:11" x14ac:dyDescent="0.3">
      <c r="A7847" s="45">
        <v>45236</v>
      </c>
      <c r="B7847" s="396" t="s">
        <v>12086</v>
      </c>
      <c r="C7847" s="5" t="s">
        <v>11174</v>
      </c>
      <c r="D7847" s="124" t="s">
        <v>12533</v>
      </c>
      <c r="E7847" s="43">
        <v>9000</v>
      </c>
      <c r="F7847" s="43"/>
      <c r="G7847" s="48">
        <f t="shared" si="196"/>
        <v>382117.59677419334</v>
      </c>
      <c r="H7847" s="388" t="s">
        <v>9567</v>
      </c>
    </row>
    <row r="7848" spans="1:11" x14ac:dyDescent="0.3">
      <c r="A7848" s="45">
        <v>45236</v>
      </c>
      <c r="B7848" s="396" t="s">
        <v>12086</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12044</v>
      </c>
      <c r="C7849" s="5" t="s">
        <v>11174</v>
      </c>
      <c r="D7849" s="124" t="s">
        <v>11400</v>
      </c>
      <c r="E7849" s="43">
        <v>9750</v>
      </c>
      <c r="F7849" s="43"/>
      <c r="G7849" s="241">
        <f t="shared" si="196"/>
        <v>370767.59677419334</v>
      </c>
      <c r="H7849" s="388" t="s">
        <v>9567</v>
      </c>
    </row>
    <row r="7850" spans="1:11" x14ac:dyDescent="0.3">
      <c r="A7850" s="45">
        <v>45236</v>
      </c>
      <c r="B7850" s="396" t="s">
        <v>12045</v>
      </c>
      <c r="C7850" s="5" t="s">
        <v>11174</v>
      </c>
      <c r="D7850" s="124" t="s">
        <v>11400</v>
      </c>
      <c r="E7850" s="43">
        <v>9750</v>
      </c>
      <c r="F7850" s="43"/>
      <c r="G7850" s="241">
        <f t="shared" si="196"/>
        <v>361017.59677419334</v>
      </c>
      <c r="H7850" s="388" t="s">
        <v>9567</v>
      </c>
    </row>
    <row r="7851" spans="1:11" x14ac:dyDescent="0.3">
      <c r="A7851" s="45">
        <v>45236</v>
      </c>
      <c r="B7851" s="396" t="s">
        <v>12535</v>
      </c>
      <c r="C7851" s="5" t="s">
        <v>12536</v>
      </c>
      <c r="D7851" s="124" t="s">
        <v>294</v>
      </c>
      <c r="E7851" s="43">
        <v>25000</v>
      </c>
      <c r="F7851" s="43"/>
      <c r="G7851" s="241">
        <f t="shared" si="196"/>
        <v>336017.59677419334</v>
      </c>
      <c r="H7851" s="388" t="s">
        <v>9567</v>
      </c>
    </row>
    <row r="7852" spans="1:11" x14ac:dyDescent="0.3">
      <c r="A7852" s="45">
        <v>45236</v>
      </c>
      <c r="B7852" s="587" t="s">
        <v>12054</v>
      </c>
      <c r="C7852" s="586" t="s">
        <v>54</v>
      </c>
      <c r="D7852" s="586" t="s">
        <v>12537</v>
      </c>
      <c r="E7852" s="531">
        <f>30560+44500</f>
        <v>75060</v>
      </c>
      <c r="F7852" s="43"/>
      <c r="G7852" s="241">
        <f t="shared" si="196"/>
        <v>260957.59677419334</v>
      </c>
      <c r="H7852" s="388" t="s">
        <v>9567</v>
      </c>
    </row>
    <row r="7853" spans="1:11" x14ac:dyDescent="0.3">
      <c r="A7853" s="45">
        <v>45236</v>
      </c>
      <c r="B7853" s="568" t="s">
        <v>25</v>
      </c>
      <c r="C7853" s="44" t="s">
        <v>25</v>
      </c>
      <c r="D7853" s="44" t="s">
        <v>11434</v>
      </c>
      <c r="E7853" s="43">
        <v>3000</v>
      </c>
      <c r="F7853" s="43"/>
      <c r="G7853" s="241">
        <f t="shared" si="196"/>
        <v>257957.59677419334</v>
      </c>
      <c r="H7853" s="388" t="s">
        <v>9567</v>
      </c>
    </row>
    <row r="7854" spans="1:11" x14ac:dyDescent="0.3">
      <c r="A7854" s="45">
        <v>45236</v>
      </c>
      <c r="B7854" s="587" t="s">
        <v>25</v>
      </c>
      <c r="C7854" s="586" t="s">
        <v>54</v>
      </c>
      <c r="D7854" s="586" t="s">
        <v>12541</v>
      </c>
      <c r="E7854" s="531">
        <v>39000</v>
      </c>
      <c r="F7854" s="43"/>
      <c r="G7854" s="241">
        <f t="shared" si="196"/>
        <v>218957.59677419334</v>
      </c>
      <c r="H7854" s="388" t="s">
        <v>9567</v>
      </c>
    </row>
    <row r="7855" spans="1:11" x14ac:dyDescent="0.3">
      <c r="A7855" s="45">
        <v>45237</v>
      </c>
      <c r="B7855" s="587" t="s">
        <v>25</v>
      </c>
      <c r="C7855" s="586" t="s">
        <v>54</v>
      </c>
      <c r="D7855" s="586" t="s">
        <v>12542</v>
      </c>
      <c r="E7855" s="531">
        <v>200000</v>
      </c>
      <c r="F7855" s="43"/>
      <c r="G7855" s="241">
        <f t="shared" si="196"/>
        <v>18957.596774193342</v>
      </c>
      <c r="H7855" s="388" t="s">
        <v>9567</v>
      </c>
    </row>
    <row r="7856" spans="1:11" x14ac:dyDescent="0.3">
      <c r="A7856" s="45">
        <v>45237</v>
      </c>
      <c r="B7856" s="396"/>
      <c r="C7856" s="5" t="s">
        <v>84</v>
      </c>
      <c r="D7856" s="124" t="s">
        <v>12543</v>
      </c>
      <c r="E7856" s="43">
        <v>1000</v>
      </c>
      <c r="F7856" s="43"/>
      <c r="G7856" s="241">
        <f t="shared" si="196"/>
        <v>17957.596774193342</v>
      </c>
      <c r="H7856" s="388" t="s">
        <v>9567</v>
      </c>
    </row>
    <row r="7857" spans="1:11" x14ac:dyDescent="0.3">
      <c r="A7857" s="45">
        <v>45237</v>
      </c>
      <c r="B7857" s="396" t="s">
        <v>12045</v>
      </c>
      <c r="C7857" s="5" t="s">
        <v>11174</v>
      </c>
      <c r="D7857" s="124" t="s">
        <v>12544</v>
      </c>
      <c r="E7857" s="43">
        <v>3100</v>
      </c>
      <c r="F7857" s="43"/>
      <c r="G7857" s="241">
        <f t="shared" si="196"/>
        <v>14857.596774193342</v>
      </c>
      <c r="H7857" s="388" t="s">
        <v>9567</v>
      </c>
    </row>
    <row r="7858" spans="1:11" x14ac:dyDescent="0.3">
      <c r="A7858" s="45">
        <v>45237</v>
      </c>
      <c r="B7858" s="396" t="s">
        <v>12044</v>
      </c>
      <c r="C7858" s="5" t="s">
        <v>12351</v>
      </c>
      <c r="D7858" s="124" t="s">
        <v>12545</v>
      </c>
      <c r="E7858" s="43">
        <v>2000</v>
      </c>
      <c r="F7858" s="43"/>
      <c r="G7858" s="241">
        <f t="shared" si="196"/>
        <v>12857.596774193342</v>
      </c>
      <c r="H7858" s="388" t="s">
        <v>9567</v>
      </c>
      <c r="I7858" s="583" t="s">
        <v>12514</v>
      </c>
      <c r="J7858" s="187" t="e">
        <f>#REF!</f>
        <v>#REF!</v>
      </c>
    </row>
    <row r="7859" spans="1:11" x14ac:dyDescent="0.3">
      <c r="A7859" s="45">
        <v>45237</v>
      </c>
      <c r="B7859" s="565"/>
      <c r="C7859" s="480"/>
      <c r="D7859" s="491" t="s">
        <v>4106</v>
      </c>
      <c r="E7859" s="480"/>
      <c r="F7859" s="28">
        <v>500000</v>
      </c>
      <c r="G7859" s="241">
        <f t="shared" ref="G7859:G7922" si="197">G7858+F7859-E7859</f>
        <v>512857.59677419334</v>
      </c>
      <c r="H7859" s="388" t="s">
        <v>9567</v>
      </c>
      <c r="I7859" s="583" t="s">
        <v>55</v>
      </c>
      <c r="J7859" s="187">
        <f ca="1">SUMIF(C7801:E7904,"salary",E7801:E7904)</f>
        <v>1639330.3629032257</v>
      </c>
    </row>
    <row r="7860" spans="1:11" x14ac:dyDescent="0.3">
      <c r="A7860" s="45">
        <v>45237</v>
      </c>
      <c r="B7860" s="396" t="s">
        <v>12044</v>
      </c>
      <c r="C7860" s="5" t="s">
        <v>11174</v>
      </c>
      <c r="D7860" s="124" t="s">
        <v>12569</v>
      </c>
      <c r="E7860" s="43">
        <v>59990</v>
      </c>
      <c r="F7860" s="43"/>
      <c r="G7860" s="241">
        <f t="shared" si="197"/>
        <v>452867.59677419334</v>
      </c>
      <c r="H7860" s="388" t="s">
        <v>9567</v>
      </c>
      <c r="I7860" s="583" t="s">
        <v>12233</v>
      </c>
      <c r="J7860" s="187" t="e">
        <f ca="1">J7858-J7859</f>
        <v>#REF!</v>
      </c>
    </row>
    <row r="7861" spans="1:11" x14ac:dyDescent="0.3">
      <c r="A7861" s="45">
        <v>45237</v>
      </c>
      <c r="B7861" s="396" t="s">
        <v>12133</v>
      </c>
      <c r="C7861" s="5" t="s">
        <v>11174</v>
      </c>
      <c r="D7861" s="124" t="s">
        <v>12570</v>
      </c>
      <c r="E7861" s="43">
        <v>15500</v>
      </c>
      <c r="F7861" s="43"/>
      <c r="G7861" s="241">
        <f t="shared" si="197"/>
        <v>437367.59677419334</v>
      </c>
      <c r="H7861" s="388" t="s">
        <v>9567</v>
      </c>
      <c r="I7861" s="589"/>
      <c r="J7861" s="590"/>
    </row>
    <row r="7862" spans="1:11" x14ac:dyDescent="0.3">
      <c r="A7862" s="45">
        <v>45237</v>
      </c>
      <c r="B7862" s="396" t="s">
        <v>12439</v>
      </c>
      <c r="C7862" s="5" t="s">
        <v>11174</v>
      </c>
      <c r="D7862" s="124" t="s">
        <v>12571</v>
      </c>
      <c r="E7862" s="43">
        <v>3750</v>
      </c>
      <c r="F7862" s="43"/>
      <c r="G7862" s="241">
        <f t="shared" si="197"/>
        <v>433617.59677419334</v>
      </c>
      <c r="H7862" s="388" t="s">
        <v>9567</v>
      </c>
      <c r="I7862" s="589"/>
      <c r="J7862" s="590"/>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12546</v>
      </c>
      <c r="E7864" s="43">
        <v>5000</v>
      </c>
      <c r="F7864" s="43"/>
      <c r="G7864" s="241">
        <f t="shared" si="197"/>
        <v>426417.59677419334</v>
      </c>
      <c r="H7864" s="388" t="s">
        <v>9567</v>
      </c>
    </row>
    <row r="7865" spans="1:11" x14ac:dyDescent="0.3">
      <c r="A7865" s="45">
        <v>45237</v>
      </c>
      <c r="B7865" s="587" t="s">
        <v>10601</v>
      </c>
      <c r="C7865" s="586" t="s">
        <v>54</v>
      </c>
      <c r="D7865" s="586" t="s">
        <v>12102</v>
      </c>
      <c r="E7865" s="531">
        <v>325011.49193548388</v>
      </c>
      <c r="F7865" s="43"/>
      <c r="G7865" s="241">
        <f t="shared" si="197"/>
        <v>101406.10483870946</v>
      </c>
      <c r="H7865" s="388" t="s">
        <v>9567</v>
      </c>
    </row>
    <row r="7866" spans="1:11" x14ac:dyDescent="0.3">
      <c r="A7866" s="45">
        <v>45237</v>
      </c>
      <c r="B7866" s="396" t="s">
        <v>12044</v>
      </c>
      <c r="C7866" s="5" t="s">
        <v>5793</v>
      </c>
      <c r="D7866" s="124" t="s">
        <v>40</v>
      </c>
      <c r="E7866" s="43">
        <v>1600</v>
      </c>
      <c r="F7866" s="43"/>
      <c r="G7866" s="241">
        <f t="shared" si="197"/>
        <v>99806.104838709463</v>
      </c>
      <c r="H7866" s="388" t="s">
        <v>9567</v>
      </c>
    </row>
    <row r="7867" spans="1:11" x14ac:dyDescent="0.3">
      <c r="A7867" s="45">
        <v>45237</v>
      </c>
      <c r="B7867" s="396" t="s">
        <v>12439</v>
      </c>
      <c r="C7867" s="5" t="s">
        <v>5793</v>
      </c>
      <c r="D7867" s="124" t="s">
        <v>40</v>
      </c>
      <c r="E7867" s="43">
        <v>500</v>
      </c>
      <c r="F7867" s="43"/>
      <c r="G7867" s="241">
        <f t="shared" si="197"/>
        <v>99306.104838709463</v>
      </c>
      <c r="H7867" s="388" t="s">
        <v>9567</v>
      </c>
    </row>
    <row r="7868" spans="1:11" x14ac:dyDescent="0.3">
      <c r="A7868" s="45">
        <v>45237</v>
      </c>
      <c r="B7868" s="396" t="s">
        <v>12133</v>
      </c>
      <c r="C7868" s="5" t="s">
        <v>5793</v>
      </c>
      <c r="D7868" s="124" t="s">
        <v>40</v>
      </c>
      <c r="E7868" s="43">
        <v>250</v>
      </c>
      <c r="F7868" s="43"/>
      <c r="G7868" s="241">
        <f t="shared" si="197"/>
        <v>99056.104838709463</v>
      </c>
      <c r="H7868" s="388" t="s">
        <v>9567</v>
      </c>
    </row>
    <row r="7869" spans="1:11" x14ac:dyDescent="0.3">
      <c r="A7869" s="45">
        <v>45237</v>
      </c>
      <c r="B7869" s="587" t="s">
        <v>12548</v>
      </c>
      <c r="C7869" s="586" t="s">
        <v>54</v>
      </c>
      <c r="D7869" s="586" t="s">
        <v>12549</v>
      </c>
      <c r="E7869" s="531">
        <v>65000</v>
      </c>
      <c r="F7869" s="43"/>
      <c r="G7869" s="241">
        <f t="shared" si="197"/>
        <v>34056.104838709463</v>
      </c>
      <c r="H7869" s="388" t="s">
        <v>9567</v>
      </c>
    </row>
    <row r="7870" spans="1:11" x14ac:dyDescent="0.3">
      <c r="A7870" s="45">
        <v>45238</v>
      </c>
      <c r="B7870" s="396" t="s">
        <v>12551</v>
      </c>
      <c r="C7870" s="5" t="s">
        <v>8863</v>
      </c>
      <c r="D7870" s="124" t="s">
        <v>12552</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7" t="s">
        <v>12049</v>
      </c>
      <c r="C7872" s="586" t="s">
        <v>54</v>
      </c>
      <c r="D7872" s="586" t="s">
        <v>12553</v>
      </c>
      <c r="E7872" s="531">
        <v>5000</v>
      </c>
      <c r="F7872" s="43"/>
      <c r="G7872" s="241">
        <f t="shared" si="197"/>
        <v>6056.1048387094634</v>
      </c>
      <c r="H7872" s="388" t="s">
        <v>9567</v>
      </c>
      <c r="K7872" s="52">
        <f>K7871-K7870</f>
        <v>1410</v>
      </c>
    </row>
    <row r="7873" spans="1:11" x14ac:dyDescent="0.3">
      <c r="A7873" s="45">
        <v>45238</v>
      </c>
      <c r="B7873" s="565"/>
      <c r="C7873" s="480"/>
      <c r="D7873" s="491" t="s">
        <v>4106</v>
      </c>
      <c r="E7873" s="480"/>
      <c r="F7873" s="28">
        <v>300000</v>
      </c>
      <c r="G7873" s="241">
        <f t="shared" si="197"/>
        <v>306056.10483870946</v>
      </c>
      <c r="H7873" s="388" t="s">
        <v>9567</v>
      </c>
    </row>
    <row r="7874" spans="1:11" x14ac:dyDescent="0.3">
      <c r="A7874" s="45">
        <v>45238</v>
      </c>
      <c r="B7874" s="565"/>
      <c r="C7874" s="480"/>
      <c r="D7874" s="491" t="s">
        <v>4106</v>
      </c>
      <c r="E7874" s="480"/>
      <c r="F7874" s="28">
        <v>100000</v>
      </c>
      <c r="G7874" s="241">
        <f t="shared" si="197"/>
        <v>406056.10483870946</v>
      </c>
      <c r="H7874" s="388" t="s">
        <v>9567</v>
      </c>
    </row>
    <row r="7875" spans="1:11" x14ac:dyDescent="0.3">
      <c r="A7875" s="45">
        <v>45238</v>
      </c>
      <c r="B7875" s="396"/>
      <c r="C7875" s="5" t="s">
        <v>84</v>
      </c>
      <c r="D7875" s="124" t="s">
        <v>12555</v>
      </c>
      <c r="E7875" s="43">
        <v>5000</v>
      </c>
      <c r="F7875" s="43"/>
      <c r="G7875" s="241">
        <f t="shared" si="197"/>
        <v>401056.10483870946</v>
      </c>
      <c r="H7875" s="388" t="s">
        <v>9567</v>
      </c>
    </row>
    <row r="7876" spans="1:11" x14ac:dyDescent="0.3">
      <c r="A7876" s="45">
        <v>45238</v>
      </c>
      <c r="B7876" s="568" t="s">
        <v>25</v>
      </c>
      <c r="C7876" s="44" t="s">
        <v>25</v>
      </c>
      <c r="D7876" s="44" t="s">
        <v>11434</v>
      </c>
      <c r="E7876" s="43">
        <v>3000</v>
      </c>
      <c r="F7876" s="43"/>
      <c r="G7876" s="241">
        <f t="shared" si="197"/>
        <v>398056.10483870946</v>
      </c>
      <c r="H7876" s="388" t="s">
        <v>9567</v>
      </c>
    </row>
    <row r="7877" spans="1:11" x14ac:dyDescent="0.3">
      <c r="A7877" s="45">
        <v>45238</v>
      </c>
      <c r="B7877" s="587" t="s">
        <v>25</v>
      </c>
      <c r="C7877" s="586" t="s">
        <v>54</v>
      </c>
      <c r="D7877" s="586" t="s">
        <v>12556</v>
      </c>
      <c r="E7877" s="531">
        <v>60000</v>
      </c>
      <c r="F7877" s="43"/>
      <c r="G7877" s="241">
        <f t="shared" si="197"/>
        <v>338056.10483870946</v>
      </c>
      <c r="H7877" s="388" t="s">
        <v>9567</v>
      </c>
      <c r="K7877" s="52">
        <f>3750+23100+2800</f>
        <v>29650</v>
      </c>
    </row>
    <row r="7878" spans="1:11" x14ac:dyDescent="0.3">
      <c r="A7878" s="45">
        <v>45238</v>
      </c>
      <c r="B7878" s="587" t="s">
        <v>12046</v>
      </c>
      <c r="C7878" s="586" t="s">
        <v>54</v>
      </c>
      <c r="D7878" s="586" t="s">
        <v>12550</v>
      </c>
      <c r="E7878" s="531">
        <v>33450</v>
      </c>
      <c r="F7878" s="43"/>
      <c r="G7878" s="241">
        <f t="shared" si="197"/>
        <v>304606.10483870946</v>
      </c>
      <c r="H7878" s="388" t="s">
        <v>9567</v>
      </c>
    </row>
    <row r="7879" spans="1:11" x14ac:dyDescent="0.3">
      <c r="A7879" s="45">
        <v>45238</v>
      </c>
      <c r="B7879" s="396" t="s">
        <v>12046</v>
      </c>
      <c r="C7879" s="5" t="s">
        <v>12351</v>
      </c>
      <c r="D7879" s="124" t="s">
        <v>12557</v>
      </c>
      <c r="E7879" s="43">
        <v>1000</v>
      </c>
      <c r="F7879" s="43"/>
      <c r="G7879" s="241">
        <f t="shared" si="197"/>
        <v>303606.10483870946</v>
      </c>
      <c r="H7879" s="388" t="s">
        <v>9567</v>
      </c>
      <c r="K7879" s="52">
        <v>30000</v>
      </c>
    </row>
    <row r="7880" spans="1:11" x14ac:dyDescent="0.3">
      <c r="A7880" s="45">
        <v>45238</v>
      </c>
      <c r="B7880" s="396" t="s">
        <v>12517</v>
      </c>
      <c r="C7880" s="5" t="s">
        <v>11174</v>
      </c>
      <c r="D7880" s="124" t="s">
        <v>12560</v>
      </c>
      <c r="E7880" s="43">
        <v>4920</v>
      </c>
      <c r="F7880" s="43"/>
      <c r="G7880" s="241">
        <f t="shared" si="197"/>
        <v>298686.10483870946</v>
      </c>
      <c r="H7880" s="388" t="s">
        <v>9567</v>
      </c>
    </row>
    <row r="7881" spans="1:11" x14ac:dyDescent="0.3">
      <c r="A7881" s="45">
        <v>45238</v>
      </c>
      <c r="B7881" s="396" t="s">
        <v>12044</v>
      </c>
      <c r="C7881" s="5" t="s">
        <v>11174</v>
      </c>
      <c r="D7881" s="124" t="s">
        <v>12560</v>
      </c>
      <c r="E7881" s="43">
        <v>6120</v>
      </c>
      <c r="F7881" s="43"/>
      <c r="G7881" s="241">
        <f t="shared" si="197"/>
        <v>292566.10483870946</v>
      </c>
      <c r="H7881" s="388" t="s">
        <v>9567</v>
      </c>
    </row>
    <row r="7882" spans="1:11" x14ac:dyDescent="0.3">
      <c r="A7882" s="45">
        <v>45238</v>
      </c>
      <c r="B7882" s="396" t="s">
        <v>12321</v>
      </c>
      <c r="C7882" s="5" t="s">
        <v>12561</v>
      </c>
      <c r="D7882" s="124" t="s">
        <v>12562</v>
      </c>
      <c r="E7882" s="43">
        <v>7200</v>
      </c>
      <c r="F7882" s="43"/>
      <c r="G7882" s="241">
        <f t="shared" si="197"/>
        <v>285366.10483870946</v>
      </c>
      <c r="H7882" s="388" t="s">
        <v>9567</v>
      </c>
    </row>
    <row r="7883" spans="1:11" x14ac:dyDescent="0.3">
      <c r="A7883" s="45">
        <v>45238</v>
      </c>
      <c r="B7883" s="396"/>
      <c r="C7883" s="5" t="s">
        <v>9758</v>
      </c>
      <c r="D7883" s="124" t="s">
        <v>12310</v>
      </c>
      <c r="E7883" s="43">
        <v>5000</v>
      </c>
      <c r="F7883" s="43"/>
      <c r="G7883" s="241">
        <f t="shared" si="197"/>
        <v>280366.10483870946</v>
      </c>
      <c r="H7883" s="388" t="s">
        <v>9567</v>
      </c>
    </row>
    <row r="7884" spans="1:11" x14ac:dyDescent="0.3">
      <c r="A7884" s="45">
        <v>45238</v>
      </c>
      <c r="B7884" s="396" t="s">
        <v>12573</v>
      </c>
      <c r="C7884" s="5" t="s">
        <v>5793</v>
      </c>
      <c r="D7884" s="124" t="s">
        <v>40</v>
      </c>
      <c r="E7884" s="43">
        <v>2700</v>
      </c>
      <c r="F7884" s="43"/>
      <c r="G7884" s="241">
        <f t="shared" si="197"/>
        <v>277666.10483870946</v>
      </c>
      <c r="H7884" s="388" t="s">
        <v>9567</v>
      </c>
    </row>
    <row r="7885" spans="1:11" x14ac:dyDescent="0.3">
      <c r="A7885" s="45">
        <v>45238</v>
      </c>
      <c r="B7885" s="396" t="s">
        <v>12517</v>
      </c>
      <c r="C7885" s="5" t="s">
        <v>5793</v>
      </c>
      <c r="D7885" s="124" t="s">
        <v>12563</v>
      </c>
      <c r="E7885" s="43">
        <v>770</v>
      </c>
      <c r="F7885" s="43"/>
      <c r="G7885" s="241">
        <f t="shared" si="197"/>
        <v>276896.10483870946</v>
      </c>
      <c r="H7885" s="388" t="s">
        <v>9567</v>
      </c>
    </row>
    <row r="7886" spans="1:11" x14ac:dyDescent="0.3">
      <c r="A7886" s="45">
        <v>45240</v>
      </c>
      <c r="B7886" s="565"/>
      <c r="C7886" s="480"/>
      <c r="D7886" s="491" t="s">
        <v>11980</v>
      </c>
      <c r="E7886" s="480"/>
      <c r="F7886" s="28">
        <v>100000</v>
      </c>
      <c r="G7886" s="241">
        <f t="shared" si="197"/>
        <v>376896.10483870946</v>
      </c>
      <c r="H7886" s="388" t="s">
        <v>9567</v>
      </c>
    </row>
    <row r="7887" spans="1:11" x14ac:dyDescent="0.3">
      <c r="A7887" s="45">
        <v>45240</v>
      </c>
      <c r="B7887" s="396" t="s">
        <v>12133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12564</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12565</v>
      </c>
      <c r="E7889" s="43">
        <v>10000</v>
      </c>
      <c r="F7889" s="43"/>
      <c r="G7889" s="241">
        <f t="shared" si="197"/>
        <v>334496.10483870946</v>
      </c>
      <c r="H7889" s="388" t="s">
        <v>9567</v>
      </c>
      <c r="I7889" s="52">
        <v>30000</v>
      </c>
    </row>
    <row r="7890" spans="1:11" x14ac:dyDescent="0.3">
      <c r="A7890" s="45">
        <v>45240</v>
      </c>
      <c r="B7890" s="587" t="s">
        <v>12079</v>
      </c>
      <c r="C7890" s="586" t="s">
        <v>54</v>
      </c>
      <c r="D7890" s="586" t="s">
        <v>12566</v>
      </c>
      <c r="E7890" s="531">
        <v>135890</v>
      </c>
      <c r="F7890" s="43"/>
      <c r="G7890" s="241">
        <f t="shared" si="197"/>
        <v>198606.10483870946</v>
      </c>
      <c r="H7890" s="388" t="s">
        <v>9567</v>
      </c>
      <c r="I7890" s="52">
        <f>I7889-I7888</f>
        <v>240</v>
      </c>
    </row>
    <row r="7891" spans="1:11" x14ac:dyDescent="0.3">
      <c r="A7891" s="45">
        <v>45240</v>
      </c>
      <c r="B7891" s="396"/>
      <c r="C7891" s="5" t="s">
        <v>12567</v>
      </c>
      <c r="D7891" s="124" t="s">
        <v>12568</v>
      </c>
      <c r="E7891" s="43">
        <v>65600</v>
      </c>
      <c r="F7891" s="43"/>
      <c r="G7891" s="241">
        <f t="shared" si="197"/>
        <v>133006.10483870946</v>
      </c>
      <c r="H7891" s="388" t="s">
        <v>9567</v>
      </c>
      <c r="I7891" s="52">
        <v>11500</v>
      </c>
    </row>
    <row r="7892" spans="1:11" x14ac:dyDescent="0.3">
      <c r="A7892" s="45">
        <v>45240</v>
      </c>
      <c r="B7892" s="396" t="s">
        <v>12321</v>
      </c>
      <c r="C7892" s="5" t="s">
        <v>11853</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12572</v>
      </c>
      <c r="E7893" s="43">
        <v>9500</v>
      </c>
      <c r="F7893" s="43"/>
      <c r="G7893" s="241">
        <f t="shared" si="197"/>
        <v>73506.104838709463</v>
      </c>
      <c r="H7893" s="388" t="s">
        <v>9567</v>
      </c>
      <c r="I7893" s="52">
        <v>1680</v>
      </c>
    </row>
    <row r="7894" spans="1:11" x14ac:dyDescent="0.3">
      <c r="A7894" s="45">
        <v>45240</v>
      </c>
      <c r="B7894" s="396" t="s">
        <v>12086</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12086</v>
      </c>
      <c r="C7898" s="5" t="s">
        <v>5793</v>
      </c>
      <c r="D7898" s="124" t="s">
        <v>40</v>
      </c>
      <c r="E7898" s="43">
        <v>1500</v>
      </c>
      <c r="F7898" s="43"/>
      <c r="G7898" s="241">
        <f t="shared" si="197"/>
        <v>65056.104838709463</v>
      </c>
      <c r="H7898" s="388" t="s">
        <v>9567</v>
      </c>
      <c r="K7898" s="52">
        <v>51000</v>
      </c>
    </row>
    <row r="7899" spans="1:11" x14ac:dyDescent="0.3">
      <c r="A7899" s="45">
        <v>45240</v>
      </c>
      <c r="B7899" s="396" t="s">
        <v>12046</v>
      </c>
      <c r="C7899" s="586" t="s">
        <v>54</v>
      </c>
      <c r="D7899" s="586" t="s">
        <v>12574</v>
      </c>
      <c r="E7899" s="531">
        <v>1600</v>
      </c>
      <c r="F7899" s="43"/>
      <c r="G7899" s="241">
        <f t="shared" si="197"/>
        <v>63456.104838709463</v>
      </c>
      <c r="H7899" s="388" t="s">
        <v>9567</v>
      </c>
      <c r="K7899" s="52">
        <v>4200</v>
      </c>
    </row>
    <row r="7900" spans="1:11" x14ac:dyDescent="0.3">
      <c r="A7900" s="45">
        <v>45240</v>
      </c>
      <c r="B7900" s="396" t="s">
        <v>12573</v>
      </c>
      <c r="C7900" s="5" t="s">
        <v>30</v>
      </c>
      <c r="D7900" s="124" t="s">
        <v>10629</v>
      </c>
      <c r="E7900" s="43">
        <v>800</v>
      </c>
      <c r="F7900" s="43"/>
      <c r="G7900" s="241">
        <f t="shared" si="197"/>
        <v>62656.104838709463</v>
      </c>
      <c r="H7900" s="388" t="s">
        <v>9567</v>
      </c>
      <c r="K7900" s="52">
        <v>10100</v>
      </c>
    </row>
    <row r="7901" spans="1:11" x14ac:dyDescent="0.3">
      <c r="A7901" s="45">
        <v>45240</v>
      </c>
      <c r="B7901" s="396" t="s">
        <v>12086</v>
      </c>
      <c r="C7901" s="5" t="s">
        <v>9451</v>
      </c>
      <c r="D7901" s="124" t="s">
        <v>12575</v>
      </c>
      <c r="E7901" s="43">
        <v>10100</v>
      </c>
      <c r="F7901" s="43"/>
      <c r="G7901" s="241">
        <f t="shared" si="197"/>
        <v>52556.104838709463</v>
      </c>
      <c r="H7901" s="388" t="s">
        <v>9567</v>
      </c>
      <c r="K7901" s="52">
        <v>5000</v>
      </c>
    </row>
    <row r="7902" spans="1:11" x14ac:dyDescent="0.3">
      <c r="A7902" s="45">
        <v>45240</v>
      </c>
      <c r="B7902" s="396" t="s">
        <v>12086</v>
      </c>
      <c r="C7902" s="5" t="s">
        <v>11174</v>
      </c>
      <c r="D7902" s="124" t="s">
        <v>12576</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11853</v>
      </c>
      <c r="D7904" s="124" t="s">
        <v>12582</v>
      </c>
      <c r="E7904" s="43">
        <v>3000</v>
      </c>
      <c r="F7904" s="43"/>
      <c r="G7904" s="241">
        <f t="shared" si="197"/>
        <v>33726.104838709463</v>
      </c>
      <c r="H7904" s="388" t="s">
        <v>9567</v>
      </c>
    </row>
    <row r="7905" spans="1:10" x14ac:dyDescent="0.3">
      <c r="A7905" s="45">
        <v>45241</v>
      </c>
      <c r="B7905" s="396" t="s">
        <v>12321</v>
      </c>
      <c r="C7905" s="5" t="s">
        <v>12351</v>
      </c>
      <c r="D7905" s="124" t="s">
        <v>12583</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5"/>
      <c r="C7907" s="480"/>
      <c r="D7907" s="491" t="s">
        <v>12584</v>
      </c>
      <c r="E7907" s="480"/>
      <c r="F7907" s="28">
        <v>100000</v>
      </c>
      <c r="G7907" s="241">
        <f t="shared" si="197"/>
        <v>126646.10483870946</v>
      </c>
      <c r="H7907" s="388" t="s">
        <v>9567</v>
      </c>
    </row>
    <row r="7908" spans="1:10" x14ac:dyDescent="0.3">
      <c r="A7908" s="45">
        <v>45241</v>
      </c>
      <c r="B7908" s="396" t="s">
        <v>12439</v>
      </c>
      <c r="C7908" s="5" t="s">
        <v>12561</v>
      </c>
      <c r="D7908" s="124" t="s">
        <v>12585</v>
      </c>
      <c r="E7908" s="43">
        <v>44000</v>
      </c>
      <c r="F7908" s="43"/>
      <c r="G7908" s="241">
        <f t="shared" si="197"/>
        <v>82646.104838709463</v>
      </c>
      <c r="H7908" s="388" t="s">
        <v>9567</v>
      </c>
    </row>
    <row r="7909" spans="1:10" x14ac:dyDescent="0.3">
      <c r="A7909" s="45">
        <v>45241</v>
      </c>
      <c r="B7909" s="396" t="s">
        <v>12049</v>
      </c>
      <c r="C7909" s="5" t="s">
        <v>12589</v>
      </c>
      <c r="D7909" s="124" t="s">
        <v>12588</v>
      </c>
      <c r="E7909" s="43">
        <v>60200</v>
      </c>
      <c r="F7909" s="43"/>
      <c r="G7909" s="241">
        <f t="shared" si="197"/>
        <v>22446.104838709463</v>
      </c>
      <c r="H7909" s="388" t="s">
        <v>9567</v>
      </c>
    </row>
    <row r="7910" spans="1:10" x14ac:dyDescent="0.3">
      <c r="A7910" s="45">
        <v>45241</v>
      </c>
      <c r="B7910" s="396" t="s">
        <v>12055</v>
      </c>
      <c r="C7910" s="5" t="s">
        <v>26</v>
      </c>
      <c r="D7910" s="124" t="s">
        <v>12586</v>
      </c>
      <c r="E7910" s="43">
        <v>5000</v>
      </c>
      <c r="F7910" s="43"/>
      <c r="G7910" s="241">
        <f>G7909+F7910-E7910</f>
        <v>17446.104838709463</v>
      </c>
      <c r="H7910" s="388" t="s">
        <v>9567</v>
      </c>
    </row>
    <row r="7911" spans="1:10" x14ac:dyDescent="0.3">
      <c r="A7911" s="45">
        <v>45241</v>
      </c>
      <c r="B7911" s="396" t="s">
        <v>12086</v>
      </c>
      <c r="C7911" s="5" t="s">
        <v>11174</v>
      </c>
      <c r="D7911" s="124" t="s">
        <v>12587</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5"/>
      <c r="C7913" s="480"/>
      <c r="D7913" s="491" t="s">
        <v>4106</v>
      </c>
      <c r="E7913" s="480"/>
      <c r="F7913" s="28">
        <v>300000</v>
      </c>
      <c r="G7913" s="241">
        <f t="shared" si="197"/>
        <v>300946.10483870946</v>
      </c>
      <c r="H7913" s="388" t="s">
        <v>9567</v>
      </c>
    </row>
    <row r="7914" spans="1:10" x14ac:dyDescent="0.3">
      <c r="A7914" s="45">
        <v>45243</v>
      </c>
      <c r="B7914" s="396" t="s">
        <v>12573</v>
      </c>
      <c r="C7914" s="5" t="s">
        <v>5288</v>
      </c>
      <c r="D7914" s="124" t="s">
        <v>12015</v>
      </c>
      <c r="E7914" s="43">
        <v>50000</v>
      </c>
      <c r="F7914" s="43"/>
      <c r="G7914" s="241">
        <f t="shared" si="197"/>
        <v>250946.10483870946</v>
      </c>
      <c r="H7914" s="388" t="s">
        <v>9567</v>
      </c>
      <c r="I7914" s="52">
        <v>5100</v>
      </c>
      <c r="J7914" s="52">
        <f>I7914*1.18</f>
        <v>6018</v>
      </c>
    </row>
    <row r="7915" spans="1:10" x14ac:dyDescent="0.3">
      <c r="A7915" s="45">
        <v>45243</v>
      </c>
      <c r="B7915" s="396" t="s">
        <v>12086</v>
      </c>
      <c r="C7915" s="5" t="s">
        <v>12596</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12439</v>
      </c>
      <c r="C7916" s="5" t="s">
        <v>11174</v>
      </c>
      <c r="D7916" s="124" t="s">
        <v>12597</v>
      </c>
      <c r="E7916" s="43">
        <v>40000</v>
      </c>
      <c r="F7916" s="43"/>
      <c r="G7916" s="241">
        <f t="shared" si="197"/>
        <v>110946.10483870946</v>
      </c>
      <c r="H7916" s="388" t="s">
        <v>9567</v>
      </c>
    </row>
    <row r="7917" spans="1:10" x14ac:dyDescent="0.3">
      <c r="A7917" s="45">
        <v>45243</v>
      </c>
      <c r="B7917" s="396" t="s">
        <v>12439</v>
      </c>
      <c r="C7917" s="5" t="s">
        <v>11174</v>
      </c>
      <c r="D7917" s="124" t="s">
        <v>12598</v>
      </c>
      <c r="E7917" s="43">
        <v>8600</v>
      </c>
      <c r="F7917" s="43"/>
      <c r="G7917" s="241">
        <f t="shared" si="197"/>
        <v>102346.10483870946</v>
      </c>
      <c r="H7917" s="388" t="s">
        <v>9567</v>
      </c>
    </row>
    <row r="7918" spans="1:10" x14ac:dyDescent="0.3">
      <c r="A7918" s="45">
        <v>45243</v>
      </c>
      <c r="B7918" s="396" t="s">
        <v>12439</v>
      </c>
      <c r="C7918" s="5" t="s">
        <v>11174</v>
      </c>
      <c r="D7918" s="124" t="s">
        <v>12597</v>
      </c>
      <c r="E7918" s="43">
        <v>46500</v>
      </c>
      <c r="F7918" s="43"/>
      <c r="G7918" s="241">
        <f t="shared" si="197"/>
        <v>55846.104838709463</v>
      </c>
      <c r="H7918" s="388" t="s">
        <v>9567</v>
      </c>
    </row>
    <row r="7919" spans="1:10" x14ac:dyDescent="0.3">
      <c r="A7919" s="45">
        <v>45243</v>
      </c>
      <c r="B7919" s="396" t="s">
        <v>12548</v>
      </c>
      <c r="C7919" s="5" t="s">
        <v>5793</v>
      </c>
      <c r="D7919" s="124" t="s">
        <v>40</v>
      </c>
      <c r="E7919" s="43">
        <v>1500</v>
      </c>
      <c r="F7919" s="43"/>
      <c r="G7919" s="241">
        <f t="shared" si="197"/>
        <v>54346.104838709463</v>
      </c>
      <c r="H7919" s="388" t="s">
        <v>9567</v>
      </c>
    </row>
    <row r="7920" spans="1:10" x14ac:dyDescent="0.3">
      <c r="A7920" s="45">
        <v>45243</v>
      </c>
      <c r="B7920" s="396" t="s">
        <v>12086</v>
      </c>
      <c r="C7920" s="5" t="s">
        <v>5793</v>
      </c>
      <c r="D7920" s="124" t="s">
        <v>40</v>
      </c>
      <c r="E7920" s="43">
        <v>1600</v>
      </c>
      <c r="F7920" s="43"/>
      <c r="G7920" s="241">
        <f t="shared" si="197"/>
        <v>52746.104838709463</v>
      </c>
      <c r="H7920" s="388" t="s">
        <v>9567</v>
      </c>
    </row>
    <row r="7921" spans="1:10" x14ac:dyDescent="0.3">
      <c r="A7921" s="45">
        <v>45243</v>
      </c>
      <c r="B7921" s="396" t="s">
        <v>12045</v>
      </c>
      <c r="C7921" s="5" t="s">
        <v>5793</v>
      </c>
      <c r="D7921" s="124" t="s">
        <v>40</v>
      </c>
      <c r="E7921" s="43">
        <v>1600</v>
      </c>
      <c r="F7921" s="43"/>
      <c r="G7921" s="241">
        <f t="shared" si="197"/>
        <v>51146.104838709463</v>
      </c>
      <c r="H7921" s="388" t="s">
        <v>9567</v>
      </c>
    </row>
    <row r="7922" spans="1:10" x14ac:dyDescent="0.3">
      <c r="A7922" s="45">
        <v>45243</v>
      </c>
      <c r="B7922" s="565"/>
      <c r="C7922" s="480"/>
      <c r="D7922" s="491" t="s">
        <v>12707</v>
      </c>
      <c r="E7922" s="480"/>
      <c r="F7922" s="28">
        <v>50000</v>
      </c>
      <c r="G7922" s="241">
        <f t="shared" si="197"/>
        <v>101146.10483870946</v>
      </c>
      <c r="H7922" s="388" t="s">
        <v>9567</v>
      </c>
    </row>
    <row r="7923" spans="1:10" x14ac:dyDescent="0.3">
      <c r="A7923" s="45">
        <v>45243</v>
      </c>
      <c r="B7923" s="396" t="s">
        <v>12049</v>
      </c>
      <c r="C7923" s="5" t="s">
        <v>5793</v>
      </c>
      <c r="D7923" s="124" t="s">
        <v>40</v>
      </c>
      <c r="E7923" s="43">
        <v>2000</v>
      </c>
      <c r="F7923" s="43"/>
      <c r="G7923" s="241">
        <f t="shared" ref="G7923" si="198">G7922+F7923-E7923</f>
        <v>99146.104838709463</v>
      </c>
      <c r="H7923" s="388" t="s">
        <v>9567</v>
      </c>
    </row>
    <row r="7924" spans="1:10" x14ac:dyDescent="0.3">
      <c r="A7924" s="45">
        <v>45243</v>
      </c>
      <c r="B7924" s="396" t="s">
        <v>11505</v>
      </c>
      <c r="C7924" s="5" t="s">
        <v>9044</v>
      </c>
      <c r="D7924" s="124" t="s">
        <v>12602</v>
      </c>
      <c r="E7924" s="43">
        <v>20000</v>
      </c>
      <c r="F7924" s="43"/>
      <c r="G7924" s="241">
        <f>G7923+F7924-E7924</f>
        <v>79146.104838709463</v>
      </c>
      <c r="H7924" s="388" t="s">
        <v>9567</v>
      </c>
    </row>
    <row r="7925" spans="1:10" x14ac:dyDescent="0.3">
      <c r="A7925" s="45">
        <v>45243</v>
      </c>
      <c r="B7925" s="396" t="s">
        <v>12086</v>
      </c>
      <c r="C7925" s="5" t="s">
        <v>11174</v>
      </c>
      <c r="D7925" s="124" t="s">
        <v>12603</v>
      </c>
      <c r="E7925" s="43">
        <v>58000</v>
      </c>
      <c r="F7925" s="43"/>
      <c r="G7925" s="241">
        <f>G7924+F7925-E7925</f>
        <v>21146.104838709463</v>
      </c>
      <c r="H7925" s="388" t="s">
        <v>9567</v>
      </c>
    </row>
    <row r="7926" spans="1:10" x14ac:dyDescent="0.3">
      <c r="A7926" s="45">
        <v>45243</v>
      </c>
      <c r="B7926" s="396" t="s">
        <v>12439</v>
      </c>
      <c r="C7926" s="5" t="s">
        <v>5793</v>
      </c>
      <c r="D7926" s="124" t="s">
        <v>40</v>
      </c>
      <c r="E7926" s="43">
        <v>1000</v>
      </c>
      <c r="F7926" s="43"/>
      <c r="G7926" s="241">
        <f t="shared" ref="G7926:G7962" si="199">G7925+F7926-E7926</f>
        <v>20146.104838709463</v>
      </c>
      <c r="H7926" s="388" t="s">
        <v>9567</v>
      </c>
    </row>
    <row r="7927" spans="1:10" x14ac:dyDescent="0.3">
      <c r="A7927" s="45">
        <v>45243</v>
      </c>
      <c r="B7927" s="396" t="s">
        <v>12086</v>
      </c>
      <c r="C7927" s="5" t="s">
        <v>5793</v>
      </c>
      <c r="D7927" s="124" t="s">
        <v>40</v>
      </c>
      <c r="E7927" s="43">
        <v>1600</v>
      </c>
      <c r="F7927" s="43"/>
      <c r="G7927" s="241">
        <f t="shared" si="199"/>
        <v>18546.104838709463</v>
      </c>
      <c r="H7927" s="388" t="s">
        <v>9567</v>
      </c>
    </row>
    <row r="7928" spans="1:10" x14ac:dyDescent="0.3">
      <c r="A7928" s="45">
        <v>45243</v>
      </c>
      <c r="B7928" s="396" t="s">
        <v>12086</v>
      </c>
      <c r="C7928" s="5" t="s">
        <v>9749</v>
      </c>
      <c r="D7928" s="124" t="s">
        <v>12600</v>
      </c>
      <c r="E7928" s="43">
        <v>20000</v>
      </c>
      <c r="F7928" s="43"/>
      <c r="G7928" s="241">
        <f t="shared" si="199"/>
        <v>-1453.8951612905366</v>
      </c>
      <c r="H7928" s="388" t="s">
        <v>9567</v>
      </c>
    </row>
    <row r="7929" spans="1:10" x14ac:dyDescent="0.3">
      <c r="A7929" s="45">
        <v>45243</v>
      </c>
      <c r="B7929" s="565"/>
      <c r="C7929" s="480"/>
      <c r="D7929" s="491" t="s">
        <v>11980</v>
      </c>
      <c r="E7929" s="480"/>
      <c r="F7929" s="28">
        <v>25000</v>
      </c>
      <c r="G7929" s="241">
        <f t="shared" si="199"/>
        <v>23546.104838709463</v>
      </c>
      <c r="H7929" s="388" t="s">
        <v>9567</v>
      </c>
    </row>
    <row r="7930" spans="1:10" x14ac:dyDescent="0.3">
      <c r="A7930" s="45">
        <v>45243</v>
      </c>
      <c r="B7930" s="396" t="s">
        <v>12611</v>
      </c>
      <c r="C7930" s="5" t="s">
        <v>6430</v>
      </c>
      <c r="D7930" s="124" t="s">
        <v>294</v>
      </c>
      <c r="E7930" s="43">
        <v>22000</v>
      </c>
      <c r="F7930" s="43"/>
      <c r="G7930" s="241">
        <f t="shared" si="199"/>
        <v>1546.1048387094634</v>
      </c>
      <c r="H7930" s="388" t="s">
        <v>9567</v>
      </c>
      <c r="J7930" s="169"/>
    </row>
    <row r="7931" spans="1:10" x14ac:dyDescent="0.3">
      <c r="A7931" s="45">
        <v>45244</v>
      </c>
      <c r="B7931" s="565"/>
      <c r="C7931" s="480"/>
      <c r="D7931" s="491" t="s">
        <v>7348</v>
      </c>
      <c r="E7931" s="480"/>
      <c r="F7931" s="28">
        <v>100000</v>
      </c>
      <c r="G7931" s="241">
        <f t="shared" si="199"/>
        <v>101546.10483870946</v>
      </c>
      <c r="H7931" s="388" t="s">
        <v>9567</v>
      </c>
    </row>
    <row r="7932" spans="1:10" x14ac:dyDescent="0.3">
      <c r="A7932" s="45">
        <v>45244</v>
      </c>
      <c r="B7932" s="396" t="s">
        <v>12135</v>
      </c>
      <c r="C7932" s="5" t="s">
        <v>12608</v>
      </c>
      <c r="D7932" s="124" t="s">
        <v>49</v>
      </c>
      <c r="E7932" s="43">
        <v>10000</v>
      </c>
      <c r="F7932" s="43"/>
      <c r="G7932" s="241">
        <f t="shared" si="199"/>
        <v>91546.104838709463</v>
      </c>
      <c r="H7932" s="388" t="s">
        <v>9567</v>
      </c>
      <c r="J7932" s="169"/>
    </row>
    <row r="7933" spans="1:10" x14ac:dyDescent="0.3">
      <c r="A7933" s="45">
        <v>45244</v>
      </c>
      <c r="B7933" s="396"/>
      <c r="C7933" s="5" t="s">
        <v>14</v>
      </c>
      <c r="D7933" s="124" t="s">
        <v>12215</v>
      </c>
      <c r="E7933" s="43">
        <v>19000</v>
      </c>
      <c r="F7933" s="43"/>
      <c r="G7933" s="241">
        <f t="shared" si="199"/>
        <v>72546.104838709463</v>
      </c>
      <c r="H7933" s="388" t="s">
        <v>9567</v>
      </c>
      <c r="J7933" s="169"/>
    </row>
    <row r="7934" spans="1:10" x14ac:dyDescent="0.3">
      <c r="A7934" s="45">
        <v>45244</v>
      </c>
      <c r="B7934" s="396" t="s">
        <v>12133</v>
      </c>
      <c r="C7934" s="5" t="s">
        <v>11174</v>
      </c>
      <c r="D7934" s="124" t="s">
        <v>12612</v>
      </c>
      <c r="E7934" s="43">
        <v>1500</v>
      </c>
      <c r="F7934" s="43"/>
      <c r="G7934" s="241">
        <f t="shared" si="199"/>
        <v>71046.104838709463</v>
      </c>
      <c r="H7934" s="388" t="s">
        <v>9567</v>
      </c>
      <c r="J7934" s="169"/>
    </row>
    <row r="7935" spans="1:10" x14ac:dyDescent="0.3">
      <c r="A7935" s="45">
        <v>45244</v>
      </c>
      <c r="B7935" s="396" t="s">
        <v>12050</v>
      </c>
      <c r="C7935" s="5" t="s">
        <v>11174</v>
      </c>
      <c r="D7935" s="124" t="s">
        <v>12613</v>
      </c>
      <c r="E7935" s="43">
        <v>750</v>
      </c>
      <c r="F7935" s="43"/>
      <c r="G7935" s="241">
        <f t="shared" si="199"/>
        <v>70296.104838709463</v>
      </c>
      <c r="H7935" s="388" t="s">
        <v>9567</v>
      </c>
    </row>
    <row r="7936" spans="1:10" x14ac:dyDescent="0.3">
      <c r="A7936" s="45">
        <v>45244</v>
      </c>
      <c r="B7936" s="396" t="s">
        <v>12050</v>
      </c>
      <c r="C7936" s="5" t="s">
        <v>11174</v>
      </c>
      <c r="D7936" s="124" t="s">
        <v>12614</v>
      </c>
      <c r="E7936" s="43">
        <v>1500</v>
      </c>
      <c r="F7936" s="43"/>
      <c r="G7936" s="241">
        <f t="shared" si="199"/>
        <v>68796.104838709463</v>
      </c>
      <c r="H7936" s="388" t="s">
        <v>9567</v>
      </c>
    </row>
    <row r="7937" spans="1:8" x14ac:dyDescent="0.3">
      <c r="A7937" s="45">
        <v>45244</v>
      </c>
      <c r="B7937" s="396" t="s">
        <v>12133</v>
      </c>
      <c r="C7937" s="5" t="s">
        <v>5162</v>
      </c>
      <c r="D7937" s="124" t="s">
        <v>294</v>
      </c>
      <c r="E7937" s="43">
        <v>4000</v>
      </c>
      <c r="F7937" s="43"/>
      <c r="G7937" s="241">
        <f t="shared" si="199"/>
        <v>64796.104838709463</v>
      </c>
      <c r="H7937" s="388" t="s">
        <v>9567</v>
      </c>
    </row>
    <row r="7938" spans="1:8" x14ac:dyDescent="0.3">
      <c r="A7938" s="45">
        <v>45244</v>
      </c>
      <c r="B7938" s="396" t="s">
        <v>12133</v>
      </c>
      <c r="C7938" s="5" t="s">
        <v>84</v>
      </c>
      <c r="D7938" s="124" t="s">
        <v>12610</v>
      </c>
      <c r="E7938" s="43">
        <v>1000</v>
      </c>
      <c r="F7938" s="43"/>
      <c r="G7938" s="241">
        <f t="shared" si="199"/>
        <v>63796.104838709463</v>
      </c>
      <c r="H7938" s="388" t="s">
        <v>9567</v>
      </c>
    </row>
    <row r="7939" spans="1:8" x14ac:dyDescent="0.3">
      <c r="A7939" s="45">
        <v>45244</v>
      </c>
      <c r="B7939" s="568" t="s">
        <v>25</v>
      </c>
      <c r="C7939" s="44" t="s">
        <v>25</v>
      </c>
      <c r="D7939" s="44" t="s">
        <v>11434</v>
      </c>
      <c r="E7939" s="43">
        <v>4000</v>
      </c>
      <c r="F7939" s="43"/>
      <c r="G7939" s="241">
        <f t="shared" si="199"/>
        <v>59796.104838709463</v>
      </c>
      <c r="H7939" s="388" t="s">
        <v>9567</v>
      </c>
    </row>
    <row r="7940" spans="1:8" x14ac:dyDescent="0.3">
      <c r="A7940" s="45">
        <v>45244</v>
      </c>
      <c r="B7940" s="396" t="s">
        <v>12086</v>
      </c>
      <c r="C7940" s="5" t="s">
        <v>5793</v>
      </c>
      <c r="D7940" s="124" t="s">
        <v>40</v>
      </c>
      <c r="E7940" s="43">
        <v>800</v>
      </c>
      <c r="F7940" s="43"/>
      <c r="G7940" s="241">
        <f t="shared" si="199"/>
        <v>58996.104838709463</v>
      </c>
      <c r="H7940" s="388" t="s">
        <v>9567</v>
      </c>
    </row>
    <row r="7941" spans="1:8" x14ac:dyDescent="0.3">
      <c r="A7941" s="45">
        <v>45244</v>
      </c>
      <c r="B7941" s="396" t="s">
        <v>12086</v>
      </c>
      <c r="C7941" s="5" t="s">
        <v>5793</v>
      </c>
      <c r="D7941" s="124" t="s">
        <v>40</v>
      </c>
      <c r="E7941" s="43">
        <v>2000</v>
      </c>
      <c r="F7941" s="43"/>
      <c r="G7941" s="241">
        <f t="shared" si="199"/>
        <v>56996.104838709463</v>
      </c>
      <c r="H7941" s="388" t="s">
        <v>9567</v>
      </c>
    </row>
    <row r="7942" spans="1:8" x14ac:dyDescent="0.3">
      <c r="A7942" s="45">
        <v>45244</v>
      </c>
      <c r="B7942" s="396" t="s">
        <v>12086</v>
      </c>
      <c r="C7942" s="5" t="s">
        <v>5793</v>
      </c>
      <c r="D7942" s="124" t="s">
        <v>8924</v>
      </c>
      <c r="E7942" s="43">
        <v>950</v>
      </c>
      <c r="F7942" s="43"/>
      <c r="G7942" s="241">
        <f t="shared" si="199"/>
        <v>56046.104838709463</v>
      </c>
      <c r="H7942" s="388" t="s">
        <v>9567</v>
      </c>
    </row>
    <row r="7943" spans="1:8" x14ac:dyDescent="0.3">
      <c r="A7943" s="45">
        <v>45244</v>
      </c>
      <c r="B7943" s="396" t="s">
        <v>12086</v>
      </c>
      <c r="C7943" s="5" t="s">
        <v>11174</v>
      </c>
      <c r="D7943" s="124" t="s">
        <v>12617</v>
      </c>
      <c r="E7943" s="43">
        <v>1200</v>
      </c>
      <c r="F7943" s="43"/>
      <c r="G7943" s="241">
        <f t="shared" si="199"/>
        <v>54846.104838709463</v>
      </c>
      <c r="H7943" s="388" t="s">
        <v>9567</v>
      </c>
    </row>
    <row r="7944" spans="1:8" x14ac:dyDescent="0.3">
      <c r="A7944" s="45">
        <v>45244</v>
      </c>
      <c r="B7944" s="396" t="s">
        <v>12045</v>
      </c>
      <c r="C7944" s="5" t="s">
        <v>5793</v>
      </c>
      <c r="D7944" s="124" t="s">
        <v>40</v>
      </c>
      <c r="E7944" s="43">
        <v>3000</v>
      </c>
      <c r="F7944" s="43"/>
      <c r="G7944" s="241">
        <f t="shared" si="199"/>
        <v>51846.104838709463</v>
      </c>
      <c r="H7944" s="388" t="s">
        <v>9567</v>
      </c>
    </row>
    <row r="7945" spans="1:8" x14ac:dyDescent="0.3">
      <c r="A7945" s="45">
        <v>45244</v>
      </c>
      <c r="B7945" s="396" t="s">
        <v>12573</v>
      </c>
      <c r="C7945" s="5" t="s">
        <v>11174</v>
      </c>
      <c r="D7945" s="124" t="s">
        <v>12618</v>
      </c>
      <c r="E7945" s="43">
        <v>11200</v>
      </c>
      <c r="F7945" s="43"/>
      <c r="G7945" s="241">
        <f t="shared" si="199"/>
        <v>40646.104838709463</v>
      </c>
      <c r="H7945" s="388" t="s">
        <v>9567</v>
      </c>
    </row>
    <row r="7946" spans="1:8" x14ac:dyDescent="0.3">
      <c r="A7946" s="45">
        <v>45245</v>
      </c>
      <c r="B7946" s="396"/>
      <c r="C7946" s="5" t="s">
        <v>84</v>
      </c>
      <c r="D7946" s="124" t="s">
        <v>12616</v>
      </c>
      <c r="E7946" s="43">
        <v>1000</v>
      </c>
      <c r="F7946" s="43"/>
      <c r="G7946" s="241">
        <f t="shared" si="199"/>
        <v>39646.104838709463</v>
      </c>
      <c r="H7946" s="388" t="s">
        <v>9567</v>
      </c>
    </row>
    <row r="7947" spans="1:8" x14ac:dyDescent="0.3">
      <c r="A7947" s="45">
        <v>45245</v>
      </c>
      <c r="B7947" s="396" t="s">
        <v>12230</v>
      </c>
      <c r="C7947" s="5" t="s">
        <v>26</v>
      </c>
      <c r="D7947" s="124" t="s">
        <v>6169</v>
      </c>
      <c r="E7947" s="43">
        <v>1500</v>
      </c>
      <c r="F7947" s="43"/>
      <c r="G7947" s="241">
        <f t="shared" si="199"/>
        <v>38146.104838709463</v>
      </c>
      <c r="H7947" s="388" t="s">
        <v>9567</v>
      </c>
    </row>
    <row r="7948" spans="1:8" x14ac:dyDescent="0.3">
      <c r="A7948" s="45">
        <v>45245</v>
      </c>
      <c r="B7948" s="565"/>
      <c r="C7948" s="480"/>
      <c r="D7948" s="491" t="s">
        <v>7348</v>
      </c>
      <c r="E7948" s="480"/>
      <c r="F7948" s="28">
        <v>100000</v>
      </c>
      <c r="G7948" s="241">
        <f t="shared" si="199"/>
        <v>138146.10483870946</v>
      </c>
      <c r="H7948" s="388" t="s">
        <v>9567</v>
      </c>
    </row>
    <row r="7949" spans="1:8" x14ac:dyDescent="0.3">
      <c r="A7949" s="45">
        <v>45245</v>
      </c>
      <c r="B7949" s="396" t="s">
        <v>12321</v>
      </c>
      <c r="C7949" s="5" t="s">
        <v>11853</v>
      </c>
      <c r="D7949" s="124" t="s">
        <v>582</v>
      </c>
      <c r="E7949" s="43">
        <v>50000</v>
      </c>
      <c r="F7949" s="43"/>
      <c r="G7949" s="241">
        <f t="shared" si="199"/>
        <v>88146.104838709463</v>
      </c>
      <c r="H7949" s="388" t="s">
        <v>9567</v>
      </c>
    </row>
    <row r="7950" spans="1:8" x14ac:dyDescent="0.3">
      <c r="A7950" s="45">
        <v>45245</v>
      </c>
      <c r="B7950" s="396" t="s">
        <v>12086</v>
      </c>
      <c r="C7950" s="5" t="s">
        <v>5793</v>
      </c>
      <c r="D7950" s="124" t="s">
        <v>40</v>
      </c>
      <c r="E7950" s="43">
        <v>3000</v>
      </c>
      <c r="F7950" s="43"/>
      <c r="G7950" s="241">
        <f t="shared" si="199"/>
        <v>85146.104838709463</v>
      </c>
      <c r="H7950" s="388" t="s">
        <v>9567</v>
      </c>
    </row>
    <row r="7951" spans="1:8" x14ac:dyDescent="0.3">
      <c r="A7951" s="45">
        <v>45245</v>
      </c>
      <c r="B7951" s="568" t="s">
        <v>25</v>
      </c>
      <c r="C7951" s="44" t="s">
        <v>25</v>
      </c>
      <c r="D7951" s="44" t="s">
        <v>11434</v>
      </c>
      <c r="E7951" s="43">
        <v>4000</v>
      </c>
      <c r="F7951" s="43"/>
      <c r="G7951" s="241">
        <f t="shared" si="199"/>
        <v>81146.104838709463</v>
      </c>
      <c r="H7951" s="388" t="s">
        <v>9567</v>
      </c>
    </row>
    <row r="7952" spans="1:8" x14ac:dyDescent="0.3">
      <c r="A7952" s="45">
        <v>45245</v>
      </c>
      <c r="B7952" s="396" t="s">
        <v>12086</v>
      </c>
      <c r="C7952" s="5" t="s">
        <v>11174</v>
      </c>
      <c r="D7952" s="124" t="s">
        <v>12619</v>
      </c>
      <c r="E7952" s="43">
        <v>15000</v>
      </c>
      <c r="F7952" s="43"/>
      <c r="G7952" s="241">
        <f t="shared" si="199"/>
        <v>66146.104838709463</v>
      </c>
      <c r="H7952" s="388" t="s">
        <v>9567</v>
      </c>
    </row>
    <row r="7953" spans="1:8" x14ac:dyDescent="0.3">
      <c r="A7953" s="45">
        <v>45245</v>
      </c>
      <c r="B7953" s="396" t="s">
        <v>12086</v>
      </c>
      <c r="C7953" s="5" t="s">
        <v>11174</v>
      </c>
      <c r="D7953" s="124" t="s">
        <v>12618</v>
      </c>
      <c r="E7953" s="43">
        <v>13500</v>
      </c>
      <c r="F7953" s="43"/>
      <c r="G7953" s="241">
        <f t="shared" si="199"/>
        <v>52646.104838709463</v>
      </c>
      <c r="H7953" s="388" t="s">
        <v>9567</v>
      </c>
    </row>
    <row r="7954" spans="1:8" x14ac:dyDescent="0.3">
      <c r="A7954" s="45">
        <v>45245</v>
      </c>
      <c r="B7954" s="396" t="s">
        <v>12086</v>
      </c>
      <c r="C7954" s="5" t="s">
        <v>11174</v>
      </c>
      <c r="D7954" s="124" t="s">
        <v>12620</v>
      </c>
      <c r="E7954" s="43">
        <v>7200</v>
      </c>
      <c r="F7954" s="43"/>
      <c r="G7954" s="241">
        <f t="shared" si="199"/>
        <v>45446.104838709463</v>
      </c>
      <c r="H7954" s="388" t="s">
        <v>9567</v>
      </c>
    </row>
    <row r="7955" spans="1:8" x14ac:dyDescent="0.3">
      <c r="A7955" s="45">
        <v>45245</v>
      </c>
      <c r="B7955" s="396" t="s">
        <v>12045</v>
      </c>
      <c r="C7955" s="5" t="s">
        <v>11174</v>
      </c>
      <c r="D7955" s="124" t="s">
        <v>12621</v>
      </c>
      <c r="E7955" s="43">
        <v>600</v>
      </c>
      <c r="F7955" s="43"/>
      <c r="G7955" s="241">
        <f t="shared" si="199"/>
        <v>44846.104838709463</v>
      </c>
      <c r="H7955" s="388" t="s">
        <v>9567</v>
      </c>
    </row>
    <row r="7956" spans="1:8" x14ac:dyDescent="0.3">
      <c r="A7956" s="45">
        <v>45245</v>
      </c>
      <c r="B7956" s="396" t="s">
        <v>12086</v>
      </c>
      <c r="C7956" s="5" t="s">
        <v>11174</v>
      </c>
      <c r="D7956" s="124" t="s">
        <v>12622</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12551</v>
      </c>
      <c r="C7958" s="5" t="s">
        <v>8863</v>
      </c>
      <c r="D7958" s="124" t="s">
        <v>294</v>
      </c>
      <c r="E7958" s="43">
        <v>15000</v>
      </c>
      <c r="F7958" s="43"/>
      <c r="G7958" s="241">
        <f t="shared" si="199"/>
        <v>26596.104838709463</v>
      </c>
      <c r="H7958" s="388" t="s">
        <v>9567</v>
      </c>
    </row>
    <row r="7959" spans="1:8" x14ac:dyDescent="0.3">
      <c r="A7959" s="45">
        <v>45245</v>
      </c>
      <c r="B7959" s="396" t="s">
        <v>12573</v>
      </c>
      <c r="C7959" s="5" t="s">
        <v>5793</v>
      </c>
      <c r="D7959" s="124" t="s">
        <v>40</v>
      </c>
      <c r="E7959" s="43">
        <v>3000</v>
      </c>
      <c r="F7959" s="43"/>
      <c r="G7959" s="241">
        <f t="shared" si="199"/>
        <v>23596.104838709463</v>
      </c>
      <c r="H7959" s="388" t="s">
        <v>9567</v>
      </c>
    </row>
    <row r="7960" spans="1:8" x14ac:dyDescent="0.3">
      <c r="A7960" s="45">
        <v>45246</v>
      </c>
      <c r="B7960" s="396" t="s">
        <v>12230</v>
      </c>
      <c r="C7960" s="5" t="s">
        <v>1074</v>
      </c>
      <c r="D7960" s="124" t="s">
        <v>12623</v>
      </c>
      <c r="E7960" s="43">
        <f>700+1300</f>
        <v>2000</v>
      </c>
      <c r="F7960" s="43"/>
      <c r="G7960" s="241">
        <f t="shared" si="199"/>
        <v>21596.104838709463</v>
      </c>
      <c r="H7960" s="388" t="s">
        <v>9567</v>
      </c>
    </row>
    <row r="7961" spans="1:8" x14ac:dyDescent="0.3">
      <c r="A7961" s="45">
        <v>45246</v>
      </c>
      <c r="B7961" s="396" t="s">
        <v>25</v>
      </c>
      <c r="C7961" s="5" t="s">
        <v>1074</v>
      </c>
      <c r="D7961" s="124" t="s">
        <v>12623</v>
      </c>
      <c r="E7961" s="43">
        <f>5000+3700</f>
        <v>8700</v>
      </c>
      <c r="F7961" s="43"/>
      <c r="G7961" s="241">
        <f t="shared" si="199"/>
        <v>12896.104838709463</v>
      </c>
      <c r="H7961" s="388" t="s">
        <v>9567</v>
      </c>
    </row>
    <row r="7962" spans="1:8" x14ac:dyDescent="0.3">
      <c r="A7962" s="45">
        <v>45246</v>
      </c>
      <c r="B7962" s="396" t="s">
        <v>12049</v>
      </c>
      <c r="C7962" s="5" t="s">
        <v>8924</v>
      </c>
      <c r="D7962" s="124" t="s">
        <v>40</v>
      </c>
      <c r="E7962" s="43">
        <v>350</v>
      </c>
      <c r="F7962" s="43"/>
      <c r="G7962" s="241">
        <f t="shared" si="199"/>
        <v>12546.104838709463</v>
      </c>
      <c r="H7962" s="388" t="s">
        <v>9567</v>
      </c>
    </row>
    <row r="7963" spans="1:8" x14ac:dyDescent="0.3">
      <c r="A7963" s="45">
        <v>45246</v>
      </c>
      <c r="B7963" s="565"/>
      <c r="C7963" s="480"/>
      <c r="D7963" s="491" t="s">
        <v>7348</v>
      </c>
      <c r="E7963" s="480"/>
      <c r="F7963" s="28">
        <v>100000</v>
      </c>
      <c r="G7963" s="241">
        <f t="shared" ref="G7963:G8033" si="200">G7962+F7963-E7963</f>
        <v>112546.10483870946</v>
      </c>
      <c r="H7963" s="388" t="s">
        <v>9567</v>
      </c>
    </row>
    <row r="7964" spans="1:8" x14ac:dyDescent="0.3">
      <c r="A7964" s="45">
        <v>45247</v>
      </c>
      <c r="B7964" s="396" t="s">
        <v>12135</v>
      </c>
      <c r="C7964" s="5" t="s">
        <v>12608</v>
      </c>
      <c r="D7964" s="124" t="s">
        <v>49</v>
      </c>
      <c r="E7964" s="43">
        <v>10000</v>
      </c>
      <c r="F7964" s="43"/>
      <c r="G7964" s="241">
        <f t="shared" si="200"/>
        <v>102546.10483870946</v>
      </c>
      <c r="H7964" s="388" t="s">
        <v>9567</v>
      </c>
    </row>
    <row r="7965" spans="1:8" x14ac:dyDescent="0.3">
      <c r="A7965" s="45">
        <v>45247</v>
      </c>
      <c r="B7965" s="396" t="s">
        <v>12086</v>
      </c>
      <c r="C7965" s="5" t="s">
        <v>11174</v>
      </c>
      <c r="D7965" s="124" t="s">
        <v>12678</v>
      </c>
      <c r="E7965" s="43">
        <v>65000</v>
      </c>
      <c r="F7965" s="43"/>
      <c r="G7965" s="241">
        <f t="shared" si="200"/>
        <v>37546.104838709463</v>
      </c>
      <c r="H7965" s="388" t="s">
        <v>9567</v>
      </c>
    </row>
    <row r="7966" spans="1:8" x14ac:dyDescent="0.3">
      <c r="A7966" s="45">
        <v>45247</v>
      </c>
      <c r="B7966" s="396" t="s">
        <v>12086</v>
      </c>
      <c r="C7966" s="5" t="s">
        <v>11174</v>
      </c>
      <c r="D7966" s="124" t="s">
        <v>12630</v>
      </c>
      <c r="E7966" s="43">
        <v>4000</v>
      </c>
      <c r="F7966" s="43"/>
      <c r="G7966" s="241">
        <f t="shared" si="200"/>
        <v>33546.104838709463</v>
      </c>
      <c r="H7966" s="388" t="s">
        <v>9567</v>
      </c>
    </row>
    <row r="7967" spans="1:8" x14ac:dyDescent="0.3">
      <c r="A7967" s="45">
        <v>45247</v>
      </c>
      <c r="B7967" s="396" t="s">
        <v>12086</v>
      </c>
      <c r="C7967" s="5" t="s">
        <v>11174</v>
      </c>
      <c r="D7967" s="124" t="s">
        <v>12631</v>
      </c>
      <c r="E7967" s="43">
        <v>11200</v>
      </c>
      <c r="F7967" s="43"/>
      <c r="G7967" s="241">
        <f t="shared" si="200"/>
        <v>22346.104838709463</v>
      </c>
      <c r="H7967" s="388" t="s">
        <v>9567</v>
      </c>
    </row>
    <row r="7968" spans="1:8" x14ac:dyDescent="0.3">
      <c r="A7968" s="45">
        <v>45247</v>
      </c>
      <c r="B7968" s="396" t="s">
        <v>12086</v>
      </c>
      <c r="C7968" s="5" t="s">
        <v>11174</v>
      </c>
      <c r="D7968" s="124" t="s">
        <v>12632</v>
      </c>
      <c r="E7968" s="43">
        <v>5720</v>
      </c>
      <c r="F7968" s="43"/>
      <c r="G7968" s="241">
        <f t="shared" si="200"/>
        <v>16626.104838709463</v>
      </c>
      <c r="H7968" s="388" t="s">
        <v>9567</v>
      </c>
    </row>
    <row r="7969" spans="1:12" x14ac:dyDescent="0.3">
      <c r="A7969" s="45">
        <v>45247</v>
      </c>
      <c r="B7969" s="396" t="s">
        <v>12548</v>
      </c>
      <c r="C7969" s="5" t="s">
        <v>11174</v>
      </c>
      <c r="D7969" s="124" t="s">
        <v>12633</v>
      </c>
      <c r="E7969" s="43">
        <v>6480</v>
      </c>
      <c r="F7969" s="43"/>
      <c r="G7969" s="241">
        <f t="shared" si="200"/>
        <v>10146.104838709463</v>
      </c>
      <c r="H7969" s="388" t="s">
        <v>9567</v>
      </c>
    </row>
    <row r="7970" spans="1:12" x14ac:dyDescent="0.3">
      <c r="A7970" s="45">
        <v>45247</v>
      </c>
      <c r="B7970" s="565"/>
      <c r="C7970" s="480"/>
      <c r="D7970" s="491" t="s">
        <v>7348</v>
      </c>
      <c r="E7970" s="480"/>
      <c r="F7970" s="28">
        <v>200000</v>
      </c>
      <c r="G7970" s="241">
        <f t="shared" si="200"/>
        <v>210146.10483870946</v>
      </c>
      <c r="H7970" s="388" t="s">
        <v>9567</v>
      </c>
    </row>
    <row r="7971" spans="1:12" x14ac:dyDescent="0.3">
      <c r="A7971" s="45">
        <v>45247</v>
      </c>
      <c r="B7971" s="396" t="s">
        <v>12548</v>
      </c>
      <c r="C7971" s="5" t="s">
        <v>10870</v>
      </c>
      <c r="D7971" s="124" t="s">
        <v>12634</v>
      </c>
      <c r="E7971" s="43">
        <v>14400</v>
      </c>
      <c r="F7971" s="43"/>
      <c r="G7971" s="241">
        <f t="shared" si="200"/>
        <v>195746.10483870946</v>
      </c>
      <c r="H7971" s="388" t="s">
        <v>9567</v>
      </c>
    </row>
    <row r="7972" spans="1:12" x14ac:dyDescent="0.3">
      <c r="A7972" s="45">
        <v>45248</v>
      </c>
      <c r="B7972" s="396" t="s">
        <v>12548</v>
      </c>
      <c r="C7972" s="5" t="s">
        <v>5793</v>
      </c>
      <c r="D7972" s="124" t="s">
        <v>40</v>
      </c>
      <c r="E7972" s="43">
        <v>2000</v>
      </c>
      <c r="F7972" s="43"/>
      <c r="G7972" s="241">
        <f t="shared" si="200"/>
        <v>193746.10483870946</v>
      </c>
      <c r="H7972" s="388" t="s">
        <v>9567</v>
      </c>
    </row>
    <row r="7973" spans="1:12" x14ac:dyDescent="0.3">
      <c r="A7973" s="45">
        <v>45248</v>
      </c>
      <c r="B7973" s="396" t="s">
        <v>12086</v>
      </c>
      <c r="C7973" s="5" t="s">
        <v>5793</v>
      </c>
      <c r="D7973" s="124" t="s">
        <v>40</v>
      </c>
      <c r="E7973" s="43">
        <v>1250</v>
      </c>
      <c r="F7973" s="43"/>
      <c r="G7973" s="241">
        <f t="shared" si="200"/>
        <v>192496.10483870946</v>
      </c>
      <c r="H7973" s="388" t="s">
        <v>9567</v>
      </c>
    </row>
    <row r="7974" spans="1:12" x14ac:dyDescent="0.3">
      <c r="A7974" s="45">
        <v>45248</v>
      </c>
      <c r="B7974" s="396" t="s">
        <v>12055</v>
      </c>
      <c r="C7974" s="5" t="s">
        <v>54</v>
      </c>
      <c r="D7974" s="124" t="s">
        <v>12635</v>
      </c>
      <c r="E7974" s="43">
        <v>5000</v>
      </c>
      <c r="F7974" s="43"/>
      <c r="G7974" s="241">
        <f t="shared" si="200"/>
        <v>187496.10483870946</v>
      </c>
      <c r="H7974" s="388" t="s">
        <v>9567</v>
      </c>
      <c r="I7974" s="52">
        <v>495000</v>
      </c>
    </row>
    <row r="7975" spans="1:12" x14ac:dyDescent="0.3">
      <c r="A7975" s="45">
        <v>45248</v>
      </c>
      <c r="B7975" s="396" t="s">
        <v>12050</v>
      </c>
      <c r="C7975" s="5" t="s">
        <v>10745</v>
      </c>
      <c r="D7975" s="124" t="s">
        <v>294</v>
      </c>
      <c r="E7975" s="43">
        <v>20000</v>
      </c>
      <c r="F7975" s="43"/>
      <c r="G7975" s="241">
        <f t="shared" si="200"/>
        <v>167496.10483870946</v>
      </c>
      <c r="H7975" s="388" t="s">
        <v>9567</v>
      </c>
      <c r="I7975" s="52">
        <v>490000</v>
      </c>
    </row>
    <row r="7976" spans="1:12" x14ac:dyDescent="0.3">
      <c r="A7976" s="45">
        <v>45248</v>
      </c>
      <c r="B7976" s="396" t="s">
        <v>12636</v>
      </c>
      <c r="C7976" s="5" t="s">
        <v>11174</v>
      </c>
      <c r="D7976" s="124" t="s">
        <v>12637</v>
      </c>
      <c r="E7976" s="43">
        <v>42000</v>
      </c>
      <c r="F7976" s="43"/>
      <c r="G7976" s="241">
        <f t="shared" si="200"/>
        <v>125496.10483870946</v>
      </c>
      <c r="H7976" s="388" t="s">
        <v>9567</v>
      </c>
      <c r="I7976" s="52">
        <v>417729</v>
      </c>
    </row>
    <row r="7977" spans="1:12" x14ac:dyDescent="0.3">
      <c r="A7977" s="45">
        <v>45248</v>
      </c>
      <c r="B7977" s="396" t="s">
        <v>10319</v>
      </c>
      <c r="C7977" s="5" t="s">
        <v>11174</v>
      </c>
      <c r="D7977" s="124" t="s">
        <v>12620</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12642</v>
      </c>
      <c r="E7978" s="43">
        <v>39000</v>
      </c>
      <c r="F7978" s="43"/>
      <c r="G7978" s="241">
        <f t="shared" si="200"/>
        <v>60576.104838709463</v>
      </c>
      <c r="H7978" s="388" t="s">
        <v>9567</v>
      </c>
      <c r="I7978" s="52">
        <v>500000</v>
      </c>
      <c r="K7978" s="52">
        <v>20000</v>
      </c>
      <c r="L7978" s="4" t="s">
        <v>12626</v>
      </c>
    </row>
    <row r="7979" spans="1:12" x14ac:dyDescent="0.3">
      <c r="A7979" s="45">
        <v>45248</v>
      </c>
      <c r="B7979" s="396" t="s">
        <v>12086</v>
      </c>
      <c r="C7979" s="5" t="s">
        <v>11174</v>
      </c>
      <c r="D7979" s="124" t="s">
        <v>12643</v>
      </c>
      <c r="E7979" s="43">
        <v>29320</v>
      </c>
      <c r="F7979" s="43"/>
      <c r="G7979" s="241">
        <f t="shared" si="200"/>
        <v>31256.104838709463</v>
      </c>
      <c r="H7979" s="388" t="s">
        <v>9567</v>
      </c>
      <c r="I7979" s="52">
        <v>500000</v>
      </c>
      <c r="K7979" s="52">
        <v>5000</v>
      </c>
      <c r="L7979" s="4" t="s">
        <v>12627</v>
      </c>
    </row>
    <row r="7980" spans="1:12" x14ac:dyDescent="0.3">
      <c r="A7980" s="45">
        <v>45248</v>
      </c>
      <c r="B7980" s="396" t="s">
        <v>12086</v>
      </c>
      <c r="C7980" s="5" t="s">
        <v>11174</v>
      </c>
      <c r="D7980" s="124" t="s">
        <v>12644</v>
      </c>
      <c r="E7980" s="43">
        <v>4300</v>
      </c>
      <c r="F7980" s="43"/>
      <c r="G7980" s="241">
        <f t="shared" si="200"/>
        <v>26956.104838709463</v>
      </c>
      <c r="H7980" s="388" t="s">
        <v>9567</v>
      </c>
      <c r="I7980" s="52">
        <v>500000</v>
      </c>
      <c r="K7980" s="52">
        <f>K7977-K7978-K7979</f>
        <v>175000</v>
      </c>
    </row>
    <row r="7981" spans="1:12" x14ac:dyDescent="0.3">
      <c r="A7981" s="45">
        <v>45248</v>
      </c>
      <c r="B7981" s="396" t="s">
        <v>12086</v>
      </c>
      <c r="C7981" s="5" t="s">
        <v>11174</v>
      </c>
      <c r="D7981" s="124" t="s">
        <v>12645</v>
      </c>
      <c r="E7981" s="43">
        <v>1250</v>
      </c>
      <c r="F7981" s="43"/>
      <c r="G7981" s="241">
        <f t="shared" si="200"/>
        <v>25706.104838709463</v>
      </c>
      <c r="H7981" s="388" t="s">
        <v>9567</v>
      </c>
      <c r="I7981" s="52">
        <v>450000</v>
      </c>
      <c r="K7981" s="52">
        <v>42000</v>
      </c>
      <c r="L7981" s="4" t="s">
        <v>12628</v>
      </c>
    </row>
    <row r="7982" spans="1:12" x14ac:dyDescent="0.3">
      <c r="A7982" s="45">
        <v>45248</v>
      </c>
      <c r="B7982" s="396" t="s">
        <v>12636</v>
      </c>
      <c r="C7982" s="5" t="s">
        <v>11174</v>
      </c>
      <c r="D7982" s="124" t="s">
        <v>12646</v>
      </c>
      <c r="E7982" s="43">
        <v>4730</v>
      </c>
      <c r="F7982" s="43"/>
      <c r="G7982" s="241">
        <f t="shared" si="200"/>
        <v>20976.104838709463</v>
      </c>
      <c r="H7982" s="388" t="s">
        <v>9567</v>
      </c>
      <c r="I7982" s="52">
        <v>400000</v>
      </c>
      <c r="K7982" s="52">
        <v>25920</v>
      </c>
      <c r="L7982" s="4" t="s">
        <v>12629</v>
      </c>
    </row>
    <row r="7983" spans="1:12" x14ac:dyDescent="0.3">
      <c r="A7983" s="45">
        <v>45248</v>
      </c>
      <c r="B7983" s="396" t="s">
        <v>12636</v>
      </c>
      <c r="C7983" s="5" t="s">
        <v>11174</v>
      </c>
      <c r="D7983" s="124" t="s">
        <v>12647</v>
      </c>
      <c r="E7983" s="43">
        <v>18000</v>
      </c>
      <c r="F7983" s="43"/>
      <c r="G7983" s="241">
        <f t="shared" si="200"/>
        <v>2976.1048387094634</v>
      </c>
      <c r="H7983" s="388" t="s">
        <v>9567</v>
      </c>
      <c r="I7983" s="52">
        <v>300000</v>
      </c>
      <c r="K7983" s="52">
        <v>39000</v>
      </c>
      <c r="L7983" s="4" t="s">
        <v>12629</v>
      </c>
    </row>
    <row r="7984" spans="1:12" x14ac:dyDescent="0.3">
      <c r="A7984" s="45">
        <v>45248</v>
      </c>
      <c r="B7984" s="396" t="s">
        <v>12086</v>
      </c>
      <c r="C7984" s="5" t="s">
        <v>5793</v>
      </c>
      <c r="D7984" s="124" t="s">
        <v>8924</v>
      </c>
      <c r="E7984" s="43">
        <v>300</v>
      </c>
      <c r="F7984" s="43"/>
      <c r="G7984" s="241">
        <f t="shared" si="200"/>
        <v>2676.1048387094634</v>
      </c>
      <c r="H7984" s="388" t="s">
        <v>9567</v>
      </c>
      <c r="I7984" s="52">
        <v>300000</v>
      </c>
      <c r="K7984" s="52">
        <v>29320</v>
      </c>
      <c r="L7984" s="4" t="s">
        <v>12638</v>
      </c>
    </row>
    <row r="7985" spans="1:12" x14ac:dyDescent="0.3">
      <c r="A7985" s="45">
        <v>45248</v>
      </c>
      <c r="B7985" s="565"/>
      <c r="C7985" s="480"/>
      <c r="D7985" s="491" t="s">
        <v>11980</v>
      </c>
      <c r="E7985" s="480"/>
      <c r="F7985" s="28">
        <v>1000000</v>
      </c>
      <c r="G7985" s="241">
        <f t="shared" si="200"/>
        <v>1002676.1048387095</v>
      </c>
      <c r="H7985" s="388" t="s">
        <v>9567</v>
      </c>
    </row>
    <row r="7986" spans="1:12" x14ac:dyDescent="0.3">
      <c r="A7986" s="45">
        <v>45250</v>
      </c>
      <c r="B7986" s="396" t="s">
        <v>12086</v>
      </c>
      <c r="C7986" s="5" t="s">
        <v>26</v>
      </c>
      <c r="D7986" s="124" t="s">
        <v>12658</v>
      </c>
      <c r="E7986" s="43">
        <v>5000</v>
      </c>
      <c r="F7986" s="43"/>
      <c r="G7986" s="241">
        <f t="shared" si="200"/>
        <v>997676.10483870946</v>
      </c>
      <c r="H7986" s="388" t="s">
        <v>9567</v>
      </c>
      <c r="K7986" s="52">
        <v>1250</v>
      </c>
      <c r="L7986" s="4" t="s">
        <v>12639</v>
      </c>
    </row>
    <row r="7987" spans="1:12" x14ac:dyDescent="0.3">
      <c r="A7987" s="45">
        <v>45250</v>
      </c>
      <c r="B7987" s="396" t="s">
        <v>12611</v>
      </c>
      <c r="C7987" s="5" t="s">
        <v>54</v>
      </c>
      <c r="D7987" s="124" t="s">
        <v>12660</v>
      </c>
      <c r="E7987" s="43">
        <v>2260</v>
      </c>
      <c r="F7987" s="43"/>
      <c r="G7987" s="241">
        <f t="shared" si="200"/>
        <v>995416.10483870946</v>
      </c>
      <c r="H7987" s="388" t="s">
        <v>9567</v>
      </c>
      <c r="K7987" s="52">
        <v>4730</v>
      </c>
      <c r="L7987" s="4" t="s">
        <v>12640</v>
      </c>
    </row>
    <row r="7988" spans="1:12" x14ac:dyDescent="0.3">
      <c r="A7988" s="45">
        <v>45250</v>
      </c>
      <c r="B7988" s="396" t="s">
        <v>12611</v>
      </c>
      <c r="C7988" s="5" t="s">
        <v>26</v>
      </c>
      <c r="D7988" s="124" t="s">
        <v>12662</v>
      </c>
      <c r="E7988" s="43">
        <v>1350</v>
      </c>
      <c r="F7988" s="43"/>
      <c r="G7988" s="241">
        <f t="shared" si="200"/>
        <v>994066.10483870946</v>
      </c>
      <c r="H7988" s="388" t="s">
        <v>9567</v>
      </c>
      <c r="K7988" s="52">
        <v>9000</v>
      </c>
    </row>
    <row r="7989" spans="1:12" x14ac:dyDescent="0.3">
      <c r="A7989" s="45">
        <v>45250</v>
      </c>
      <c r="B7989" s="396" t="s">
        <v>12611</v>
      </c>
      <c r="C7989" s="5" t="s">
        <v>54</v>
      </c>
      <c r="D7989" s="124" t="s">
        <v>12659</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12611</v>
      </c>
      <c r="C7990" s="5" t="s">
        <v>84</v>
      </c>
      <c r="D7990" s="124" t="s">
        <v>12661</v>
      </c>
      <c r="E7990" s="43">
        <v>2000</v>
      </c>
      <c r="F7990" s="43"/>
      <c r="G7990" s="241">
        <f t="shared" si="200"/>
        <v>989966.10483870946</v>
      </c>
      <c r="H7990" s="388" t="s">
        <v>9567</v>
      </c>
      <c r="I7990" s="52">
        <v>4806488</v>
      </c>
      <c r="K7990" s="52">
        <v>18000</v>
      </c>
    </row>
    <row r="7991" spans="1:12" x14ac:dyDescent="0.3">
      <c r="A7991" s="45">
        <v>45250</v>
      </c>
      <c r="B7991" s="396" t="s">
        <v>12573</v>
      </c>
      <c r="C7991" s="5" t="s">
        <v>6430</v>
      </c>
      <c r="D7991" s="124" t="s">
        <v>12663</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12664</v>
      </c>
      <c r="D7992" s="124" t="s">
        <v>12665</v>
      </c>
      <c r="E7992" s="43">
        <v>500000</v>
      </c>
      <c r="F7992" s="43"/>
      <c r="G7992" s="241">
        <f t="shared" si="200"/>
        <v>487966.10483870946</v>
      </c>
      <c r="H7992" s="388" t="s">
        <v>9567</v>
      </c>
      <c r="K7992" s="52">
        <v>300</v>
      </c>
      <c r="L7992" s="4" t="s">
        <v>12641</v>
      </c>
    </row>
    <row r="7993" spans="1:12" x14ac:dyDescent="0.3">
      <c r="A7993" s="45">
        <v>45250</v>
      </c>
      <c r="B7993" s="396" t="s">
        <v>25</v>
      </c>
      <c r="C7993" s="5" t="s">
        <v>25</v>
      </c>
      <c r="D7993" s="124" t="s">
        <v>12670</v>
      </c>
      <c r="E7993" s="43">
        <v>5000</v>
      </c>
      <c r="F7993" s="43"/>
      <c r="G7993" s="241">
        <f t="shared" si="200"/>
        <v>482966.10483870946</v>
      </c>
      <c r="H7993" s="388" t="s">
        <v>9567</v>
      </c>
      <c r="K7993" s="52">
        <f>K7991-K7992</f>
        <v>5480</v>
      </c>
    </row>
    <row r="7994" spans="1:12" x14ac:dyDescent="0.3">
      <c r="A7994" s="45">
        <v>45250</v>
      </c>
      <c r="B7994" s="396" t="s">
        <v>12086</v>
      </c>
      <c r="C7994" s="5" t="s">
        <v>11174</v>
      </c>
      <c r="D7994" s="124" t="s">
        <v>12672</v>
      </c>
      <c r="E7994" s="43">
        <v>110000</v>
      </c>
      <c r="F7994" s="43"/>
      <c r="G7994" s="241">
        <f t="shared" si="200"/>
        <v>372966.10483870946</v>
      </c>
      <c r="H7994" s="388" t="s">
        <v>9567</v>
      </c>
      <c r="K7994" s="52">
        <v>2500</v>
      </c>
      <c r="L7994" s="4" t="s">
        <v>5793</v>
      </c>
    </row>
    <row r="7995" spans="1:12" x14ac:dyDescent="0.3">
      <c r="A7995" s="45">
        <v>45250</v>
      </c>
      <c r="B7995" s="396" t="s">
        <v>12321</v>
      </c>
      <c r="C7995" s="5" t="s">
        <v>4550</v>
      </c>
      <c r="D7995" s="124" t="s">
        <v>12666</v>
      </c>
      <c r="E7995" s="43">
        <v>28600</v>
      </c>
      <c r="F7995" s="43"/>
      <c r="G7995" s="241">
        <f t="shared" si="200"/>
        <v>344366.10483870946</v>
      </c>
      <c r="H7995" s="388" t="s">
        <v>9567</v>
      </c>
      <c r="K7995" s="52">
        <f>K7993-K7994</f>
        <v>2980</v>
      </c>
    </row>
    <row r="7996" spans="1:12" x14ac:dyDescent="0.3">
      <c r="A7996" s="45">
        <v>45250</v>
      </c>
      <c r="B7996" s="396" t="s">
        <v>12046</v>
      </c>
      <c r="C7996" s="5" t="s">
        <v>84</v>
      </c>
      <c r="D7996" s="124" t="s">
        <v>12669</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12046</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12086</v>
      </c>
      <c r="C8000" s="5" t="s">
        <v>11174</v>
      </c>
      <c r="D8000" s="124" t="s">
        <v>12684</v>
      </c>
      <c r="E8000" s="43">
        <v>13400</v>
      </c>
      <c r="F8000" s="43"/>
      <c r="G8000" s="241">
        <f t="shared" si="200"/>
        <v>313466.10483870946</v>
      </c>
      <c r="H8000" s="388" t="s">
        <v>9567</v>
      </c>
      <c r="I8000" s="52">
        <v>67140</v>
      </c>
    </row>
    <row r="8001" spans="1:13" x14ac:dyDescent="0.3">
      <c r="A8001" s="45">
        <v>45251</v>
      </c>
      <c r="B8001" s="396" t="s">
        <v>12573</v>
      </c>
      <c r="C8001" s="5" t="s">
        <v>11174</v>
      </c>
      <c r="D8001" s="124" t="s">
        <v>12685</v>
      </c>
      <c r="E8001" s="43">
        <v>6000</v>
      </c>
      <c r="F8001" s="43"/>
      <c r="G8001" s="241">
        <f t="shared" si="200"/>
        <v>307466.10483870946</v>
      </c>
      <c r="H8001" s="388" t="s">
        <v>9567</v>
      </c>
    </row>
    <row r="8002" spans="1:13" x14ac:dyDescent="0.3">
      <c r="A8002" s="45">
        <v>45251</v>
      </c>
      <c r="B8002" s="396" t="s">
        <v>12086</v>
      </c>
      <c r="C8002" s="5" t="s">
        <v>5793</v>
      </c>
      <c r="D8002" s="124" t="s">
        <v>40</v>
      </c>
      <c r="E8002" s="43">
        <v>1500</v>
      </c>
      <c r="F8002" s="43"/>
      <c r="G8002" s="241">
        <f t="shared" si="200"/>
        <v>305966.10483870946</v>
      </c>
      <c r="H8002" s="388" t="s">
        <v>9567</v>
      </c>
      <c r="I8002" s="52">
        <v>59680</v>
      </c>
    </row>
    <row r="8003" spans="1:13" x14ac:dyDescent="0.3">
      <c r="A8003" s="45">
        <v>45251</v>
      </c>
      <c r="B8003" s="396" t="s">
        <v>12086</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12046</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12687</v>
      </c>
      <c r="E8005" s="43">
        <v>5000</v>
      </c>
      <c r="F8005" s="43"/>
      <c r="G8005" s="241">
        <f t="shared" si="200"/>
        <v>298966.10483870946</v>
      </c>
      <c r="H8005" s="388" t="s">
        <v>9567</v>
      </c>
      <c r="I8005" s="52">
        <v>19640</v>
      </c>
      <c r="L8005" s="4">
        <v>5600</v>
      </c>
    </row>
    <row r="8006" spans="1:13" x14ac:dyDescent="0.3">
      <c r="A8006" s="45">
        <v>45251</v>
      </c>
      <c r="B8006" s="396" t="s">
        <v>12133</v>
      </c>
      <c r="C8006" s="5" t="s">
        <v>12679</v>
      </c>
      <c r="D8006" s="124" t="s">
        <v>12680</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12133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12086</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12573</v>
      </c>
      <c r="C8009" s="5" t="s">
        <v>5793</v>
      </c>
      <c r="D8009" s="124" t="s">
        <v>40</v>
      </c>
      <c r="E8009" s="43">
        <v>2100</v>
      </c>
      <c r="F8009" s="43"/>
      <c r="G8009" s="241">
        <f t="shared" si="200"/>
        <v>207716.10483870946</v>
      </c>
      <c r="H8009" s="388" t="s">
        <v>9567</v>
      </c>
    </row>
    <row r="8010" spans="1:13" x14ac:dyDescent="0.3">
      <c r="A8010" s="45">
        <v>45252</v>
      </c>
      <c r="B8010" s="396" t="s">
        <v>12086</v>
      </c>
      <c r="C8010" s="5" t="s">
        <v>12682</v>
      </c>
      <c r="D8010" s="124" t="s">
        <v>12681</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12133</v>
      </c>
      <c r="C8012" s="5" t="s">
        <v>11174</v>
      </c>
      <c r="D8012" s="124" t="s">
        <v>12724</v>
      </c>
      <c r="E8012" s="43">
        <v>2400</v>
      </c>
      <c r="F8012" s="43"/>
      <c r="G8012" s="241">
        <f t="shared" si="200"/>
        <v>145316.10483870946</v>
      </c>
      <c r="H8012" s="388" t="s">
        <v>9567</v>
      </c>
    </row>
    <row r="8013" spans="1:13" x14ac:dyDescent="0.3">
      <c r="A8013" s="45">
        <v>45252</v>
      </c>
      <c r="B8013" s="396" t="s">
        <v>12548</v>
      </c>
      <c r="C8013" s="5" t="s">
        <v>11174</v>
      </c>
      <c r="D8013" s="124" t="s">
        <v>12714</v>
      </c>
      <c r="E8013" s="43">
        <v>4500</v>
      </c>
      <c r="F8013" s="43"/>
      <c r="G8013" s="241">
        <f t="shared" si="200"/>
        <v>140816.10483870946</v>
      </c>
      <c r="H8013" s="388" t="s">
        <v>9567</v>
      </c>
    </row>
    <row r="8014" spans="1:13" x14ac:dyDescent="0.3">
      <c r="A8014" s="45">
        <v>45252</v>
      </c>
      <c r="B8014" s="396" t="s">
        <v>12086</v>
      </c>
      <c r="C8014" s="5" t="s">
        <v>5793</v>
      </c>
      <c r="D8014" s="124"/>
      <c r="E8014" s="43">
        <v>3500</v>
      </c>
      <c r="F8014" s="43"/>
      <c r="G8014" s="241">
        <f t="shared" si="200"/>
        <v>137316.10483870946</v>
      </c>
      <c r="H8014" s="388" t="s">
        <v>9567</v>
      </c>
    </row>
    <row r="8015" spans="1:13" x14ac:dyDescent="0.3">
      <c r="A8015" s="45">
        <v>45252</v>
      </c>
      <c r="B8015" s="396" t="s">
        <v>12573</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12686</v>
      </c>
      <c r="E8016" s="43">
        <v>25000</v>
      </c>
      <c r="F8016" s="43"/>
      <c r="G8016" s="241">
        <f t="shared" si="200"/>
        <v>110216.10483870946</v>
      </c>
      <c r="H8016" s="388" t="s">
        <v>9567</v>
      </c>
      <c r="I8016" s="52">
        <v>3780</v>
      </c>
      <c r="J8016" s="52">
        <v>808745</v>
      </c>
    </row>
    <row r="8017" spans="1:11" x14ac:dyDescent="0.3">
      <c r="A8017" s="45">
        <v>45252</v>
      </c>
      <c r="B8017" s="396" t="s">
        <v>12133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12702</v>
      </c>
      <c r="E8018" s="43">
        <v>20000</v>
      </c>
      <c r="F8018" s="43"/>
      <c r="G8018" s="241">
        <f t="shared" si="200"/>
        <v>87416.104838709463</v>
      </c>
      <c r="H8018" s="388" t="s">
        <v>9567</v>
      </c>
      <c r="I8018" s="52">
        <v>1864502</v>
      </c>
    </row>
    <row r="8019" spans="1:11" x14ac:dyDescent="0.3">
      <c r="A8019" s="45">
        <v>45253</v>
      </c>
      <c r="B8019" s="396" t="s">
        <v>12046</v>
      </c>
      <c r="C8019" s="5" t="s">
        <v>84</v>
      </c>
      <c r="D8019" s="124" t="s">
        <v>12703</v>
      </c>
      <c r="E8019" s="43">
        <v>5000</v>
      </c>
      <c r="F8019" s="43"/>
      <c r="G8019" s="241">
        <f t="shared" si="200"/>
        <v>82416.104838709463</v>
      </c>
      <c r="H8019" s="388" t="s">
        <v>9567</v>
      </c>
      <c r="I8019" s="52">
        <v>472526</v>
      </c>
    </row>
    <row r="8020" spans="1:11" x14ac:dyDescent="0.3">
      <c r="A8020" s="45">
        <v>45253</v>
      </c>
      <c r="B8020" s="396" t="s">
        <v>12548</v>
      </c>
      <c r="C8020" s="5" t="s">
        <v>6028</v>
      </c>
      <c r="D8020" s="124" t="s">
        <v>12704</v>
      </c>
      <c r="E8020" s="43">
        <v>61200</v>
      </c>
      <c r="F8020" s="43"/>
      <c r="G8020" s="241">
        <f t="shared" si="200"/>
        <v>21216.104838709463</v>
      </c>
      <c r="H8020" s="388" t="s">
        <v>9567</v>
      </c>
      <c r="I8020" s="52">
        <f>I8019+I8018+I8017</f>
        <v>3269804</v>
      </c>
    </row>
    <row r="8021" spans="1:11" x14ac:dyDescent="0.3">
      <c r="A8021" s="45">
        <v>45253</v>
      </c>
      <c r="B8021" s="565"/>
      <c r="C8021" s="480"/>
      <c r="D8021" s="491" t="s">
        <v>7348</v>
      </c>
      <c r="E8021" s="480"/>
      <c r="F8021" s="43">
        <v>20000</v>
      </c>
      <c r="G8021" s="241">
        <f t="shared" si="200"/>
        <v>41216.104838709463</v>
      </c>
      <c r="H8021" s="388" t="s">
        <v>9567</v>
      </c>
    </row>
    <row r="8022" spans="1:11" x14ac:dyDescent="0.3">
      <c r="A8022" s="45">
        <v>45254</v>
      </c>
      <c r="B8022" s="396" t="s">
        <v>12551</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12687</v>
      </c>
      <c r="E8023" s="43">
        <v>6000</v>
      </c>
      <c r="F8023" s="43"/>
      <c r="G8023" s="241">
        <f t="shared" si="200"/>
        <v>20216.104838709463</v>
      </c>
      <c r="H8023" s="388" t="s">
        <v>9567</v>
      </c>
      <c r="I8023" s="342" t="s">
        <v>12042</v>
      </c>
      <c r="J8023" s="52" t="s">
        <v>12648</v>
      </c>
      <c r="K8023" s="52" t="s">
        <v>12649</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12086</v>
      </c>
      <c r="C8025" s="5" t="s">
        <v>26</v>
      </c>
      <c r="D8025" s="124" t="s">
        <v>12709</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5"/>
      <c r="C8027" s="480"/>
      <c r="D8027" s="491" t="s">
        <v>7348</v>
      </c>
      <c r="E8027" s="480"/>
      <c r="F8027" s="43">
        <v>80000</v>
      </c>
      <c r="G8027" s="241">
        <f t="shared" si="200"/>
        <v>81866.104838709463</v>
      </c>
      <c r="H8027" s="388" t="s">
        <v>9567</v>
      </c>
    </row>
    <row r="8028" spans="1:11" x14ac:dyDescent="0.3">
      <c r="A8028" s="45">
        <v>45254</v>
      </c>
      <c r="B8028" s="565"/>
      <c r="C8028" s="480"/>
      <c r="D8028" s="491" t="s">
        <v>12708</v>
      </c>
      <c r="E8028" s="480"/>
      <c r="F8028" s="43">
        <v>28200</v>
      </c>
      <c r="G8028" s="241">
        <f t="shared" si="200"/>
        <v>110066.10483870946</v>
      </c>
      <c r="H8028" s="388" t="s">
        <v>9567</v>
      </c>
    </row>
    <row r="8029" spans="1:11" x14ac:dyDescent="0.3">
      <c r="A8029" s="45">
        <v>45255</v>
      </c>
      <c r="B8029" s="396" t="s">
        <v>12086</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12687</v>
      </c>
      <c r="E8030" s="43">
        <v>5000</v>
      </c>
      <c r="F8030" s="43"/>
      <c r="G8030" s="241">
        <f t="shared" si="200"/>
        <v>102566.10483870946</v>
      </c>
      <c r="H8030" s="388" t="s">
        <v>9567</v>
      </c>
      <c r="J8030" s="52">
        <f>K8024+J8024+I8024</f>
        <v>8794810</v>
      </c>
    </row>
    <row r="8031" spans="1:11" ht="37.5" x14ac:dyDescent="0.3">
      <c r="A8031" s="45">
        <v>45255</v>
      </c>
      <c r="B8031" s="396" t="s">
        <v>12710</v>
      </c>
      <c r="C8031" s="5" t="s">
        <v>11174</v>
      </c>
      <c r="D8031" s="124" t="s">
        <v>12712</v>
      </c>
      <c r="E8031" s="43">
        <v>4400</v>
      </c>
      <c r="F8031" s="43"/>
      <c r="G8031" s="241">
        <f t="shared" si="200"/>
        <v>98166.104838709463</v>
      </c>
      <c r="H8031" s="388" t="s">
        <v>9567</v>
      </c>
      <c r="J8031" s="52">
        <v>8000000</v>
      </c>
    </row>
    <row r="8032" spans="1:11" x14ac:dyDescent="0.3">
      <c r="A8032" s="45">
        <v>45255</v>
      </c>
      <c r="B8032" s="396" t="s">
        <v>12133</v>
      </c>
      <c r="C8032" s="5" t="s">
        <v>26</v>
      </c>
      <c r="D8032" s="124" t="s">
        <v>12711</v>
      </c>
      <c r="E8032" s="43">
        <v>4000</v>
      </c>
      <c r="F8032" s="43"/>
      <c r="G8032" s="241">
        <f t="shared" si="200"/>
        <v>94166.104838709463</v>
      </c>
      <c r="H8032" s="388" t="s">
        <v>9567</v>
      </c>
      <c r="J8032" s="52">
        <f>J8030-J8031</f>
        <v>794810</v>
      </c>
      <c r="K8032" s="52">
        <v>120</v>
      </c>
    </row>
    <row r="8033" spans="1:12" x14ac:dyDescent="0.3">
      <c r="A8033" s="45">
        <v>45255</v>
      </c>
      <c r="B8033" s="396" t="s">
        <v>12611</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12049</v>
      </c>
      <c r="C8034" s="5" t="s">
        <v>4550</v>
      </c>
      <c r="D8034" s="124" t="s">
        <v>12713</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12573</v>
      </c>
      <c r="C8035" s="5" t="s">
        <v>11174</v>
      </c>
      <c r="D8035" s="124" t="s">
        <v>12714</v>
      </c>
      <c r="E8035" s="43">
        <v>5000</v>
      </c>
      <c r="F8035" s="43"/>
      <c r="G8035" s="241">
        <f t="shared" ref="G8035:G8036" si="202">G8034+F8035-E8035</f>
        <v>73666.104838709463</v>
      </c>
      <c r="H8035" s="388" t="s">
        <v>9567</v>
      </c>
      <c r="K8035" s="52">
        <f>K8032*15%</f>
        <v>18</v>
      </c>
    </row>
    <row r="8036" spans="1:12" x14ac:dyDescent="0.3">
      <c r="A8036" s="45">
        <v>45255</v>
      </c>
      <c r="B8036" s="396" t="s">
        <v>12133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12133</v>
      </c>
      <c r="C8037" s="5" t="s">
        <v>26</v>
      </c>
      <c r="D8037" s="124" t="s">
        <v>12715</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12321</v>
      </c>
      <c r="C8039" s="5" t="s">
        <v>4550</v>
      </c>
      <c r="D8039" s="124" t="s">
        <v>12716</v>
      </c>
      <c r="E8039" s="43">
        <v>50000</v>
      </c>
      <c r="F8039" s="43"/>
      <c r="G8039" s="241">
        <f t="shared" si="203"/>
        <v>12666.104838709463</v>
      </c>
      <c r="H8039" s="388" t="s">
        <v>9567</v>
      </c>
      <c r="I8039" s="169">
        <v>82924</v>
      </c>
    </row>
    <row r="8040" spans="1:12" x14ac:dyDescent="0.3">
      <c r="A8040" s="45">
        <v>45257</v>
      </c>
      <c r="B8040" s="396" t="s">
        <v>12086</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12687</v>
      </c>
      <c r="E8041" s="43">
        <v>5000</v>
      </c>
      <c r="F8041" s="43"/>
      <c r="G8041" s="241">
        <f t="shared" si="203"/>
        <v>4466.1048387094634</v>
      </c>
      <c r="H8041" s="388" t="s">
        <v>9567</v>
      </c>
      <c r="I8041" s="169">
        <v>48749</v>
      </c>
    </row>
    <row r="8042" spans="1:12" x14ac:dyDescent="0.3">
      <c r="A8042" s="45">
        <v>45258</v>
      </c>
      <c r="B8042" s="396"/>
      <c r="C8042" s="5" t="s">
        <v>84</v>
      </c>
      <c r="D8042" s="124" t="s">
        <v>12721</v>
      </c>
      <c r="E8042" s="43">
        <v>10000</v>
      </c>
      <c r="F8042" s="43"/>
      <c r="G8042" s="241">
        <f t="shared" si="203"/>
        <v>-5533.8951612905366</v>
      </c>
      <c r="H8042" s="388" t="s">
        <v>9567</v>
      </c>
      <c r="I8042" s="169">
        <v>214220</v>
      </c>
      <c r="K8042" s="169">
        <v>1523704</v>
      </c>
    </row>
    <row r="8043" spans="1:12" x14ac:dyDescent="0.3">
      <c r="A8043" s="45">
        <v>45258</v>
      </c>
      <c r="B8043" s="396" t="s">
        <v>12439</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12133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5"/>
      <c r="C8045" s="480"/>
      <c r="D8045" s="491" t="s">
        <v>11980</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12687</v>
      </c>
      <c r="E8046" s="43">
        <v>4000</v>
      </c>
      <c r="F8046" s="43"/>
      <c r="G8046" s="48">
        <f t="shared" si="204"/>
        <v>9216.1048387094634</v>
      </c>
      <c r="H8046" s="388" t="s">
        <v>9567</v>
      </c>
      <c r="I8046" s="169">
        <v>92000</v>
      </c>
      <c r="K8046" s="169">
        <v>98400</v>
      </c>
    </row>
    <row r="8047" spans="1:12" x14ac:dyDescent="0.3">
      <c r="A8047" s="45">
        <v>45259</v>
      </c>
      <c r="B8047" s="396" t="s">
        <v>12086</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12230</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12636</v>
      </c>
      <c r="C8050" s="5" t="s">
        <v>11174</v>
      </c>
      <c r="D8050" s="124" t="s">
        <v>12725</v>
      </c>
      <c r="E8050" s="43">
        <v>850</v>
      </c>
      <c r="F8050" s="43"/>
      <c r="G8050" s="48">
        <f t="shared" si="204"/>
        <v>1316.1048387094634</v>
      </c>
      <c r="H8050" s="388" t="s">
        <v>9567</v>
      </c>
      <c r="I8050" s="169">
        <v>88971</v>
      </c>
    </row>
    <row r="8051" spans="1:12" x14ac:dyDescent="0.3">
      <c r="A8051" s="45">
        <v>45260</v>
      </c>
      <c r="B8051" s="396" t="s">
        <v>12636</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12079</v>
      </c>
      <c r="C8052" s="5" t="s">
        <v>30</v>
      </c>
      <c r="D8052" s="124" t="s">
        <v>12364</v>
      </c>
      <c r="E8052" s="43">
        <v>500</v>
      </c>
      <c r="F8052" s="43"/>
      <c r="G8052" s="48">
        <f t="shared" si="204"/>
        <v>-1183.8951612905366</v>
      </c>
      <c r="H8052" s="388" t="s">
        <v>9567</v>
      </c>
      <c r="I8052" s="169">
        <v>10980</v>
      </c>
      <c r="K8052" s="169">
        <v>3780</v>
      </c>
    </row>
    <row r="8053" spans="1:12" x14ac:dyDescent="0.3">
      <c r="A8053" s="45">
        <v>45260</v>
      </c>
      <c r="B8053" s="396" t="s">
        <v>12573</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12133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12086</v>
      </c>
      <c r="C8055" s="5" t="s">
        <v>11174</v>
      </c>
      <c r="D8055" s="124" t="s">
        <v>12727</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12687</v>
      </c>
      <c r="E8056" s="43">
        <v>5000</v>
      </c>
      <c r="F8056" s="43"/>
      <c r="G8056" s="48">
        <f t="shared" si="204"/>
        <v>-10483.895161290537</v>
      </c>
      <c r="H8056" s="388" t="s">
        <v>9567</v>
      </c>
      <c r="I8056" s="169">
        <v>13500</v>
      </c>
      <c r="K8056" s="169">
        <v>55094</v>
      </c>
    </row>
    <row r="8057" spans="1:12" x14ac:dyDescent="0.3">
      <c r="A8057" s="45">
        <v>45261</v>
      </c>
      <c r="B8057" s="565"/>
      <c r="C8057" s="480"/>
      <c r="D8057" s="491" t="s">
        <v>11980</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12050</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12573</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12733</v>
      </c>
      <c r="E8060" s="43">
        <v>450</v>
      </c>
      <c r="F8060" s="43"/>
      <c r="G8060" s="48">
        <f t="shared" si="204"/>
        <v>63066.104838709463</v>
      </c>
      <c r="H8060" s="388" t="s">
        <v>9567</v>
      </c>
      <c r="I8060" s="169">
        <v>15000</v>
      </c>
      <c r="K8060" s="169">
        <v>74282</v>
      </c>
    </row>
    <row r="8061" spans="1:12" x14ac:dyDescent="0.3">
      <c r="A8061" s="45">
        <v>45261</v>
      </c>
      <c r="B8061" s="396" t="s">
        <v>12548</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12135</v>
      </c>
      <c r="C8062" s="5" t="s">
        <v>12608</v>
      </c>
      <c r="D8062" s="124" t="s">
        <v>438</v>
      </c>
      <c r="E8062" s="43">
        <v>25000</v>
      </c>
      <c r="F8062" s="43"/>
      <c r="G8062" s="48">
        <f t="shared" si="204"/>
        <v>36616.104838709463</v>
      </c>
      <c r="H8062" s="388" t="s">
        <v>9567</v>
      </c>
      <c r="I8062" s="169">
        <v>49170</v>
      </c>
      <c r="K8062" s="169">
        <v>59680</v>
      </c>
    </row>
    <row r="8063" spans="1:12" x14ac:dyDescent="0.3">
      <c r="A8063" s="45">
        <v>45261</v>
      </c>
      <c r="B8063" s="396" t="s">
        <v>12548</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12611</v>
      </c>
      <c r="C8064" s="5" t="s">
        <v>6430</v>
      </c>
      <c r="D8064" s="124" t="s">
        <v>12109</v>
      </c>
      <c r="E8064" s="43">
        <v>6000</v>
      </c>
      <c r="F8064" s="43"/>
      <c r="G8064" s="48">
        <f t="shared" si="204"/>
        <v>25616.104838709463</v>
      </c>
      <c r="H8064" s="388" t="s">
        <v>9567</v>
      </c>
      <c r="I8064" s="52">
        <v>500000</v>
      </c>
      <c r="K8064" s="169">
        <v>24200</v>
      </c>
    </row>
    <row r="8065" spans="1:11" x14ac:dyDescent="0.3">
      <c r="A8065" s="45">
        <v>45262</v>
      </c>
      <c r="B8065" s="396" t="s">
        <v>12230</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12086</v>
      </c>
      <c r="C8066" s="5" t="s">
        <v>11174</v>
      </c>
      <c r="D8066" s="124" t="s">
        <v>12287</v>
      </c>
      <c r="E8066" s="43">
        <v>1500</v>
      </c>
      <c r="F8066" s="43"/>
      <c r="G8066" s="48">
        <f t="shared" si="204"/>
        <v>19616.104838709463</v>
      </c>
      <c r="H8066" s="388" t="s">
        <v>9567</v>
      </c>
      <c r="I8066" s="52">
        <v>5008480</v>
      </c>
      <c r="K8066" s="52">
        <v>2952685</v>
      </c>
    </row>
    <row r="8067" spans="1:11" x14ac:dyDescent="0.3">
      <c r="A8067" s="45">
        <v>45262</v>
      </c>
      <c r="B8067" s="396" t="s">
        <v>12439</v>
      </c>
      <c r="C8067" s="5" t="s">
        <v>11174</v>
      </c>
      <c r="D8067" s="124" t="s">
        <v>12734</v>
      </c>
      <c r="E8067" s="43">
        <v>5000</v>
      </c>
      <c r="F8067" s="43"/>
      <c r="G8067" s="48">
        <f t="shared" si="204"/>
        <v>14616.104838709463</v>
      </c>
      <c r="H8067" s="388" t="s">
        <v>9567</v>
      </c>
      <c r="K8067" s="52">
        <v>-2000000</v>
      </c>
    </row>
    <row r="8068" spans="1:11" x14ac:dyDescent="0.3">
      <c r="A8068" s="45">
        <v>45262</v>
      </c>
      <c r="B8068" s="396" t="s">
        <v>12439</v>
      </c>
      <c r="C8068" s="5" t="s">
        <v>11174</v>
      </c>
      <c r="D8068" s="124" t="s">
        <v>12736</v>
      </c>
      <c r="E8068" s="43">
        <v>11620</v>
      </c>
      <c r="F8068" s="43"/>
      <c r="G8068" s="48">
        <f t="shared" si="204"/>
        <v>2996.1048387094634</v>
      </c>
      <c r="H8068" s="388" t="s">
        <v>9567</v>
      </c>
      <c r="K8068" s="52">
        <v>-1000000</v>
      </c>
    </row>
    <row r="8069" spans="1:11" x14ac:dyDescent="0.3">
      <c r="A8069" s="45">
        <v>45262</v>
      </c>
      <c r="B8069" s="565"/>
      <c r="C8069" s="480"/>
      <c r="D8069" s="491" t="s">
        <v>4106</v>
      </c>
      <c r="E8069" s="480"/>
      <c r="F8069" s="43">
        <v>500000</v>
      </c>
      <c r="G8069" s="48">
        <f t="shared" si="204"/>
        <v>502996.10483870946</v>
      </c>
      <c r="H8069" s="388" t="s">
        <v>9567</v>
      </c>
      <c r="K8069" s="52">
        <v>45000</v>
      </c>
    </row>
    <row r="8070" spans="1:11" x14ac:dyDescent="0.3">
      <c r="A8070" s="45">
        <v>45264</v>
      </c>
      <c r="B8070" s="396" t="s">
        <v>12439</v>
      </c>
      <c r="C8070" s="5" t="s">
        <v>11174</v>
      </c>
      <c r="D8070" s="124" t="s">
        <v>12735</v>
      </c>
      <c r="E8070" s="43">
        <v>45000</v>
      </c>
      <c r="F8070" s="43"/>
      <c r="G8070" s="48">
        <f t="shared" si="204"/>
        <v>457996.10483870946</v>
      </c>
      <c r="H8070" s="388" t="s">
        <v>9567</v>
      </c>
      <c r="K8070" s="52">
        <v>55000</v>
      </c>
    </row>
    <row r="8071" spans="1:11" x14ac:dyDescent="0.3">
      <c r="A8071" s="45">
        <v>45264</v>
      </c>
      <c r="B8071" s="396" t="s">
        <v>12086</v>
      </c>
      <c r="C8071" s="5" t="s">
        <v>5793</v>
      </c>
      <c r="D8071" s="124" t="s">
        <v>8924</v>
      </c>
      <c r="E8071" s="43">
        <v>300</v>
      </c>
      <c r="F8071" s="43"/>
      <c r="G8071" s="48">
        <f t="shared" si="204"/>
        <v>457696.10483870946</v>
      </c>
      <c r="H8071" s="388" t="s">
        <v>9567</v>
      </c>
      <c r="I8071" s="52">
        <v>3400</v>
      </c>
      <c r="J8071" s="52" t="s">
        <v>12737</v>
      </c>
      <c r="K8071" s="52">
        <v>55000</v>
      </c>
    </row>
    <row r="8072" spans="1:11" x14ac:dyDescent="0.3">
      <c r="A8072" s="45">
        <v>45264</v>
      </c>
      <c r="B8072" s="396" t="s">
        <v>12548</v>
      </c>
      <c r="C8072" s="5" t="s">
        <v>5793</v>
      </c>
      <c r="D8072" s="124" t="s">
        <v>40</v>
      </c>
      <c r="E8072" s="43">
        <v>5000</v>
      </c>
      <c r="F8072" s="43"/>
      <c r="G8072" s="48">
        <f t="shared" si="204"/>
        <v>452696.10483870946</v>
      </c>
      <c r="H8072" s="388" t="s">
        <v>9567</v>
      </c>
      <c r="I8072" s="52">
        <v>1700</v>
      </c>
      <c r="J8072" s="52" t="s">
        <v>12738</v>
      </c>
      <c r="K8072" s="52">
        <v>45000</v>
      </c>
    </row>
    <row r="8073" spans="1:11" x14ac:dyDescent="0.3">
      <c r="A8073" s="45">
        <v>45264</v>
      </c>
      <c r="B8073" s="396" t="s">
        <v>25</v>
      </c>
      <c r="C8073" s="5" t="s">
        <v>25</v>
      </c>
      <c r="D8073" s="124" t="s">
        <v>12687</v>
      </c>
      <c r="E8073" s="43">
        <v>2000</v>
      </c>
      <c r="F8073" s="43"/>
      <c r="G8073" s="48">
        <f t="shared" si="204"/>
        <v>450696.10483870946</v>
      </c>
      <c r="H8073" s="388" t="s">
        <v>9567</v>
      </c>
      <c r="I8073" s="52">
        <v>3200</v>
      </c>
      <c r="J8073" s="52" t="s">
        <v>12738</v>
      </c>
    </row>
    <row r="8074" spans="1:11" x14ac:dyDescent="0.3">
      <c r="A8074" s="45">
        <v>45264</v>
      </c>
      <c r="B8074" s="396" t="s">
        <v>12573</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12737</v>
      </c>
      <c r="K8075" s="52">
        <f>SUM(K8051:K8074)</f>
        <v>2994962</v>
      </c>
    </row>
    <row r="8076" spans="1:11" x14ac:dyDescent="0.3">
      <c r="A8076" s="45">
        <v>45265</v>
      </c>
      <c r="B8076" s="396" t="s">
        <v>10319</v>
      </c>
      <c r="C8076" s="5" t="s">
        <v>9794</v>
      </c>
      <c r="D8076" s="124" t="s">
        <v>12743</v>
      </c>
      <c r="E8076" s="43">
        <v>11000</v>
      </c>
      <c r="F8076" s="43"/>
      <c r="G8076" s="48">
        <f t="shared" si="204"/>
        <v>436996.10483870946</v>
      </c>
      <c r="H8076" s="388" t="s">
        <v>9567</v>
      </c>
      <c r="I8076" s="52">
        <v>1700</v>
      </c>
      <c r="J8076" s="52" t="s">
        <v>12737</v>
      </c>
    </row>
    <row r="8077" spans="1:11" x14ac:dyDescent="0.3">
      <c r="A8077" s="45">
        <v>45265</v>
      </c>
      <c r="B8077" s="565"/>
      <c r="C8077" s="480"/>
      <c r="D8077" s="491" t="s">
        <v>4106</v>
      </c>
      <c r="E8077" s="480"/>
      <c r="F8077" s="43">
        <v>300000</v>
      </c>
      <c r="G8077" s="48">
        <f t="shared" si="204"/>
        <v>736996.10483870946</v>
      </c>
      <c r="H8077" s="388" t="s">
        <v>9567</v>
      </c>
    </row>
    <row r="8078" spans="1:11" x14ac:dyDescent="0.3">
      <c r="A8078" s="45">
        <v>45265</v>
      </c>
      <c r="B8078" s="396" t="s">
        <v>12551</v>
      </c>
      <c r="C8078" s="5" t="s">
        <v>8863</v>
      </c>
      <c r="D8078" s="124" t="s">
        <v>294</v>
      </c>
      <c r="E8078" s="43">
        <v>30000</v>
      </c>
      <c r="F8078" s="43"/>
      <c r="G8078" s="48">
        <f t="shared" si="204"/>
        <v>706996.10483870946</v>
      </c>
      <c r="H8078" s="388" t="s">
        <v>9567</v>
      </c>
      <c r="I8078" s="52">
        <f>I8076+I8075</f>
        <v>4700</v>
      </c>
    </row>
    <row r="8079" spans="1:11" x14ac:dyDescent="0.3">
      <c r="A8079" s="45">
        <v>45265</v>
      </c>
      <c r="B8079" s="600" t="s">
        <v>12573</v>
      </c>
      <c r="C8079" s="601" t="s">
        <v>54</v>
      </c>
      <c r="D8079" s="602" t="s">
        <v>6245</v>
      </c>
      <c r="E8079" s="603">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12687</v>
      </c>
      <c r="E8081" s="43">
        <v>5000</v>
      </c>
      <c r="F8081" s="43"/>
      <c r="G8081" s="48">
        <f t="shared" si="204"/>
        <v>600356.10483870946</v>
      </c>
      <c r="H8081" s="388" t="s">
        <v>9567</v>
      </c>
      <c r="L8081" s="93"/>
    </row>
    <row r="8082" spans="1:14" x14ac:dyDescent="0.3">
      <c r="A8082" s="45">
        <v>45265</v>
      </c>
      <c r="B8082" s="396" t="s">
        <v>12573</v>
      </c>
      <c r="C8082" s="5" t="s">
        <v>9758</v>
      </c>
      <c r="D8082" s="124" t="s">
        <v>12744</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12636</v>
      </c>
      <c r="C8084" s="5" t="s">
        <v>5793</v>
      </c>
      <c r="D8084" s="124" t="s">
        <v>8924</v>
      </c>
      <c r="E8084" s="43">
        <v>500</v>
      </c>
      <c r="F8084" s="43"/>
      <c r="G8084" s="48">
        <f t="shared" si="204"/>
        <v>581356.10483870946</v>
      </c>
      <c r="H8084" s="388" t="s">
        <v>9567</v>
      </c>
      <c r="J8084" s="599">
        <v>5000</v>
      </c>
      <c r="K8084" s="52" t="s">
        <v>12197</v>
      </c>
    </row>
    <row r="8085" spans="1:14" x14ac:dyDescent="0.3">
      <c r="A8085" s="45">
        <v>45265</v>
      </c>
      <c r="B8085" s="600" t="s">
        <v>25</v>
      </c>
      <c r="C8085" s="601" t="s">
        <v>54</v>
      </c>
      <c r="D8085" s="602" t="s">
        <v>11379</v>
      </c>
      <c r="E8085" s="603">
        <f>5000+17500+43870+35800+42000+75000+76000+41000</f>
        <v>336170</v>
      </c>
      <c r="F8085" s="43"/>
      <c r="G8085" s="48">
        <f t="shared" si="204"/>
        <v>245186.10483870946</v>
      </c>
      <c r="H8085" s="388" t="s">
        <v>9567</v>
      </c>
    </row>
    <row r="8086" spans="1:14" x14ac:dyDescent="0.3">
      <c r="A8086" s="45">
        <v>45266</v>
      </c>
      <c r="B8086" s="396"/>
      <c r="C8086" s="5" t="s">
        <v>14</v>
      </c>
      <c r="D8086" s="124" t="s">
        <v>12215</v>
      </c>
      <c r="E8086" s="43">
        <f>21338+700</f>
        <v>22038</v>
      </c>
      <c r="F8086" s="43"/>
      <c r="G8086" s="48">
        <f t="shared" si="204"/>
        <v>223148.10483870946</v>
      </c>
      <c r="H8086" s="388" t="s">
        <v>9567</v>
      </c>
    </row>
    <row r="8087" spans="1:14" x14ac:dyDescent="0.3">
      <c r="A8087" s="45">
        <v>45266</v>
      </c>
      <c r="B8087" s="396" t="s">
        <v>12230</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0" t="s">
        <v>25</v>
      </c>
      <c r="C8091" s="601" t="s">
        <v>54</v>
      </c>
      <c r="D8091" s="602" t="s">
        <v>8824</v>
      </c>
      <c r="E8091" s="603">
        <v>41880</v>
      </c>
      <c r="F8091" s="43"/>
      <c r="G8091" s="48">
        <f t="shared" si="204"/>
        <v>161868.10483870946</v>
      </c>
      <c r="H8091" s="388" t="s">
        <v>9567</v>
      </c>
    </row>
    <row r="8092" spans="1:14" x14ac:dyDescent="0.3">
      <c r="A8092" s="45">
        <v>45266</v>
      </c>
      <c r="B8092" s="396" t="s">
        <v>12636</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12745</v>
      </c>
      <c r="E8093" s="43">
        <v>4250</v>
      </c>
      <c r="F8093" s="43"/>
      <c r="G8093" s="48">
        <f t="shared" si="204"/>
        <v>153618.10483870946</v>
      </c>
      <c r="H8093" s="388" t="s">
        <v>9567</v>
      </c>
    </row>
    <row r="8094" spans="1:14" x14ac:dyDescent="0.3">
      <c r="A8094" s="45">
        <v>45266</v>
      </c>
      <c r="B8094" s="600" t="s">
        <v>12080</v>
      </c>
      <c r="C8094" s="601" t="s">
        <v>54</v>
      </c>
      <c r="D8094" s="602" t="s">
        <v>12746</v>
      </c>
      <c r="E8094" s="603">
        <v>132130</v>
      </c>
      <c r="F8094" s="43"/>
      <c r="G8094" s="48">
        <f t="shared" si="204"/>
        <v>21488.104838709463</v>
      </c>
      <c r="H8094" s="388" t="s">
        <v>9567</v>
      </c>
    </row>
    <row r="8095" spans="1:14" x14ac:dyDescent="0.3">
      <c r="A8095" s="45">
        <v>45266</v>
      </c>
      <c r="B8095" s="396" t="s">
        <v>12080</v>
      </c>
      <c r="C8095" s="5" t="s">
        <v>26</v>
      </c>
      <c r="D8095" s="124" t="s">
        <v>12526</v>
      </c>
      <c r="E8095" s="43">
        <v>3000</v>
      </c>
      <c r="F8095" s="43"/>
      <c r="G8095" s="48">
        <f t="shared" si="204"/>
        <v>18488.104838709463</v>
      </c>
      <c r="H8095" s="388" t="s">
        <v>9567</v>
      </c>
    </row>
    <row r="8096" spans="1:14" x14ac:dyDescent="0.3">
      <c r="A8096" s="45">
        <v>45266</v>
      </c>
      <c r="B8096" s="396" t="s">
        <v>12636</v>
      </c>
      <c r="C8096" s="5" t="s">
        <v>11174</v>
      </c>
      <c r="D8096" s="124" t="s">
        <v>12280</v>
      </c>
      <c r="E8096" s="43">
        <v>3650</v>
      </c>
      <c r="F8096" s="43"/>
      <c r="G8096" s="48">
        <f t="shared" si="204"/>
        <v>14838.104838709463</v>
      </c>
      <c r="H8096" s="388" t="s">
        <v>9567</v>
      </c>
      <c r="J8096" s="52">
        <v>3650</v>
      </c>
    </row>
    <row r="8097" spans="1:10" x14ac:dyDescent="0.3">
      <c r="A8097" s="45">
        <v>45266</v>
      </c>
      <c r="B8097" s="396" t="s">
        <v>12133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12687</v>
      </c>
      <c r="E8098" s="43">
        <v>3000</v>
      </c>
      <c r="F8098" s="43"/>
      <c r="G8098" s="48">
        <f t="shared" si="204"/>
        <v>10838.104838709463</v>
      </c>
      <c r="H8098" s="388" t="s">
        <v>9567</v>
      </c>
      <c r="J8098" s="52">
        <f>SUM(J8096:J8097)</f>
        <v>7900</v>
      </c>
    </row>
    <row r="8099" spans="1:10" x14ac:dyDescent="0.3">
      <c r="A8099" s="45">
        <v>45267</v>
      </c>
      <c r="B8099" s="565"/>
      <c r="C8099" s="480"/>
      <c r="D8099" s="491" t="s">
        <v>4106</v>
      </c>
      <c r="E8099" s="480"/>
      <c r="F8099" s="43">
        <v>850000</v>
      </c>
      <c r="G8099" s="48">
        <f t="shared" si="204"/>
        <v>860838.10483870946</v>
      </c>
      <c r="H8099" s="388" t="s">
        <v>9567</v>
      </c>
    </row>
    <row r="8100" spans="1:10" x14ac:dyDescent="0.3">
      <c r="A8100" s="45">
        <v>45267</v>
      </c>
      <c r="B8100" s="600" t="s">
        <v>12086</v>
      </c>
      <c r="C8100" s="601" t="s">
        <v>54</v>
      </c>
      <c r="D8100" s="602" t="s">
        <v>12752</v>
      </c>
      <c r="E8100" s="603">
        <v>23500</v>
      </c>
      <c r="F8100" s="43"/>
      <c r="G8100" s="48">
        <f t="shared" si="204"/>
        <v>837338.10483870946</v>
      </c>
      <c r="H8100" s="388" t="s">
        <v>9567</v>
      </c>
    </row>
    <row r="8101" spans="1:10" x14ac:dyDescent="0.3">
      <c r="A8101" s="45">
        <v>45267</v>
      </c>
      <c r="B8101" s="600" t="s">
        <v>12133</v>
      </c>
      <c r="C8101" s="601" t="s">
        <v>54</v>
      </c>
      <c r="D8101" s="602" t="s">
        <v>12753</v>
      </c>
      <c r="E8101" s="603">
        <v>40480</v>
      </c>
      <c r="F8101" s="43"/>
      <c r="G8101" s="48">
        <f t="shared" si="204"/>
        <v>796858.10483870946</v>
      </c>
      <c r="H8101" s="388" t="s">
        <v>9567</v>
      </c>
      <c r="I8101" s="52">
        <v>2300000</v>
      </c>
    </row>
    <row r="8102" spans="1:10" x14ac:dyDescent="0.3">
      <c r="A8102" s="45">
        <v>45267</v>
      </c>
      <c r="B8102" s="600" t="s">
        <v>12049</v>
      </c>
      <c r="C8102" s="601" t="s">
        <v>54</v>
      </c>
      <c r="D8102" s="602" t="s">
        <v>11384</v>
      </c>
      <c r="E8102" s="603">
        <v>57750</v>
      </c>
      <c r="F8102" s="43"/>
      <c r="G8102" s="48">
        <f t="shared" si="204"/>
        <v>739108.10483870946</v>
      </c>
      <c r="H8102" s="388" t="s">
        <v>9567</v>
      </c>
      <c r="I8102" s="52">
        <v>250000</v>
      </c>
    </row>
    <row r="8103" spans="1:10" x14ac:dyDescent="0.3">
      <c r="A8103" s="45">
        <v>45267</v>
      </c>
      <c r="B8103" s="600" t="s">
        <v>12573</v>
      </c>
      <c r="C8103" s="601" t="s">
        <v>54</v>
      </c>
      <c r="D8103" s="602" t="s">
        <v>12754</v>
      </c>
      <c r="E8103" s="603">
        <v>65000</v>
      </c>
      <c r="F8103" s="43"/>
      <c r="G8103" s="48">
        <f t="shared" si="204"/>
        <v>674108.10483870946</v>
      </c>
      <c r="H8103" s="388" t="s">
        <v>9567</v>
      </c>
      <c r="I8103" s="52">
        <v>350000</v>
      </c>
    </row>
    <row r="8104" spans="1:10" x14ac:dyDescent="0.3">
      <c r="A8104" s="45">
        <v>45267</v>
      </c>
      <c r="B8104" s="600" t="s">
        <v>12049</v>
      </c>
      <c r="C8104" s="601" t="s">
        <v>54</v>
      </c>
      <c r="D8104" s="602" t="s">
        <v>12755</v>
      </c>
      <c r="E8104" s="603">
        <v>50210</v>
      </c>
      <c r="F8104" s="43"/>
      <c r="G8104" s="48">
        <f t="shared" si="204"/>
        <v>623898.10483870946</v>
      </c>
      <c r="H8104" s="388" t="s">
        <v>9567</v>
      </c>
      <c r="I8104" s="52">
        <f>SUM(I8101:I8103)</f>
        <v>2900000</v>
      </c>
    </row>
    <row r="8105" spans="1:10" x14ac:dyDescent="0.3">
      <c r="A8105" s="45">
        <v>45267</v>
      </c>
      <c r="B8105" s="600" t="s">
        <v>12055</v>
      </c>
      <c r="C8105" s="601" t="s">
        <v>54</v>
      </c>
      <c r="D8105" s="602" t="s">
        <v>12759</v>
      </c>
      <c r="E8105" s="603">
        <f>33020+31000+29040</f>
        <v>93060</v>
      </c>
      <c r="F8105" s="43"/>
      <c r="G8105" s="48">
        <f t="shared" si="204"/>
        <v>530838.10483870946</v>
      </c>
      <c r="H8105" s="388" t="s">
        <v>9567</v>
      </c>
      <c r="I8105" s="52">
        <f>I8104*13%</f>
        <v>377000</v>
      </c>
    </row>
    <row r="8106" spans="1:10" x14ac:dyDescent="0.3">
      <c r="A8106" s="45">
        <v>45267</v>
      </c>
      <c r="B8106" s="600" t="s">
        <v>12049</v>
      </c>
      <c r="C8106" s="601" t="s">
        <v>54</v>
      </c>
      <c r="D8106" s="602" t="s">
        <v>12758</v>
      </c>
      <c r="E8106" s="603">
        <v>17130</v>
      </c>
      <c r="F8106" s="43"/>
      <c r="G8106" s="48">
        <f t="shared" si="204"/>
        <v>513708.10483870946</v>
      </c>
      <c r="H8106" s="388" t="s">
        <v>9567</v>
      </c>
      <c r="I8106" s="52">
        <f>I8105+I8104</f>
        <v>3277000</v>
      </c>
    </row>
    <row r="8107" spans="1:10" x14ac:dyDescent="0.3">
      <c r="A8107" s="45">
        <v>45267</v>
      </c>
      <c r="B8107" s="600" t="s">
        <v>12611</v>
      </c>
      <c r="C8107" s="601" t="s">
        <v>54</v>
      </c>
      <c r="D8107" s="602" t="s">
        <v>12761</v>
      </c>
      <c r="E8107" s="603">
        <f>127670+223104+29710</f>
        <v>380484</v>
      </c>
      <c r="F8107" s="43"/>
      <c r="G8107" s="48">
        <f t="shared" si="204"/>
        <v>133224.10483870946</v>
      </c>
      <c r="H8107" s="388" t="s">
        <v>9567</v>
      </c>
      <c r="I8107" s="52">
        <v>2900000</v>
      </c>
    </row>
    <row r="8108" spans="1:10" x14ac:dyDescent="0.3">
      <c r="A8108" s="45">
        <v>45267</v>
      </c>
      <c r="B8108" s="600" t="s">
        <v>12049</v>
      </c>
      <c r="C8108" s="601" t="s">
        <v>54</v>
      </c>
      <c r="D8108" s="602" t="s">
        <v>12762</v>
      </c>
      <c r="E8108" s="603">
        <v>40500</v>
      </c>
      <c r="F8108" s="43"/>
      <c r="G8108" s="48">
        <f t="shared" si="204"/>
        <v>92724.104838709463</v>
      </c>
      <c r="H8108" s="388" t="s">
        <v>9567</v>
      </c>
      <c r="I8108" s="52">
        <f>I8107*13%</f>
        <v>377000</v>
      </c>
    </row>
    <row r="8109" spans="1:10" x14ac:dyDescent="0.3">
      <c r="A8109" s="45">
        <v>45267</v>
      </c>
      <c r="B8109" s="396" t="s">
        <v>12636</v>
      </c>
      <c r="C8109" s="5" t="s">
        <v>11174</v>
      </c>
      <c r="D8109" s="124" t="s">
        <v>12764</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11931</v>
      </c>
      <c r="E8110" s="43">
        <v>8500</v>
      </c>
      <c r="F8110" s="43"/>
      <c r="G8110" s="48">
        <f t="shared" si="204"/>
        <v>56224.104838709463</v>
      </c>
      <c r="H8110" s="388" t="s">
        <v>9567</v>
      </c>
    </row>
    <row r="8111" spans="1:10" x14ac:dyDescent="0.3">
      <c r="A8111" s="45">
        <v>45267</v>
      </c>
      <c r="B8111" s="396" t="s">
        <v>12636</v>
      </c>
      <c r="C8111" s="5" t="s">
        <v>5793</v>
      </c>
      <c r="D8111" s="124" t="s">
        <v>40</v>
      </c>
      <c r="E8111" s="43">
        <v>950</v>
      </c>
      <c r="F8111" s="43"/>
      <c r="G8111" s="48">
        <f t="shared" si="204"/>
        <v>55274.104838709463</v>
      </c>
      <c r="H8111" s="388" t="s">
        <v>9567</v>
      </c>
    </row>
    <row r="8112" spans="1:10" x14ac:dyDescent="0.3">
      <c r="A8112" s="45">
        <v>45267</v>
      </c>
      <c r="B8112" s="396" t="s">
        <v>12636</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12687</v>
      </c>
      <c r="E8113" s="43">
        <v>4000</v>
      </c>
      <c r="F8113" s="43"/>
      <c r="G8113" s="48">
        <f t="shared" si="204"/>
        <v>50734.104838709463</v>
      </c>
      <c r="H8113" s="388" t="s">
        <v>9567</v>
      </c>
    </row>
    <row r="8114" spans="1:10" x14ac:dyDescent="0.3">
      <c r="A8114" s="45">
        <v>45267</v>
      </c>
      <c r="B8114" s="396" t="s">
        <v>12046</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12772</v>
      </c>
      <c r="E8115" s="43">
        <v>800</v>
      </c>
      <c r="F8115" s="43"/>
      <c r="G8115" s="48">
        <f t="shared" si="204"/>
        <v>47934.104838709463</v>
      </c>
      <c r="H8115" s="388" t="s">
        <v>9567</v>
      </c>
    </row>
    <row r="8116" spans="1:10" x14ac:dyDescent="0.3">
      <c r="A8116" s="45">
        <v>45268</v>
      </c>
      <c r="B8116" s="396" t="s">
        <v>12086</v>
      </c>
      <c r="C8116" s="5" t="s">
        <v>11174</v>
      </c>
      <c r="D8116" s="124" t="s">
        <v>12760</v>
      </c>
      <c r="E8116" s="43">
        <v>1200</v>
      </c>
      <c r="F8116" s="43"/>
      <c r="G8116" s="48">
        <f t="shared" ref="G8116:G8187" si="205">G8115+F8116-E8116</f>
        <v>46734.104838709463</v>
      </c>
      <c r="H8116" s="388" t="s">
        <v>9567</v>
      </c>
      <c r="I8116" s="583" t="s">
        <v>12514</v>
      </c>
      <c r="J8116" s="187" t="e">
        <f>#REF!</f>
        <v>#REF!</v>
      </c>
    </row>
    <row r="8117" spans="1:10" x14ac:dyDescent="0.3">
      <c r="A8117" s="45">
        <v>45268</v>
      </c>
      <c r="B8117" s="396" t="s">
        <v>12086</v>
      </c>
      <c r="C8117" s="5" t="s">
        <v>5793</v>
      </c>
      <c r="D8117" s="124" t="s">
        <v>40</v>
      </c>
      <c r="E8117" s="43">
        <v>500</v>
      </c>
      <c r="F8117" s="43"/>
      <c r="G8117" s="48">
        <f t="shared" si="205"/>
        <v>46234.104838709463</v>
      </c>
      <c r="H8117" s="388" t="s">
        <v>9567</v>
      </c>
      <c r="I8117" s="583" t="s">
        <v>55</v>
      </c>
      <c r="J8117" s="187">
        <f ca="1">SUMIF(C8047:E8162,"salary",E8047:E8162)</f>
        <v>1835518.5833333333</v>
      </c>
    </row>
    <row r="8118" spans="1:10" x14ac:dyDescent="0.3">
      <c r="A8118" s="45">
        <v>45268</v>
      </c>
      <c r="B8118" s="396" t="s">
        <v>12636</v>
      </c>
      <c r="C8118" s="5" t="s">
        <v>5793</v>
      </c>
      <c r="D8118" s="124" t="s">
        <v>12765</v>
      </c>
      <c r="E8118" s="43">
        <v>1000</v>
      </c>
      <c r="F8118" s="43"/>
      <c r="G8118" s="48">
        <f t="shared" si="205"/>
        <v>45234.104838709463</v>
      </c>
      <c r="H8118" s="388" t="s">
        <v>9567</v>
      </c>
      <c r="I8118" s="583" t="s">
        <v>12233</v>
      </c>
      <c r="J8118" s="187" t="e">
        <f ca="1">J8116-J8117</f>
        <v>#REF!</v>
      </c>
    </row>
    <row r="8119" spans="1:10" x14ac:dyDescent="0.3">
      <c r="A8119" s="45">
        <v>45268</v>
      </c>
      <c r="B8119" s="396" t="s">
        <v>12086</v>
      </c>
      <c r="C8119" s="5" t="s">
        <v>11174</v>
      </c>
      <c r="D8119" s="124" t="s">
        <v>12767</v>
      </c>
      <c r="E8119" s="43">
        <v>11750</v>
      </c>
      <c r="F8119" s="43"/>
      <c r="G8119" s="48">
        <f t="shared" si="205"/>
        <v>33484.104838709463</v>
      </c>
      <c r="H8119" s="388" t="s">
        <v>9567</v>
      </c>
      <c r="I8119" s="583"/>
      <c r="J8119" s="187"/>
    </row>
    <row r="8120" spans="1:10" x14ac:dyDescent="0.3">
      <c r="A8120" s="45">
        <v>45268</v>
      </c>
      <c r="B8120" s="396" t="s">
        <v>12086</v>
      </c>
      <c r="C8120" s="5" t="s">
        <v>11174</v>
      </c>
      <c r="D8120" s="124" t="s">
        <v>12771</v>
      </c>
      <c r="E8120" s="43">
        <v>5000</v>
      </c>
      <c r="F8120" s="43"/>
      <c r="G8120" s="48">
        <f t="shared" si="205"/>
        <v>28484.104838709463</v>
      </c>
      <c r="H8120" s="388" t="s">
        <v>9567</v>
      </c>
      <c r="I8120" s="589"/>
      <c r="J8120" s="590"/>
    </row>
    <row r="8121" spans="1:10" x14ac:dyDescent="0.3">
      <c r="A8121" s="45">
        <v>45268</v>
      </c>
      <c r="B8121" s="396" t="s">
        <v>12086</v>
      </c>
      <c r="C8121" s="5" t="s">
        <v>11174</v>
      </c>
      <c r="D8121" s="124" t="s">
        <v>12768</v>
      </c>
      <c r="E8121" s="43">
        <v>2700</v>
      </c>
      <c r="F8121" s="43"/>
      <c r="G8121" s="48">
        <f t="shared" si="205"/>
        <v>25784.104838709463</v>
      </c>
      <c r="H8121" s="388" t="s">
        <v>9567</v>
      </c>
      <c r="I8121" s="589"/>
      <c r="J8121" s="590"/>
    </row>
    <row r="8122" spans="1:10" x14ac:dyDescent="0.3">
      <c r="A8122" s="45">
        <v>45268</v>
      </c>
      <c r="B8122" s="396" t="s">
        <v>12086</v>
      </c>
      <c r="C8122" s="5" t="s">
        <v>5793</v>
      </c>
      <c r="D8122" s="124" t="s">
        <v>40</v>
      </c>
      <c r="E8122" s="43">
        <v>4000</v>
      </c>
      <c r="F8122" s="43"/>
      <c r="G8122" s="48">
        <f t="shared" si="205"/>
        <v>21784.104838709463</v>
      </c>
      <c r="H8122" s="388" t="s">
        <v>9567</v>
      </c>
      <c r="I8122" s="589"/>
      <c r="J8122" s="590"/>
    </row>
    <row r="8123" spans="1:10" x14ac:dyDescent="0.3">
      <c r="A8123" s="45">
        <v>45268</v>
      </c>
      <c r="B8123" s="396" t="s">
        <v>25</v>
      </c>
      <c r="C8123" s="5" t="s">
        <v>25</v>
      </c>
      <c r="D8123" s="124" t="s">
        <v>12687</v>
      </c>
      <c r="E8123" s="43">
        <v>2000</v>
      </c>
      <c r="F8123" s="43"/>
      <c r="G8123" s="48">
        <f t="shared" si="205"/>
        <v>19784.104838709463</v>
      </c>
      <c r="H8123" s="388" t="s">
        <v>9567</v>
      </c>
    </row>
    <row r="8124" spans="1:10" x14ac:dyDescent="0.3">
      <c r="A8124" s="45">
        <v>45268</v>
      </c>
      <c r="B8124" s="396" t="s">
        <v>12086</v>
      </c>
      <c r="C8124" s="5" t="s">
        <v>12769</v>
      </c>
      <c r="D8124" s="124" t="s">
        <v>12770</v>
      </c>
      <c r="E8124" s="43">
        <v>4300</v>
      </c>
      <c r="F8124" s="43"/>
      <c r="G8124" s="48">
        <f t="shared" si="205"/>
        <v>15484.104838709463</v>
      </c>
      <c r="H8124" s="388" t="s">
        <v>9567</v>
      </c>
    </row>
    <row r="8125" spans="1:10" x14ac:dyDescent="0.3">
      <c r="A8125" s="45">
        <v>45268</v>
      </c>
      <c r="B8125" s="396" t="s">
        <v>12636</v>
      </c>
      <c r="C8125" s="5" t="s">
        <v>5793</v>
      </c>
      <c r="D8125" s="124" t="s">
        <v>12773</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5"/>
      <c r="C8128" s="480"/>
      <c r="D8128" s="491" t="s">
        <v>12776</v>
      </c>
      <c r="E8128" s="480"/>
      <c r="F8128" s="43">
        <v>250000</v>
      </c>
      <c r="G8128" s="48">
        <f t="shared" si="205"/>
        <v>254884.10483870946</v>
      </c>
      <c r="H8128" s="388" t="s">
        <v>9567</v>
      </c>
    </row>
    <row r="8129" spans="1:11" x14ac:dyDescent="0.3">
      <c r="A8129" s="45">
        <v>45271</v>
      </c>
      <c r="B8129" s="600" t="s">
        <v>12611</v>
      </c>
      <c r="C8129" s="601" t="s">
        <v>54</v>
      </c>
      <c r="D8129" s="602" t="s">
        <v>12775</v>
      </c>
      <c r="E8129" s="603">
        <v>147980</v>
      </c>
      <c r="F8129" s="43"/>
      <c r="G8129" s="48">
        <f t="shared" si="205"/>
        <v>106904.10483870946</v>
      </c>
      <c r="H8129" s="388" t="s">
        <v>9567</v>
      </c>
    </row>
    <row r="8130" spans="1:11" x14ac:dyDescent="0.3">
      <c r="A8130" s="45">
        <v>45271</v>
      </c>
      <c r="B8130" s="600" t="s">
        <v>12049</v>
      </c>
      <c r="C8130" s="601" t="s">
        <v>54</v>
      </c>
      <c r="D8130" s="602" t="s">
        <v>12777</v>
      </c>
      <c r="E8130" s="603">
        <v>70690</v>
      </c>
      <c r="F8130" s="43"/>
      <c r="G8130" s="48">
        <f t="shared" si="205"/>
        <v>36214.104838709463</v>
      </c>
      <c r="H8130" s="388" t="s">
        <v>9567</v>
      </c>
      <c r="K8130" s="52">
        <v>1500000</v>
      </c>
    </row>
    <row r="8131" spans="1:11" x14ac:dyDescent="0.3">
      <c r="A8131" s="45">
        <v>45271</v>
      </c>
      <c r="B8131" s="600" t="s">
        <v>12086</v>
      </c>
      <c r="C8131" s="601" t="s">
        <v>54</v>
      </c>
      <c r="D8131" s="602" t="s">
        <v>12779</v>
      </c>
      <c r="E8131" s="603">
        <v>30750</v>
      </c>
      <c r="F8131" s="43"/>
      <c r="G8131" s="48">
        <f t="shared" si="205"/>
        <v>5464.1048387094634</v>
      </c>
      <c r="H8131" s="388" t="s">
        <v>9567</v>
      </c>
      <c r="K8131" s="52">
        <v>1000000</v>
      </c>
    </row>
    <row r="8132" spans="1:11" x14ac:dyDescent="0.3">
      <c r="A8132" s="45">
        <v>45271</v>
      </c>
      <c r="B8132" s="396" t="s">
        <v>12086</v>
      </c>
      <c r="C8132" s="5" t="s">
        <v>84</v>
      </c>
      <c r="D8132" s="124" t="s">
        <v>12774</v>
      </c>
      <c r="E8132" s="43">
        <v>2000</v>
      </c>
      <c r="F8132" s="43"/>
      <c r="G8132" s="48">
        <f t="shared" si="205"/>
        <v>3464.1048387094634</v>
      </c>
      <c r="H8132" s="388" t="s">
        <v>9567</v>
      </c>
      <c r="K8132" s="52">
        <v>1500000</v>
      </c>
    </row>
    <row r="8133" spans="1:11" x14ac:dyDescent="0.3">
      <c r="A8133" s="45">
        <v>45271</v>
      </c>
      <c r="B8133" s="396" t="s">
        <v>12133</v>
      </c>
      <c r="C8133" s="5" t="s">
        <v>5162</v>
      </c>
      <c r="D8133" s="124" t="s">
        <v>12786</v>
      </c>
      <c r="E8133" s="62">
        <v>1000</v>
      </c>
      <c r="F8133" s="43"/>
      <c r="G8133" s="48">
        <f t="shared" si="205"/>
        <v>2464.1048387094634</v>
      </c>
      <c r="H8133" s="388" t="s">
        <v>9567</v>
      </c>
      <c r="K8133" s="52">
        <v>1000000</v>
      </c>
    </row>
    <row r="8134" spans="1:11" x14ac:dyDescent="0.3">
      <c r="A8134" s="45">
        <v>45271</v>
      </c>
      <c r="B8134" s="396" t="s">
        <v>12133</v>
      </c>
      <c r="C8134" s="5" t="s">
        <v>84</v>
      </c>
      <c r="D8134" s="124" t="s">
        <v>12787</v>
      </c>
      <c r="E8134" s="62">
        <v>1000</v>
      </c>
      <c r="F8134" s="43"/>
      <c r="G8134" s="48">
        <f t="shared" si="205"/>
        <v>1464.1048387094634</v>
      </c>
      <c r="H8134" s="388" t="s">
        <v>9567</v>
      </c>
      <c r="K8134" s="52">
        <v>1000000</v>
      </c>
    </row>
    <row r="8135" spans="1:11" x14ac:dyDescent="0.3">
      <c r="A8135" s="45">
        <v>45271</v>
      </c>
      <c r="B8135" s="396" t="s">
        <v>12049</v>
      </c>
      <c r="C8135" s="5" t="s">
        <v>26</v>
      </c>
      <c r="D8135" s="124" t="s">
        <v>12778</v>
      </c>
      <c r="E8135" s="43">
        <v>1000</v>
      </c>
      <c r="F8135" s="43"/>
      <c r="G8135" s="48">
        <f t="shared" si="205"/>
        <v>464.10483870946337</v>
      </c>
      <c r="H8135" s="388" t="s">
        <v>9567</v>
      </c>
      <c r="K8135" s="52">
        <v>1417880</v>
      </c>
    </row>
    <row r="8136" spans="1:11" x14ac:dyDescent="0.3">
      <c r="A8136" s="45">
        <v>45271</v>
      </c>
      <c r="B8136" s="565"/>
      <c r="C8136" s="480"/>
      <c r="D8136" s="491" t="s">
        <v>12776</v>
      </c>
      <c r="E8136" s="480"/>
      <c r="F8136" s="43">
        <v>250000</v>
      </c>
      <c r="G8136" s="48">
        <f t="shared" si="205"/>
        <v>250464.10483870946</v>
      </c>
      <c r="H8136" s="388" t="s">
        <v>9567</v>
      </c>
      <c r="K8136" s="52">
        <v>2200</v>
      </c>
    </row>
    <row r="8137" spans="1:11" x14ac:dyDescent="0.3">
      <c r="A8137" s="45">
        <v>45271</v>
      </c>
      <c r="B8137" s="396" t="s">
        <v>12080</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0" t="s">
        <v>12079</v>
      </c>
      <c r="C8138" s="601" t="s">
        <v>54</v>
      </c>
      <c r="D8138" s="602" t="s">
        <v>12566</v>
      </c>
      <c r="E8138" s="603">
        <v>136964.58333333334</v>
      </c>
      <c r="F8138" s="43"/>
      <c r="G8138" s="48">
        <f t="shared" si="205"/>
        <v>112949.52150537612</v>
      </c>
      <c r="H8138" s="388" t="s">
        <v>9567</v>
      </c>
    </row>
    <row r="8139" spans="1:11" x14ac:dyDescent="0.3">
      <c r="A8139" s="45">
        <v>45271</v>
      </c>
      <c r="B8139" s="600" t="s">
        <v>11674</v>
      </c>
      <c r="C8139" s="601" t="s">
        <v>54</v>
      </c>
      <c r="D8139" s="602" t="s">
        <v>12781</v>
      </c>
      <c r="E8139" s="603">
        <v>25050</v>
      </c>
      <c r="F8139" s="43"/>
      <c r="G8139" s="48">
        <f t="shared" si="205"/>
        <v>87899.52150537612</v>
      </c>
      <c r="H8139" s="388" t="s">
        <v>9567</v>
      </c>
    </row>
    <row r="8140" spans="1:11" x14ac:dyDescent="0.3">
      <c r="A8140" s="45">
        <v>45271</v>
      </c>
      <c r="B8140" s="396" t="s">
        <v>12439</v>
      </c>
      <c r="C8140" s="5" t="s">
        <v>12782</v>
      </c>
      <c r="D8140" s="124" t="s">
        <v>3172</v>
      </c>
      <c r="E8140" s="43">
        <v>9300</v>
      </c>
      <c r="F8140" s="43"/>
      <c r="G8140" s="48">
        <f t="shared" si="205"/>
        <v>78599.52150537612</v>
      </c>
      <c r="H8140" s="388" t="s">
        <v>9567</v>
      </c>
    </row>
    <row r="8141" spans="1:11" x14ac:dyDescent="0.3">
      <c r="A8141" s="45">
        <v>45271</v>
      </c>
      <c r="B8141" s="396" t="s">
        <v>12439</v>
      </c>
      <c r="C8141" s="5" t="s">
        <v>10870</v>
      </c>
      <c r="D8141" s="124" t="s">
        <v>12783</v>
      </c>
      <c r="E8141" s="43">
        <v>24000</v>
      </c>
      <c r="F8141" s="43"/>
      <c r="G8141" s="48">
        <f t="shared" si="205"/>
        <v>54599.52150537612</v>
      </c>
      <c r="H8141" s="388" t="s">
        <v>9567</v>
      </c>
    </row>
    <row r="8142" spans="1:11" x14ac:dyDescent="0.3">
      <c r="A8142" s="45">
        <v>45271</v>
      </c>
      <c r="B8142" s="396" t="s">
        <v>25</v>
      </c>
      <c r="C8142" s="5" t="s">
        <v>64</v>
      </c>
      <c r="D8142" s="124" t="s">
        <v>12784</v>
      </c>
      <c r="E8142" s="43">
        <v>2200</v>
      </c>
      <c r="F8142" s="43"/>
      <c r="G8142" s="48">
        <f t="shared" si="205"/>
        <v>52399.52150537612</v>
      </c>
      <c r="H8142" s="388" t="s">
        <v>9567</v>
      </c>
    </row>
    <row r="8143" spans="1:11" x14ac:dyDescent="0.3">
      <c r="A8143" s="45">
        <v>45271</v>
      </c>
      <c r="B8143" s="600" t="s">
        <v>11674</v>
      </c>
      <c r="C8143" s="601" t="s">
        <v>54</v>
      </c>
      <c r="D8143" s="602" t="s">
        <v>6952</v>
      </c>
      <c r="E8143" s="603">
        <v>45750</v>
      </c>
      <c r="F8143" s="43"/>
      <c r="G8143" s="48">
        <f t="shared" si="205"/>
        <v>6649.5215053761203</v>
      </c>
      <c r="H8143" s="388" t="s">
        <v>9567</v>
      </c>
    </row>
    <row r="8144" spans="1:11" x14ac:dyDescent="0.3">
      <c r="A8144" s="45">
        <v>45271</v>
      </c>
      <c r="B8144" s="396" t="s">
        <v>25</v>
      </c>
      <c r="C8144" s="5" t="s">
        <v>26</v>
      </c>
      <c r="D8144" s="124" t="s">
        <v>12785</v>
      </c>
      <c r="E8144" s="43">
        <v>880</v>
      </c>
      <c r="F8144" s="43"/>
      <c r="G8144" s="48">
        <f t="shared" si="205"/>
        <v>5769.5215053761203</v>
      </c>
      <c r="H8144" s="388" t="s">
        <v>9567</v>
      </c>
    </row>
    <row r="8145" spans="1:8" x14ac:dyDescent="0.3">
      <c r="A8145" s="45">
        <v>45271</v>
      </c>
      <c r="B8145" s="396" t="s">
        <v>25</v>
      </c>
      <c r="C8145" s="5" t="s">
        <v>25</v>
      </c>
      <c r="D8145" s="124" t="s">
        <v>12687</v>
      </c>
      <c r="E8145" s="43">
        <v>4000</v>
      </c>
      <c r="F8145" s="43"/>
      <c r="G8145" s="48">
        <f t="shared" si="205"/>
        <v>1769.5215053761203</v>
      </c>
      <c r="H8145" s="388" t="s">
        <v>9567</v>
      </c>
    </row>
    <row r="8146" spans="1:8" x14ac:dyDescent="0.3">
      <c r="A8146" s="45">
        <v>45273</v>
      </c>
      <c r="B8146" s="565"/>
      <c r="C8146" s="480"/>
      <c r="D8146" s="491" t="s">
        <v>12269</v>
      </c>
      <c r="E8146" s="480"/>
      <c r="F8146" s="43">
        <v>200000</v>
      </c>
      <c r="G8146" s="48">
        <f t="shared" si="205"/>
        <v>201769.52150537612</v>
      </c>
      <c r="H8146" s="388" t="s">
        <v>9567</v>
      </c>
    </row>
    <row r="8147" spans="1:8" x14ac:dyDescent="0.3">
      <c r="A8147" s="45">
        <v>45273</v>
      </c>
      <c r="B8147" s="396" t="s">
        <v>12045</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12789</v>
      </c>
      <c r="E8148" s="43">
        <v>15000</v>
      </c>
      <c r="F8148" s="43"/>
      <c r="G8148" s="48">
        <f t="shared" si="205"/>
        <v>184769.52150537612</v>
      </c>
      <c r="H8148" s="388" t="s">
        <v>9567</v>
      </c>
    </row>
    <row r="8149" spans="1:8" x14ac:dyDescent="0.3">
      <c r="A8149" s="45">
        <v>45273</v>
      </c>
      <c r="B8149" s="396" t="s">
        <v>12796</v>
      </c>
      <c r="C8149" s="5" t="s">
        <v>9758</v>
      </c>
      <c r="D8149" s="124" t="s">
        <v>12790</v>
      </c>
      <c r="E8149" s="43">
        <v>10000</v>
      </c>
      <c r="F8149" s="43"/>
      <c r="G8149" s="48">
        <f t="shared" si="205"/>
        <v>174769.52150537612</v>
      </c>
      <c r="H8149" s="388" t="s">
        <v>9567</v>
      </c>
    </row>
    <row r="8150" spans="1:8" x14ac:dyDescent="0.3">
      <c r="A8150" s="45">
        <v>45273</v>
      </c>
      <c r="B8150" s="396" t="s">
        <v>12636</v>
      </c>
      <c r="C8150" s="5" t="s">
        <v>11174</v>
      </c>
      <c r="D8150" s="124" t="s">
        <v>12791</v>
      </c>
      <c r="E8150" s="43">
        <v>3900</v>
      </c>
      <c r="F8150" s="43"/>
      <c r="G8150" s="48">
        <f t="shared" si="205"/>
        <v>170869.52150537612</v>
      </c>
      <c r="H8150" s="388" t="s">
        <v>9567</v>
      </c>
    </row>
    <row r="8151" spans="1:8" x14ac:dyDescent="0.3">
      <c r="A8151" s="45">
        <v>45274</v>
      </c>
      <c r="B8151" s="396" t="s">
        <v>12086</v>
      </c>
      <c r="C8151" s="5" t="s">
        <v>5793</v>
      </c>
      <c r="D8151" s="124" t="s">
        <v>294</v>
      </c>
      <c r="E8151" s="43">
        <v>1000</v>
      </c>
      <c r="F8151" s="43"/>
      <c r="G8151" s="48">
        <f t="shared" si="205"/>
        <v>169869.52150537612</v>
      </c>
      <c r="H8151" s="388" t="s">
        <v>9567</v>
      </c>
    </row>
    <row r="8152" spans="1:8" x14ac:dyDescent="0.3">
      <c r="A8152" s="45">
        <v>45274</v>
      </c>
      <c r="B8152" s="396" t="s">
        <v>12573</v>
      </c>
      <c r="C8152" s="5" t="s">
        <v>12104</v>
      </c>
      <c r="D8152" s="124" t="s">
        <v>12792</v>
      </c>
      <c r="E8152" s="43">
        <v>40000</v>
      </c>
      <c r="F8152" s="43"/>
      <c r="G8152" s="48">
        <f t="shared" si="205"/>
        <v>129869.52150537612</v>
      </c>
      <c r="H8152" s="388" t="s">
        <v>9567</v>
      </c>
    </row>
    <row r="8153" spans="1:8" x14ac:dyDescent="0.3">
      <c r="A8153" s="45">
        <v>45274</v>
      </c>
      <c r="B8153" s="396"/>
      <c r="C8153" s="5" t="s">
        <v>84</v>
      </c>
      <c r="D8153" s="124" t="s">
        <v>12793</v>
      </c>
      <c r="E8153" s="43">
        <v>5000</v>
      </c>
      <c r="F8153" s="43"/>
      <c r="G8153" s="48">
        <f t="shared" si="205"/>
        <v>124869.52150537612</v>
      </c>
      <c r="H8153" s="388" t="s">
        <v>9567</v>
      </c>
    </row>
    <row r="8154" spans="1:8" x14ac:dyDescent="0.3">
      <c r="A8154" s="45">
        <v>45274</v>
      </c>
      <c r="B8154" s="396" t="s">
        <v>12086</v>
      </c>
      <c r="C8154" s="5" t="s">
        <v>5793</v>
      </c>
      <c r="D8154" s="124" t="s">
        <v>12794</v>
      </c>
      <c r="E8154" s="43">
        <v>2000</v>
      </c>
      <c r="F8154" s="43"/>
      <c r="G8154" s="48">
        <f t="shared" si="205"/>
        <v>122869.52150537612</v>
      </c>
      <c r="H8154" s="388" t="s">
        <v>9567</v>
      </c>
    </row>
    <row r="8155" spans="1:8" x14ac:dyDescent="0.3">
      <c r="A8155" s="45">
        <v>45274</v>
      </c>
      <c r="B8155" s="396" t="s">
        <v>12636</v>
      </c>
      <c r="C8155" s="5" t="s">
        <v>5793</v>
      </c>
      <c r="D8155" s="124" t="s">
        <v>8924</v>
      </c>
      <c r="E8155" s="43">
        <f>250+350</f>
        <v>600</v>
      </c>
      <c r="F8155" s="43"/>
      <c r="G8155" s="48">
        <f t="shared" si="205"/>
        <v>122269.52150537612</v>
      </c>
      <c r="H8155" s="388" t="s">
        <v>9567</v>
      </c>
    </row>
    <row r="8156" spans="1:8" x14ac:dyDescent="0.3">
      <c r="A8156" s="45">
        <v>45273</v>
      </c>
      <c r="B8156" s="396" t="s">
        <v>12636</v>
      </c>
      <c r="C8156" s="5" t="s">
        <v>11174</v>
      </c>
      <c r="D8156" s="124" t="s">
        <v>12800</v>
      </c>
      <c r="E8156" s="43">
        <v>4150</v>
      </c>
      <c r="F8156" s="43"/>
      <c r="G8156" s="48">
        <f t="shared" si="205"/>
        <v>118119.52150537612</v>
      </c>
      <c r="H8156" s="388" t="s">
        <v>9567</v>
      </c>
    </row>
    <row r="8157" spans="1:8" x14ac:dyDescent="0.3">
      <c r="A8157" s="45">
        <v>45273</v>
      </c>
      <c r="B8157" s="396" t="s">
        <v>12636</v>
      </c>
      <c r="C8157" s="5" t="s">
        <v>5793</v>
      </c>
      <c r="D8157" s="124" t="s">
        <v>40</v>
      </c>
      <c r="E8157" s="43">
        <v>800</v>
      </c>
      <c r="F8157" s="43"/>
      <c r="G8157" s="48">
        <f t="shared" si="205"/>
        <v>117319.52150537612</v>
      </c>
      <c r="H8157" s="388" t="s">
        <v>9567</v>
      </c>
    </row>
    <row r="8158" spans="1:8" x14ac:dyDescent="0.3">
      <c r="A8158" s="45">
        <v>45273</v>
      </c>
      <c r="B8158" s="396" t="s">
        <v>12636</v>
      </c>
      <c r="C8158" s="5" t="s">
        <v>26</v>
      </c>
      <c r="D8158" s="124" t="s">
        <v>12801</v>
      </c>
      <c r="E8158" s="43">
        <v>50</v>
      </c>
      <c r="F8158" s="43"/>
      <c r="G8158" s="48">
        <f t="shared" si="205"/>
        <v>117269.52150537612</v>
      </c>
      <c r="H8158" s="388" t="s">
        <v>9567</v>
      </c>
    </row>
    <row r="8159" spans="1:8" x14ac:dyDescent="0.3">
      <c r="A8159" s="45">
        <v>45274</v>
      </c>
      <c r="B8159" s="396" t="s">
        <v>12049</v>
      </c>
      <c r="C8159" s="5" t="s">
        <v>84</v>
      </c>
      <c r="D8159" s="124" t="s">
        <v>12795</v>
      </c>
      <c r="E8159" s="43">
        <v>1000</v>
      </c>
      <c r="F8159" s="43"/>
      <c r="G8159" s="48">
        <f t="shared" si="205"/>
        <v>116269.52150537612</v>
      </c>
      <c r="H8159" s="388" t="s">
        <v>9567</v>
      </c>
    </row>
    <row r="8160" spans="1:8" x14ac:dyDescent="0.3">
      <c r="A8160" s="45">
        <v>45275</v>
      </c>
      <c r="B8160" s="396" t="s">
        <v>12230</v>
      </c>
      <c r="C8160" s="5" t="s">
        <v>1074</v>
      </c>
      <c r="D8160" s="124" t="s">
        <v>12798</v>
      </c>
      <c r="E8160" s="43">
        <v>2060</v>
      </c>
      <c r="F8160" s="43"/>
      <c r="G8160" s="48">
        <f t="shared" si="205"/>
        <v>114209.52150537612</v>
      </c>
      <c r="H8160" s="388" t="s">
        <v>9567</v>
      </c>
    </row>
    <row r="8161" spans="1:11" x14ac:dyDescent="0.3">
      <c r="A8161" s="45">
        <v>45275</v>
      </c>
      <c r="B8161" s="396" t="s">
        <v>25</v>
      </c>
      <c r="C8161" s="5" t="s">
        <v>1074</v>
      </c>
      <c r="D8161" s="124" t="s">
        <v>12798</v>
      </c>
      <c r="E8161" s="43">
        <v>7550</v>
      </c>
      <c r="F8161" s="43"/>
      <c r="G8161" s="48">
        <f t="shared" si="205"/>
        <v>106659.52150537612</v>
      </c>
      <c r="H8161" s="388" t="s">
        <v>9567</v>
      </c>
    </row>
    <row r="8162" spans="1:11" x14ac:dyDescent="0.3">
      <c r="A8162" s="45">
        <v>45275</v>
      </c>
      <c r="B8162" s="396" t="s">
        <v>12573</v>
      </c>
      <c r="C8162" s="5" t="s">
        <v>26</v>
      </c>
      <c r="D8162" s="124" t="s">
        <v>12799</v>
      </c>
      <c r="E8162" s="43">
        <v>3000</v>
      </c>
      <c r="F8162" s="43"/>
      <c r="G8162" s="48">
        <f t="shared" si="205"/>
        <v>103659.52150537612</v>
      </c>
      <c r="H8162" s="388" t="s">
        <v>9567</v>
      </c>
    </row>
    <row r="8163" spans="1:11" x14ac:dyDescent="0.3">
      <c r="A8163" s="45">
        <v>45275</v>
      </c>
      <c r="B8163" s="396" t="s">
        <v>12049</v>
      </c>
      <c r="C8163" s="5" t="s">
        <v>84</v>
      </c>
      <c r="D8163" s="124" t="s">
        <v>12802</v>
      </c>
      <c r="E8163" s="62">
        <v>10000</v>
      </c>
      <c r="F8163" s="43"/>
      <c r="G8163" s="48">
        <f t="shared" si="205"/>
        <v>93659.52150537612</v>
      </c>
      <c r="H8163" s="388" t="s">
        <v>9567</v>
      </c>
      <c r="I8163" s="935"/>
      <c r="J8163" s="936"/>
      <c r="K8163" s="936"/>
    </row>
    <row r="8164" spans="1:11" x14ac:dyDescent="0.3">
      <c r="A8164" s="45">
        <v>45275</v>
      </c>
      <c r="B8164" s="396" t="s">
        <v>12710</v>
      </c>
      <c r="C8164" s="5" t="s">
        <v>4550</v>
      </c>
      <c r="D8164" s="124" t="s">
        <v>12856</v>
      </c>
      <c r="E8164" s="43">
        <v>2000</v>
      </c>
      <c r="F8164" s="43"/>
      <c r="G8164" s="48">
        <f t="shared" si="205"/>
        <v>91659.52150537612</v>
      </c>
      <c r="H8164" s="388" t="s">
        <v>9567</v>
      </c>
      <c r="I8164" s="935"/>
      <c r="J8164" s="936"/>
      <c r="K8164" s="936"/>
    </row>
    <row r="8165" spans="1:11" x14ac:dyDescent="0.3">
      <c r="A8165" s="45">
        <v>45275</v>
      </c>
      <c r="B8165" s="396"/>
      <c r="C8165" s="5" t="s">
        <v>84</v>
      </c>
      <c r="D8165" s="124" t="s">
        <v>12803</v>
      </c>
      <c r="E8165" s="43">
        <v>2000</v>
      </c>
      <c r="F8165" s="43"/>
      <c r="G8165" s="48">
        <f t="shared" si="205"/>
        <v>89659.52150537612</v>
      </c>
      <c r="H8165" s="388" t="s">
        <v>9567</v>
      </c>
      <c r="I8165" s="935"/>
      <c r="J8165" s="936"/>
      <c r="K8165" s="936"/>
    </row>
    <row r="8166" spans="1:11" x14ac:dyDescent="0.3">
      <c r="A8166" s="45">
        <v>45274</v>
      </c>
      <c r="B8166" s="396" t="s">
        <v>12796</v>
      </c>
      <c r="C8166" s="5" t="s">
        <v>9451</v>
      </c>
      <c r="D8166" s="124" t="s">
        <v>11724</v>
      </c>
      <c r="E8166" s="43">
        <v>9000</v>
      </c>
      <c r="F8166" s="43"/>
      <c r="G8166" s="48">
        <f t="shared" si="205"/>
        <v>80659.52150537612</v>
      </c>
      <c r="H8166" s="388" t="s">
        <v>9567</v>
      </c>
    </row>
    <row r="8167" spans="1:11" x14ac:dyDescent="0.3">
      <c r="A8167" s="45">
        <v>45274</v>
      </c>
      <c r="B8167" s="396" t="s">
        <v>12796</v>
      </c>
      <c r="C8167" s="5" t="s">
        <v>5793</v>
      </c>
      <c r="D8167" s="124" t="s">
        <v>12807</v>
      </c>
      <c r="E8167" s="43">
        <v>7500</v>
      </c>
      <c r="F8167" s="43"/>
      <c r="G8167" s="48">
        <f t="shared" si="205"/>
        <v>73159.52150537612</v>
      </c>
      <c r="H8167" s="388" t="s">
        <v>9567</v>
      </c>
    </row>
    <row r="8168" spans="1:11" ht="24" customHeight="1" x14ac:dyDescent="0.3">
      <c r="A8168" s="45">
        <v>45274</v>
      </c>
      <c r="B8168" s="396" t="s">
        <v>12636</v>
      </c>
      <c r="C8168" s="73" t="s">
        <v>11174</v>
      </c>
      <c r="D8168" s="124" t="s">
        <v>12810</v>
      </c>
      <c r="E8168" s="43">
        <v>40500</v>
      </c>
      <c r="F8168" s="43"/>
      <c r="G8168" s="48">
        <f t="shared" si="205"/>
        <v>32659.52150537612</v>
      </c>
      <c r="H8168" s="388" t="s">
        <v>9567</v>
      </c>
    </row>
    <row r="8169" spans="1:11" x14ac:dyDescent="0.3">
      <c r="A8169" s="45">
        <v>45274</v>
      </c>
      <c r="B8169" s="396" t="s">
        <v>12636</v>
      </c>
      <c r="C8169" s="73" t="s">
        <v>11174</v>
      </c>
      <c r="D8169" s="124" t="s">
        <v>12809</v>
      </c>
      <c r="E8169" s="43">
        <v>28000</v>
      </c>
      <c r="F8169" s="43"/>
      <c r="G8169" s="48">
        <f t="shared" si="205"/>
        <v>4659.5215053761203</v>
      </c>
      <c r="H8169" s="388" t="s">
        <v>9567</v>
      </c>
    </row>
    <row r="8170" spans="1:11" x14ac:dyDescent="0.3">
      <c r="A8170" s="45">
        <v>45274</v>
      </c>
      <c r="B8170" s="396" t="s">
        <v>12133</v>
      </c>
      <c r="C8170" s="73" t="s">
        <v>11174</v>
      </c>
      <c r="D8170" s="124" t="s">
        <v>12811</v>
      </c>
      <c r="E8170" s="43">
        <v>4000</v>
      </c>
      <c r="F8170" s="43"/>
      <c r="G8170" s="48">
        <f t="shared" si="205"/>
        <v>659.52150537612033</v>
      </c>
      <c r="H8170" s="388" t="s">
        <v>9567</v>
      </c>
    </row>
    <row r="8171" spans="1:11" x14ac:dyDescent="0.3">
      <c r="A8171" s="45">
        <v>45275</v>
      </c>
      <c r="B8171" s="565"/>
      <c r="C8171" s="480"/>
      <c r="D8171" s="491" t="s">
        <v>12269</v>
      </c>
      <c r="E8171" s="480"/>
      <c r="F8171" s="43">
        <v>300000</v>
      </c>
      <c r="G8171" s="48">
        <f t="shared" si="205"/>
        <v>300659.52150537609</v>
      </c>
      <c r="H8171" s="388" t="s">
        <v>9567</v>
      </c>
    </row>
    <row r="8172" spans="1:11" x14ac:dyDescent="0.3">
      <c r="A8172" s="45">
        <v>45274</v>
      </c>
      <c r="B8172" s="396" t="s">
        <v>12133</v>
      </c>
      <c r="C8172" s="73" t="s">
        <v>11174</v>
      </c>
      <c r="D8172" s="124" t="s">
        <v>12812</v>
      </c>
      <c r="E8172" s="43">
        <v>1500</v>
      </c>
      <c r="F8172" s="43"/>
      <c r="G8172" s="48">
        <f t="shared" si="205"/>
        <v>299159.52150537609</v>
      </c>
      <c r="H8172" s="388" t="s">
        <v>9567</v>
      </c>
    </row>
    <row r="8173" spans="1:11" x14ac:dyDescent="0.3">
      <c r="A8173" s="45">
        <v>45274</v>
      </c>
      <c r="B8173" s="398" t="s">
        <v>12086</v>
      </c>
      <c r="C8173" s="73" t="s">
        <v>11174</v>
      </c>
      <c r="D8173" s="588" t="s">
        <v>11931</v>
      </c>
      <c r="E8173" s="183">
        <v>1800</v>
      </c>
      <c r="F8173" s="183"/>
      <c r="G8173" s="48">
        <f t="shared" si="205"/>
        <v>297359.52150537609</v>
      </c>
      <c r="H8173" s="388" t="s">
        <v>9567</v>
      </c>
    </row>
    <row r="8174" spans="1:11" x14ac:dyDescent="0.3">
      <c r="A8174" s="45">
        <v>45274</v>
      </c>
      <c r="B8174" s="398" t="s">
        <v>12045</v>
      </c>
      <c r="C8174" s="73" t="s">
        <v>11174</v>
      </c>
      <c r="D8174" s="588" t="s">
        <v>12287</v>
      </c>
      <c r="E8174" s="183">
        <v>3000</v>
      </c>
      <c r="F8174" s="183"/>
      <c r="G8174" s="48">
        <f t="shared" si="205"/>
        <v>294359.52150537609</v>
      </c>
      <c r="H8174" s="388" t="s">
        <v>9567</v>
      </c>
    </row>
    <row r="8175" spans="1:11" x14ac:dyDescent="0.3">
      <c r="A8175" s="45">
        <v>45274</v>
      </c>
      <c r="B8175" s="398" t="s">
        <v>12796</v>
      </c>
      <c r="C8175" s="73" t="s">
        <v>26</v>
      </c>
      <c r="D8175" s="588" t="s">
        <v>12813</v>
      </c>
      <c r="E8175" s="183">
        <v>1500</v>
      </c>
      <c r="F8175" s="183"/>
      <c r="G8175" s="48">
        <f t="shared" si="205"/>
        <v>292859.52150537609</v>
      </c>
      <c r="H8175" s="388" t="s">
        <v>9567</v>
      </c>
    </row>
    <row r="8176" spans="1:11" x14ac:dyDescent="0.3">
      <c r="A8176" s="45">
        <v>45275</v>
      </c>
      <c r="B8176" s="398" t="s">
        <v>12133</v>
      </c>
      <c r="C8176" s="73" t="s">
        <v>5793</v>
      </c>
      <c r="D8176" s="588" t="s">
        <v>40</v>
      </c>
      <c r="E8176" s="183">
        <v>1500</v>
      </c>
      <c r="F8176" s="183"/>
      <c r="G8176" s="48">
        <f t="shared" si="205"/>
        <v>291359.52150537609</v>
      </c>
      <c r="H8176" s="388" t="s">
        <v>9567</v>
      </c>
    </row>
    <row r="8177" spans="1:11" x14ac:dyDescent="0.3">
      <c r="A8177" s="45">
        <v>45275</v>
      </c>
      <c r="B8177" s="396" t="s">
        <v>12710</v>
      </c>
      <c r="C8177" s="5" t="s">
        <v>12608</v>
      </c>
      <c r="D8177" s="124" t="s">
        <v>12805</v>
      </c>
      <c r="E8177" s="43">
        <v>6000</v>
      </c>
      <c r="F8177" s="43"/>
      <c r="G8177" s="48">
        <f t="shared" si="205"/>
        <v>285359.52150537609</v>
      </c>
      <c r="H8177" s="388" t="s">
        <v>9567</v>
      </c>
      <c r="I8177" s="605"/>
      <c r="J8177" s="606"/>
      <c r="K8177" s="606"/>
    </row>
    <row r="8178" spans="1:11" x14ac:dyDescent="0.3">
      <c r="A8178" s="45">
        <v>45275</v>
      </c>
      <c r="B8178" s="396" t="s">
        <v>12135</v>
      </c>
      <c r="C8178" s="5" t="s">
        <v>12608</v>
      </c>
      <c r="D8178" s="124" t="s">
        <v>12805</v>
      </c>
      <c r="E8178" s="43">
        <v>24000</v>
      </c>
      <c r="F8178" s="43"/>
      <c r="G8178" s="48">
        <f t="shared" si="205"/>
        <v>261359.52150537609</v>
      </c>
      <c r="H8178" s="388" t="s">
        <v>9567</v>
      </c>
      <c r="I8178" s="607"/>
      <c r="J8178" s="606"/>
      <c r="K8178" s="606"/>
    </row>
    <row r="8179" spans="1:11" x14ac:dyDescent="0.3">
      <c r="A8179" s="45">
        <v>45275</v>
      </c>
      <c r="B8179" s="396" t="s">
        <v>12710</v>
      </c>
      <c r="C8179" s="5" t="s">
        <v>9457</v>
      </c>
      <c r="D8179" s="124" t="s">
        <v>12804</v>
      </c>
      <c r="E8179" s="43">
        <v>4000</v>
      </c>
      <c r="F8179" s="43"/>
      <c r="G8179" s="48">
        <f t="shared" si="205"/>
        <v>257359.52150537609</v>
      </c>
      <c r="H8179" s="388" t="s">
        <v>9567</v>
      </c>
      <c r="I8179" s="607"/>
      <c r="J8179" s="606"/>
      <c r="K8179" s="606"/>
    </row>
    <row r="8180" spans="1:11" x14ac:dyDescent="0.3">
      <c r="A8180" s="45">
        <v>45275</v>
      </c>
      <c r="B8180" s="396" t="s">
        <v>12636</v>
      </c>
      <c r="C8180" s="5" t="s">
        <v>30</v>
      </c>
      <c r="D8180" s="124" t="s">
        <v>10637</v>
      </c>
      <c r="E8180" s="43">
        <v>1600</v>
      </c>
      <c r="F8180" s="43"/>
      <c r="G8180" s="48">
        <f t="shared" si="205"/>
        <v>255759.52150537609</v>
      </c>
      <c r="H8180" s="388" t="s">
        <v>9567</v>
      </c>
      <c r="I8180" s="607"/>
      <c r="J8180" s="606">
        <v>2700</v>
      </c>
      <c r="K8180" s="606"/>
    </row>
    <row r="8181" spans="1:11" x14ac:dyDescent="0.3">
      <c r="A8181" s="45">
        <v>45276</v>
      </c>
      <c r="B8181" s="396" t="s">
        <v>12045</v>
      </c>
      <c r="C8181" s="5" t="s">
        <v>11174</v>
      </c>
      <c r="D8181" s="124" t="s">
        <v>677</v>
      </c>
      <c r="E8181" s="43">
        <v>700</v>
      </c>
      <c r="F8181" s="43"/>
      <c r="G8181" s="48">
        <f t="shared" si="205"/>
        <v>255059.52150537609</v>
      </c>
      <c r="H8181" s="388" t="s">
        <v>9567</v>
      </c>
      <c r="I8181" s="607"/>
      <c r="J8181" s="606">
        <v>250</v>
      </c>
      <c r="K8181" s="606"/>
    </row>
    <row r="8182" spans="1:11" x14ac:dyDescent="0.3">
      <c r="A8182" s="45">
        <v>45276</v>
      </c>
      <c r="B8182" s="396" t="s">
        <v>12439</v>
      </c>
      <c r="C8182" s="5" t="s">
        <v>11174</v>
      </c>
      <c r="D8182" s="124" t="s">
        <v>12822</v>
      </c>
      <c r="E8182" s="43">
        <v>2000</v>
      </c>
      <c r="F8182" s="43"/>
      <c r="G8182" s="48">
        <f t="shared" si="205"/>
        <v>253059.52150537609</v>
      </c>
      <c r="H8182" s="388" t="s">
        <v>9567</v>
      </c>
      <c r="I8182" s="607"/>
      <c r="J8182" s="606"/>
      <c r="K8182" s="606"/>
    </row>
    <row r="8183" spans="1:11" x14ac:dyDescent="0.3">
      <c r="A8183" s="45">
        <v>45276</v>
      </c>
      <c r="B8183" s="396" t="s">
        <v>12045</v>
      </c>
      <c r="C8183" s="5" t="s">
        <v>5793</v>
      </c>
      <c r="D8183" s="124" t="s">
        <v>40</v>
      </c>
      <c r="E8183" s="43">
        <v>1500</v>
      </c>
      <c r="F8183" s="43"/>
      <c r="G8183" s="48">
        <f t="shared" si="205"/>
        <v>251559.52150537609</v>
      </c>
      <c r="H8183" s="388" t="s">
        <v>9567</v>
      </c>
      <c r="I8183" s="607"/>
      <c r="J8183" s="606"/>
      <c r="K8183" s="606"/>
    </row>
    <row r="8184" spans="1:11" x14ac:dyDescent="0.3">
      <c r="A8184" s="45">
        <v>45276</v>
      </c>
      <c r="B8184" s="396"/>
      <c r="C8184" s="5" t="s">
        <v>14</v>
      </c>
      <c r="D8184" s="124" t="s">
        <v>294</v>
      </c>
      <c r="E8184" s="43">
        <v>20000</v>
      </c>
      <c r="F8184" s="43"/>
      <c r="G8184" s="48">
        <f t="shared" si="205"/>
        <v>231559.52150537609</v>
      </c>
      <c r="H8184" s="388" t="s">
        <v>9567</v>
      </c>
      <c r="I8184" s="607"/>
      <c r="J8184" s="606">
        <v>260</v>
      </c>
      <c r="K8184" s="606"/>
    </row>
    <row r="8185" spans="1:11" x14ac:dyDescent="0.3">
      <c r="A8185" s="45">
        <v>45276</v>
      </c>
      <c r="B8185" s="396" t="s">
        <v>12636</v>
      </c>
      <c r="C8185" s="5" t="s">
        <v>5793</v>
      </c>
      <c r="D8185" s="124" t="s">
        <v>12808</v>
      </c>
      <c r="E8185" s="43">
        <v>1500</v>
      </c>
      <c r="F8185" s="43"/>
      <c r="G8185" s="48">
        <f t="shared" si="205"/>
        <v>230059.52150537609</v>
      </c>
      <c r="H8185" s="388" t="s">
        <v>9567</v>
      </c>
      <c r="I8185" s="607"/>
      <c r="J8185" s="606">
        <v>1000</v>
      </c>
      <c r="K8185" s="606"/>
    </row>
    <row r="8186" spans="1:11" x14ac:dyDescent="0.3">
      <c r="A8186" s="45">
        <v>45276</v>
      </c>
      <c r="B8186" s="396" t="s">
        <v>12573</v>
      </c>
      <c r="C8186" s="5" t="s">
        <v>11174</v>
      </c>
      <c r="D8186" s="124" t="s">
        <v>12814</v>
      </c>
      <c r="E8186" s="43">
        <v>6000</v>
      </c>
      <c r="F8186" s="43"/>
      <c r="G8186" s="48">
        <f t="shared" si="205"/>
        <v>224059.52150537609</v>
      </c>
      <c r="H8186" s="388" t="s">
        <v>9567</v>
      </c>
      <c r="I8186" s="607"/>
      <c r="J8186" s="606">
        <f>SUM(J8180:J8185)</f>
        <v>4210</v>
      </c>
      <c r="K8186" s="606"/>
    </row>
    <row r="8187" spans="1:11" x14ac:dyDescent="0.3">
      <c r="A8187" s="45">
        <v>45276</v>
      </c>
      <c r="B8187" s="396" t="s">
        <v>12086</v>
      </c>
      <c r="C8187" s="5" t="s">
        <v>5793</v>
      </c>
      <c r="D8187" s="124" t="s">
        <v>40</v>
      </c>
      <c r="E8187" s="43">
        <v>250</v>
      </c>
      <c r="F8187" s="43"/>
      <c r="G8187" s="48">
        <f t="shared" si="205"/>
        <v>223809.52150537609</v>
      </c>
      <c r="H8187" s="388" t="s">
        <v>9567</v>
      </c>
      <c r="I8187" s="607"/>
      <c r="J8187" s="606"/>
      <c r="K8187" s="606"/>
    </row>
    <row r="8188" spans="1:11" x14ac:dyDescent="0.3">
      <c r="A8188" s="45">
        <v>45276</v>
      </c>
      <c r="B8188" s="565"/>
      <c r="C8188" s="480"/>
      <c r="D8188" s="491" t="s">
        <v>12815</v>
      </c>
      <c r="E8188" s="480"/>
      <c r="F8188" s="43">
        <v>2200</v>
      </c>
      <c r="G8188" s="48">
        <f t="shared" ref="G8188" si="206">G8187+F8188-E8188</f>
        <v>226009.52150537609</v>
      </c>
      <c r="H8188" s="388" t="s">
        <v>9567</v>
      </c>
    </row>
    <row r="8189" spans="1:11" x14ac:dyDescent="0.3">
      <c r="A8189" s="45">
        <v>45276</v>
      </c>
      <c r="B8189" s="396" t="s">
        <v>12573</v>
      </c>
      <c r="C8189" s="5" t="s">
        <v>11174</v>
      </c>
      <c r="D8189" s="124" t="s">
        <v>12816</v>
      </c>
      <c r="E8189" s="43">
        <v>29000</v>
      </c>
      <c r="F8189" s="43"/>
      <c r="G8189" s="48">
        <f t="shared" ref="G8189:G8203" si="207">G8188+F8189-E8189</f>
        <v>197009.52150537609</v>
      </c>
      <c r="H8189" s="388" t="s">
        <v>9567</v>
      </c>
    </row>
    <row r="8190" spans="1:11" x14ac:dyDescent="0.3">
      <c r="A8190" s="45">
        <v>45276</v>
      </c>
      <c r="B8190" s="396" t="s">
        <v>12049</v>
      </c>
      <c r="C8190" s="5" t="s">
        <v>4550</v>
      </c>
      <c r="D8190" s="124" t="s">
        <v>5813</v>
      </c>
      <c r="E8190" s="43">
        <v>10000</v>
      </c>
      <c r="F8190" s="43"/>
      <c r="G8190" s="48">
        <f t="shared" si="207"/>
        <v>187009.52150537609</v>
      </c>
      <c r="H8190" s="388" t="s">
        <v>9567</v>
      </c>
    </row>
    <row r="8191" spans="1:11" x14ac:dyDescent="0.3">
      <c r="A8191" s="45">
        <v>45276</v>
      </c>
      <c r="B8191" s="396" t="s">
        <v>12086</v>
      </c>
      <c r="C8191" s="5" t="s">
        <v>30</v>
      </c>
      <c r="D8191" s="124" t="s">
        <v>10629</v>
      </c>
      <c r="E8191" s="43">
        <v>400</v>
      </c>
      <c r="F8191" s="43"/>
      <c r="G8191" s="48">
        <f t="shared" si="207"/>
        <v>186609.52150537609</v>
      </c>
      <c r="H8191" s="388" t="s">
        <v>9567</v>
      </c>
    </row>
    <row r="8192" spans="1:11" x14ac:dyDescent="0.3">
      <c r="A8192" s="45">
        <v>45278</v>
      </c>
      <c r="B8192" s="396" t="s">
        <v>12573</v>
      </c>
      <c r="C8192" s="5" t="s">
        <v>18</v>
      </c>
      <c r="D8192" s="124" t="s">
        <v>4187</v>
      </c>
      <c r="E8192" s="43">
        <v>4000</v>
      </c>
      <c r="F8192" s="43"/>
      <c r="G8192" s="48">
        <f t="shared" si="207"/>
        <v>182609.52150537609</v>
      </c>
      <c r="H8192" s="388" t="s">
        <v>9567</v>
      </c>
    </row>
    <row r="8193" spans="1:14" x14ac:dyDescent="0.3">
      <c r="A8193" s="45">
        <v>45278</v>
      </c>
      <c r="B8193" s="396" t="s">
        <v>12049</v>
      </c>
      <c r="C8193" s="5" t="s">
        <v>4550</v>
      </c>
      <c r="D8193" s="124" t="s">
        <v>5813</v>
      </c>
      <c r="E8193" s="43">
        <v>10000</v>
      </c>
      <c r="F8193" s="43"/>
      <c r="G8193" s="48">
        <f t="shared" si="207"/>
        <v>172609.52150537609</v>
      </c>
      <c r="H8193" s="388" t="s">
        <v>9567</v>
      </c>
    </row>
    <row r="8194" spans="1:14" x14ac:dyDescent="0.3">
      <c r="A8194" s="45">
        <v>45278</v>
      </c>
      <c r="B8194" s="396" t="s">
        <v>12086</v>
      </c>
      <c r="C8194" s="5" t="s">
        <v>11174</v>
      </c>
      <c r="D8194" s="124" t="s">
        <v>11931</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12049</v>
      </c>
      <c r="C8196" s="5" t="s">
        <v>5793</v>
      </c>
      <c r="D8196" s="124" t="s">
        <v>40</v>
      </c>
      <c r="E8196" s="43">
        <v>1700</v>
      </c>
      <c r="F8196" s="43"/>
      <c r="G8196" s="48">
        <f t="shared" si="207"/>
        <v>169459.52150537609</v>
      </c>
      <c r="H8196" s="388" t="s">
        <v>9567</v>
      </c>
    </row>
    <row r="8197" spans="1:14" x14ac:dyDescent="0.3">
      <c r="A8197" s="45">
        <v>45278</v>
      </c>
      <c r="B8197" s="396" t="s">
        <v>12611</v>
      </c>
      <c r="C8197" s="5" t="s">
        <v>6430</v>
      </c>
      <c r="D8197" s="124" t="s">
        <v>12817</v>
      </c>
      <c r="E8197" s="43">
        <v>8000</v>
      </c>
      <c r="F8197" s="43"/>
      <c r="G8197" s="48">
        <f t="shared" si="207"/>
        <v>161459.52150537609</v>
      </c>
      <c r="H8197" s="388" t="s">
        <v>9567</v>
      </c>
    </row>
    <row r="8198" spans="1:14" x14ac:dyDescent="0.3">
      <c r="A8198" s="45">
        <v>45278</v>
      </c>
      <c r="B8198" s="396" t="s">
        <v>12045</v>
      </c>
      <c r="C8198" s="5" t="s">
        <v>6430</v>
      </c>
      <c r="D8198" s="124" t="s">
        <v>12287</v>
      </c>
      <c r="E8198" s="43">
        <v>4000</v>
      </c>
      <c r="F8198" s="43"/>
      <c r="G8198" s="48">
        <f t="shared" si="207"/>
        <v>157459.52150537609</v>
      </c>
      <c r="H8198" s="388" t="s">
        <v>9567</v>
      </c>
      <c r="J8198" s="155"/>
      <c r="K8198" s="155">
        <v>30000</v>
      </c>
    </row>
    <row r="8199" spans="1:14" x14ac:dyDescent="0.3">
      <c r="A8199" s="45">
        <v>45278</v>
      </c>
      <c r="B8199" s="396" t="s">
        <v>12611</v>
      </c>
      <c r="C8199" s="5" t="s">
        <v>84</v>
      </c>
      <c r="D8199" s="124" t="s">
        <v>12828</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12803</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12573</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12573</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12573</v>
      </c>
      <c r="C8203" s="44" t="s">
        <v>11174</v>
      </c>
      <c r="D8203" s="124" t="s">
        <v>12818</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12230</v>
      </c>
      <c r="C8204" s="5" t="s">
        <v>26</v>
      </c>
      <c r="D8204" s="124" t="s">
        <v>12819</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12551</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12820</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12796</v>
      </c>
      <c r="C8208" s="5" t="s">
        <v>11174</v>
      </c>
      <c r="D8208" s="124" t="s">
        <v>12821</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12796</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12055</v>
      </c>
      <c r="C8210" s="5" t="s">
        <v>54</v>
      </c>
      <c r="D8210" s="124" t="s">
        <v>12823</v>
      </c>
      <c r="E8210" s="43">
        <v>28000</v>
      </c>
      <c r="F8210" s="43"/>
      <c r="G8210" s="48">
        <f t="shared" si="209"/>
        <v>58959.521505376091</v>
      </c>
      <c r="H8210" s="388" t="s">
        <v>9567</v>
      </c>
      <c r="J8210" s="155"/>
      <c r="K8210" s="155">
        <f>SUM(K8198:K8209)</f>
        <v>562980</v>
      </c>
    </row>
    <row r="8211" spans="1:11" x14ac:dyDescent="0.3">
      <c r="A8211" s="45">
        <v>45279</v>
      </c>
      <c r="B8211" s="565"/>
      <c r="C8211" s="480"/>
      <c r="D8211" s="491" t="s">
        <v>12825</v>
      </c>
      <c r="E8211" s="480"/>
      <c r="F8211" s="43">
        <v>100000</v>
      </c>
      <c r="G8211" s="48">
        <f t="shared" si="209"/>
        <v>158959.52150537609</v>
      </c>
      <c r="H8211" s="388" t="s">
        <v>9567</v>
      </c>
    </row>
    <row r="8212" spans="1:11" x14ac:dyDescent="0.3">
      <c r="A8212" s="45">
        <v>45279</v>
      </c>
      <c r="B8212" s="401" t="s">
        <v>25</v>
      </c>
      <c r="C8212" s="41"/>
      <c r="D8212" s="608" t="s">
        <v>12824</v>
      </c>
      <c r="E8212" s="42">
        <v>600</v>
      </c>
      <c r="F8212" s="43"/>
      <c r="G8212" s="48">
        <f t="shared" si="209"/>
        <v>158359.52150537609</v>
      </c>
      <c r="H8212" s="388" t="s">
        <v>9567</v>
      </c>
    </row>
    <row r="8213" spans="1:11" x14ac:dyDescent="0.3">
      <c r="A8213" s="45">
        <v>45279</v>
      </c>
      <c r="B8213" s="396" t="s">
        <v>12045</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12133</v>
      </c>
      <c r="C8215" s="5" t="s">
        <v>12826</v>
      </c>
      <c r="D8215" s="124" t="s">
        <v>12827</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12830</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12133</v>
      </c>
      <c r="C8219" s="5" t="s">
        <v>26</v>
      </c>
      <c r="D8219" s="124" t="s">
        <v>12831</v>
      </c>
      <c r="E8219" s="43">
        <v>1000</v>
      </c>
      <c r="F8219" s="43"/>
      <c r="G8219" s="48">
        <f t="shared" si="209"/>
        <v>78859.521505376091</v>
      </c>
      <c r="H8219" s="388" t="s">
        <v>9567</v>
      </c>
    </row>
    <row r="8220" spans="1:11" x14ac:dyDescent="0.3">
      <c r="A8220" s="45">
        <v>45280</v>
      </c>
      <c r="B8220" s="396" t="s">
        <v>12133</v>
      </c>
      <c r="C8220" s="5" t="s">
        <v>11174</v>
      </c>
      <c r="D8220" s="124" t="s">
        <v>12832</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12836</v>
      </c>
      <c r="E8222" s="43">
        <v>4000</v>
      </c>
      <c r="F8222" s="43"/>
      <c r="G8222" s="48">
        <f t="shared" si="209"/>
        <v>72459.521505376091</v>
      </c>
      <c r="H8222" s="388" t="s">
        <v>9567</v>
      </c>
    </row>
    <row r="8223" spans="1:11" x14ac:dyDescent="0.3">
      <c r="A8223" s="45">
        <v>45281</v>
      </c>
      <c r="B8223" s="396" t="s">
        <v>12837</v>
      </c>
      <c r="C8223" s="5" t="s">
        <v>26</v>
      </c>
      <c r="D8223" s="124" t="s">
        <v>12838</v>
      </c>
      <c r="E8223" s="43">
        <v>300</v>
      </c>
      <c r="F8223" s="43"/>
      <c r="G8223" s="48">
        <f t="shared" si="209"/>
        <v>72159.521505376091</v>
      </c>
      <c r="H8223" s="388" t="s">
        <v>9567</v>
      </c>
    </row>
    <row r="8224" spans="1:11" x14ac:dyDescent="0.3">
      <c r="A8224" s="45">
        <v>45281</v>
      </c>
      <c r="B8224" s="396" t="s">
        <v>12573</v>
      </c>
      <c r="C8224" s="5" t="s">
        <v>30</v>
      </c>
      <c r="D8224" s="124" t="s">
        <v>10629</v>
      </c>
      <c r="E8224" s="43">
        <v>200</v>
      </c>
      <c r="F8224" s="43"/>
      <c r="G8224" s="48">
        <f t="shared" si="209"/>
        <v>71959.521505376091</v>
      </c>
      <c r="H8224" s="388" t="s">
        <v>9567</v>
      </c>
    </row>
    <row r="8225" spans="1:10" x14ac:dyDescent="0.3">
      <c r="A8225" s="45">
        <v>45281</v>
      </c>
      <c r="B8225" s="396" t="s">
        <v>12573</v>
      </c>
      <c r="C8225" s="5" t="s">
        <v>5793</v>
      </c>
      <c r="D8225" s="124" t="s">
        <v>12839</v>
      </c>
      <c r="E8225" s="43">
        <v>300</v>
      </c>
      <c r="F8225" s="43"/>
      <c r="G8225" s="48">
        <f t="shared" si="209"/>
        <v>71659.521505376091</v>
      </c>
      <c r="H8225" s="388" t="s">
        <v>9567</v>
      </c>
    </row>
    <row r="8226" spans="1:10" x14ac:dyDescent="0.3">
      <c r="A8226" s="45">
        <v>45281</v>
      </c>
      <c r="B8226" s="396" t="s">
        <v>12636</v>
      </c>
      <c r="C8226" s="5" t="s">
        <v>11174</v>
      </c>
      <c r="D8226" s="124" t="s">
        <v>12771</v>
      </c>
      <c r="E8226" s="43">
        <v>5400</v>
      </c>
      <c r="F8226" s="43"/>
      <c r="G8226" s="48">
        <f t="shared" si="209"/>
        <v>66259.521505376091</v>
      </c>
      <c r="H8226" s="388" t="s">
        <v>9567</v>
      </c>
    </row>
    <row r="8227" spans="1:10" x14ac:dyDescent="0.3">
      <c r="A8227" s="45">
        <v>45281</v>
      </c>
      <c r="B8227" s="396" t="s">
        <v>25</v>
      </c>
      <c r="C8227" s="5" t="s">
        <v>14</v>
      </c>
      <c r="D8227" s="124" t="s">
        <v>12840</v>
      </c>
      <c r="E8227" s="43">
        <v>12000</v>
      </c>
      <c r="F8227" s="43"/>
      <c r="G8227" s="48">
        <f t="shared" si="209"/>
        <v>54259.521505376091</v>
      </c>
      <c r="H8227" s="388" t="s">
        <v>9567</v>
      </c>
    </row>
    <row r="8228" spans="1:10" x14ac:dyDescent="0.3">
      <c r="A8228" s="45">
        <v>45281</v>
      </c>
      <c r="B8228" s="396" t="s">
        <v>11505</v>
      </c>
      <c r="C8228" s="5" t="s">
        <v>5793</v>
      </c>
      <c r="D8228" s="124" t="s">
        <v>40</v>
      </c>
      <c r="E8228" s="43">
        <v>1800</v>
      </c>
      <c r="F8228" s="43"/>
      <c r="G8228" s="48">
        <f t="shared" si="209"/>
        <v>52459.521505376091</v>
      </c>
      <c r="H8228" s="388" t="s">
        <v>9567</v>
      </c>
    </row>
    <row r="8229" spans="1:10" x14ac:dyDescent="0.3">
      <c r="A8229" s="45">
        <v>45281</v>
      </c>
      <c r="B8229" s="396" t="s">
        <v>12796</v>
      </c>
      <c r="C8229" s="5" t="s">
        <v>5793</v>
      </c>
      <c r="D8229" s="124" t="s">
        <v>40</v>
      </c>
      <c r="E8229" s="43">
        <v>1500</v>
      </c>
      <c r="F8229" s="43"/>
      <c r="G8229" s="48">
        <f t="shared" si="209"/>
        <v>50959.521505376091</v>
      </c>
      <c r="H8229" s="388" t="s">
        <v>9567</v>
      </c>
    </row>
    <row r="8230" spans="1:10" x14ac:dyDescent="0.3">
      <c r="A8230" s="45">
        <v>45281</v>
      </c>
      <c r="B8230" s="396" t="s">
        <v>12611</v>
      </c>
      <c r="C8230" s="5" t="s">
        <v>6430</v>
      </c>
      <c r="D8230" s="124" t="s">
        <v>12843</v>
      </c>
      <c r="E8230" s="43">
        <v>50000</v>
      </c>
      <c r="F8230" s="43"/>
      <c r="G8230" s="48">
        <f t="shared" si="209"/>
        <v>959.52150537609123</v>
      </c>
      <c r="H8230" s="388" t="s">
        <v>9567</v>
      </c>
    </row>
    <row r="8231" spans="1:10" x14ac:dyDescent="0.3">
      <c r="A8231" s="45">
        <v>45281</v>
      </c>
      <c r="B8231" s="565"/>
      <c r="C8231" s="480"/>
      <c r="D8231" s="491" t="s">
        <v>12841</v>
      </c>
      <c r="E8231" s="480"/>
      <c r="F8231" s="43">
        <v>100000</v>
      </c>
      <c r="G8231" s="48">
        <f t="shared" si="209"/>
        <v>100959.52150537609</v>
      </c>
      <c r="H8231" s="388" t="s">
        <v>9567</v>
      </c>
    </row>
    <row r="8232" spans="1:10" x14ac:dyDescent="0.3">
      <c r="A8232" s="45">
        <v>45281</v>
      </c>
      <c r="B8232" s="401" t="s">
        <v>25</v>
      </c>
      <c r="C8232" s="41"/>
      <c r="D8232" s="608" t="s">
        <v>12842</v>
      </c>
      <c r="E8232" s="42">
        <v>1300</v>
      </c>
      <c r="F8232" s="43"/>
      <c r="G8232" s="48">
        <f t="shared" si="209"/>
        <v>99659.521505376091</v>
      </c>
      <c r="H8232" s="388" t="s">
        <v>9567</v>
      </c>
    </row>
    <row r="8233" spans="1:10" x14ac:dyDescent="0.3">
      <c r="A8233" s="45">
        <v>45281</v>
      </c>
      <c r="B8233" s="396" t="s">
        <v>12796</v>
      </c>
      <c r="C8233" s="5" t="s">
        <v>11174</v>
      </c>
      <c r="D8233" s="124" t="s">
        <v>12844</v>
      </c>
      <c r="E8233" s="43">
        <v>59500</v>
      </c>
      <c r="F8233" s="43"/>
      <c r="G8233" s="48">
        <f t="shared" si="209"/>
        <v>40159.521505376091</v>
      </c>
      <c r="H8233" s="388" t="s">
        <v>9567</v>
      </c>
    </row>
    <row r="8234" spans="1:10" x14ac:dyDescent="0.3">
      <c r="A8234" s="45">
        <v>45281</v>
      </c>
      <c r="B8234" s="396" t="s">
        <v>12710</v>
      </c>
      <c r="C8234" s="5" t="s">
        <v>54</v>
      </c>
      <c r="D8234" s="124" t="s">
        <v>12845</v>
      </c>
      <c r="E8234" s="43">
        <v>21600</v>
      </c>
      <c r="F8234" s="43"/>
      <c r="G8234" s="48">
        <f t="shared" si="209"/>
        <v>18559.521505376091</v>
      </c>
      <c r="H8234" s="388" t="s">
        <v>9567</v>
      </c>
    </row>
    <row r="8235" spans="1:10" x14ac:dyDescent="0.3">
      <c r="A8235" s="45">
        <v>45282</v>
      </c>
      <c r="B8235" s="396" t="s">
        <v>12573</v>
      </c>
      <c r="C8235" s="5" t="s">
        <v>11174</v>
      </c>
      <c r="D8235" s="124" t="s">
        <v>12847</v>
      </c>
      <c r="E8235" s="43">
        <v>3050</v>
      </c>
      <c r="F8235" s="43"/>
      <c r="G8235" s="48">
        <f t="shared" si="209"/>
        <v>15509.521505376091</v>
      </c>
      <c r="H8235" s="388" t="s">
        <v>9567</v>
      </c>
      <c r="J8235" s="52">
        <v>71500</v>
      </c>
    </row>
    <row r="8236" spans="1:10" x14ac:dyDescent="0.3">
      <c r="A8236" s="45">
        <v>45282</v>
      </c>
      <c r="B8236" s="396" t="s">
        <v>12573</v>
      </c>
      <c r="C8236" s="5" t="s">
        <v>11174</v>
      </c>
      <c r="D8236" s="124" t="s">
        <v>12848</v>
      </c>
      <c r="E8236" s="43">
        <v>2000</v>
      </c>
      <c r="F8236" s="43"/>
      <c r="G8236" s="48">
        <f t="shared" si="209"/>
        <v>13509.521505376091</v>
      </c>
      <c r="H8236" s="388" t="s">
        <v>9567</v>
      </c>
      <c r="J8236" s="52">
        <f>J8235*17%</f>
        <v>12155</v>
      </c>
    </row>
    <row r="8237" spans="1:10" x14ac:dyDescent="0.3">
      <c r="A8237" s="45">
        <v>45282</v>
      </c>
      <c r="B8237" s="396" t="s">
        <v>25</v>
      </c>
      <c r="C8237" s="5" t="s">
        <v>25</v>
      </c>
      <c r="D8237" s="124" t="s">
        <v>12849</v>
      </c>
      <c r="E8237" s="43">
        <v>3000</v>
      </c>
      <c r="F8237" s="43"/>
      <c r="G8237" s="48">
        <f t="shared" si="209"/>
        <v>10509.521505376091</v>
      </c>
      <c r="H8237" s="388" t="s">
        <v>9567</v>
      </c>
      <c r="J8237" s="52">
        <f>J8235-J8236</f>
        <v>59345</v>
      </c>
    </row>
    <row r="8238" spans="1:10" x14ac:dyDescent="0.3">
      <c r="A8238" s="45">
        <v>45282</v>
      </c>
      <c r="B8238" s="565"/>
      <c r="C8238" s="480"/>
      <c r="D8238" s="491" t="s">
        <v>12850</v>
      </c>
      <c r="E8238" s="480"/>
      <c r="F8238" s="43">
        <v>11700</v>
      </c>
      <c r="G8238" s="48">
        <f t="shared" si="209"/>
        <v>22209.521505376091</v>
      </c>
      <c r="H8238" s="388" t="s">
        <v>9567</v>
      </c>
      <c r="J8238" s="52">
        <v>140000</v>
      </c>
    </row>
    <row r="8239" spans="1:10" x14ac:dyDescent="0.3">
      <c r="A8239" s="45">
        <v>45282</v>
      </c>
      <c r="B8239" s="401" t="s">
        <v>25</v>
      </c>
      <c r="C8239" s="41"/>
      <c r="D8239" s="608" t="s">
        <v>12852</v>
      </c>
      <c r="E8239" s="42">
        <v>3700</v>
      </c>
      <c r="F8239" s="43"/>
      <c r="G8239" s="48">
        <f t="shared" si="209"/>
        <v>18509.521505376091</v>
      </c>
      <c r="H8239" s="388" t="s">
        <v>9567</v>
      </c>
      <c r="J8239" s="52">
        <v>60000</v>
      </c>
    </row>
    <row r="8240" spans="1:10" x14ac:dyDescent="0.3">
      <c r="A8240" s="45">
        <v>45282</v>
      </c>
      <c r="B8240" s="396" t="s">
        <v>12086</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12086</v>
      </c>
      <c r="C8241" s="5" t="s">
        <v>26</v>
      </c>
      <c r="D8241" s="124" t="s">
        <v>12851</v>
      </c>
      <c r="E8241" s="43">
        <v>5000</v>
      </c>
      <c r="F8241" s="43"/>
      <c r="G8241" s="48">
        <f t="shared" si="209"/>
        <v>12909.521505376091</v>
      </c>
      <c r="H8241" s="388" t="s">
        <v>9567</v>
      </c>
    </row>
    <row r="8242" spans="1:11" ht="20.25" customHeight="1" x14ac:dyDescent="0.3">
      <c r="A8242" s="45">
        <v>45283</v>
      </c>
      <c r="B8242" s="396" t="s">
        <v>12796</v>
      </c>
      <c r="C8242" s="5" t="s">
        <v>5793</v>
      </c>
      <c r="D8242" s="124" t="s">
        <v>12871</v>
      </c>
      <c r="E8242" s="43">
        <v>11000</v>
      </c>
      <c r="F8242" s="43"/>
      <c r="G8242" s="48">
        <f t="shared" si="209"/>
        <v>1909.5215053760912</v>
      </c>
      <c r="H8242" s="388" t="s">
        <v>9567</v>
      </c>
    </row>
    <row r="8243" spans="1:11" x14ac:dyDescent="0.3">
      <c r="A8243" s="45">
        <v>45283</v>
      </c>
      <c r="B8243" s="396" t="s">
        <v>12636</v>
      </c>
      <c r="C8243" s="5" t="s">
        <v>5793</v>
      </c>
      <c r="D8243" s="124" t="s">
        <v>8924</v>
      </c>
      <c r="E8243" s="43">
        <v>800</v>
      </c>
      <c r="F8243" s="43"/>
      <c r="G8243" s="48">
        <f t="shared" si="209"/>
        <v>1109.5215053760912</v>
      </c>
      <c r="H8243" s="388" t="s">
        <v>9567</v>
      </c>
    </row>
    <row r="8244" spans="1:11" x14ac:dyDescent="0.3">
      <c r="A8244" s="45">
        <v>45286</v>
      </c>
      <c r="B8244" s="396" t="s">
        <v>12086</v>
      </c>
      <c r="C8244" s="5" t="s">
        <v>5793</v>
      </c>
      <c r="D8244" s="124" t="s">
        <v>12858</v>
      </c>
      <c r="E8244" s="43">
        <v>200</v>
      </c>
      <c r="F8244" s="43"/>
      <c r="G8244" s="48">
        <f t="shared" si="209"/>
        <v>909.52150537609123</v>
      </c>
      <c r="H8244" s="388" t="s">
        <v>9567</v>
      </c>
    </row>
    <row r="8245" spans="1:11" x14ac:dyDescent="0.3">
      <c r="A8245" s="45">
        <v>45286</v>
      </c>
      <c r="B8245" s="565"/>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12109</v>
      </c>
      <c r="E8246" s="43">
        <v>2000</v>
      </c>
      <c r="F8246" s="43"/>
      <c r="G8246" s="48">
        <f t="shared" si="209"/>
        <v>148909.52150537609</v>
      </c>
      <c r="H8246" s="388" t="s">
        <v>9567</v>
      </c>
    </row>
    <row r="8247" spans="1:11" x14ac:dyDescent="0.3">
      <c r="A8247" s="45">
        <v>45286</v>
      </c>
      <c r="B8247" s="396" t="s">
        <v>12573</v>
      </c>
      <c r="C8247" s="5" t="s">
        <v>9758</v>
      </c>
      <c r="D8247" s="124" t="s">
        <v>40</v>
      </c>
      <c r="E8247" s="43">
        <v>9500</v>
      </c>
      <c r="F8247" s="43"/>
      <c r="G8247" s="48">
        <f t="shared" si="209"/>
        <v>139409.52150537609</v>
      </c>
      <c r="H8247" s="388" t="s">
        <v>9567</v>
      </c>
    </row>
    <row r="8248" spans="1:11" x14ac:dyDescent="0.3">
      <c r="A8248" s="45">
        <v>45286</v>
      </c>
      <c r="B8248" s="396" t="s">
        <v>12133</v>
      </c>
      <c r="C8248" s="5" t="s">
        <v>84</v>
      </c>
      <c r="D8248" s="124" t="s">
        <v>12860</v>
      </c>
      <c r="E8248" s="43">
        <v>5000</v>
      </c>
      <c r="F8248" s="43"/>
      <c r="G8248" s="48">
        <f t="shared" si="209"/>
        <v>134409.52150537609</v>
      </c>
      <c r="H8248" s="388" t="s">
        <v>9567</v>
      </c>
      <c r="I8248" s="583" t="s">
        <v>12855</v>
      </c>
      <c r="J8248" s="583">
        <v>4416116</v>
      </c>
    </row>
    <row r="8249" spans="1:11" x14ac:dyDescent="0.3">
      <c r="A8249" s="45">
        <v>45286</v>
      </c>
      <c r="B8249" s="396" t="s">
        <v>12133</v>
      </c>
      <c r="C8249" s="5" t="s">
        <v>84</v>
      </c>
      <c r="D8249" s="124" t="s">
        <v>12861</v>
      </c>
      <c r="E8249" s="43">
        <v>5000</v>
      </c>
      <c r="F8249" s="43"/>
      <c r="G8249" s="48">
        <f t="shared" si="209"/>
        <v>129409.52150537609</v>
      </c>
      <c r="H8249" s="388" t="s">
        <v>9567</v>
      </c>
      <c r="I8249" s="583" t="s">
        <v>12853</v>
      </c>
      <c r="J8249" s="583">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3" t="s">
        <v>12854</v>
      </c>
      <c r="J8250" s="583">
        <f>SUM(J8248:J8249)</f>
        <v>4548599.4800000004</v>
      </c>
    </row>
    <row r="8251" spans="1:11" x14ac:dyDescent="0.3">
      <c r="A8251" s="45">
        <v>45286</v>
      </c>
      <c r="B8251" s="396" t="s">
        <v>10319</v>
      </c>
      <c r="C8251" s="5" t="s">
        <v>11174</v>
      </c>
      <c r="D8251" s="124" t="s">
        <v>12863</v>
      </c>
      <c r="E8251" s="43">
        <v>18000</v>
      </c>
      <c r="F8251" s="43"/>
      <c r="G8251" s="48">
        <f t="shared" si="209"/>
        <v>105409.52150537609</v>
      </c>
      <c r="H8251" s="388" t="s">
        <v>9567</v>
      </c>
    </row>
    <row r="8252" spans="1:11" x14ac:dyDescent="0.3">
      <c r="A8252" s="45">
        <v>45286</v>
      </c>
      <c r="B8252" s="396" t="s">
        <v>10319</v>
      </c>
      <c r="C8252" s="5" t="s">
        <v>11174</v>
      </c>
      <c r="D8252" s="124" t="s">
        <v>12864</v>
      </c>
      <c r="E8252" s="43">
        <v>44000</v>
      </c>
      <c r="F8252" s="43"/>
      <c r="G8252" s="48">
        <f t="shared" si="209"/>
        <v>61409.521505376091</v>
      </c>
      <c r="H8252" s="388" t="s">
        <v>9567</v>
      </c>
      <c r="J8252" s="609">
        <v>1808378</v>
      </c>
    </row>
    <row r="8253" spans="1:11" x14ac:dyDescent="0.3">
      <c r="A8253" s="45">
        <v>45286</v>
      </c>
      <c r="B8253" s="396" t="s">
        <v>10319</v>
      </c>
      <c r="C8253" s="5" t="s">
        <v>5793</v>
      </c>
      <c r="D8253" s="124" t="s">
        <v>12865</v>
      </c>
      <c r="E8253" s="43">
        <v>7000</v>
      </c>
      <c r="F8253" s="43"/>
      <c r="G8253" s="48">
        <f t="shared" si="209"/>
        <v>54409.521505376091</v>
      </c>
      <c r="H8253" s="388" t="s">
        <v>9567</v>
      </c>
      <c r="J8253" s="52">
        <f>J8252*17%</f>
        <v>307424.26</v>
      </c>
    </row>
    <row r="8254" spans="1:11" x14ac:dyDescent="0.3">
      <c r="A8254" s="45">
        <v>45287</v>
      </c>
      <c r="B8254" s="396" t="s">
        <v>12636</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12573</v>
      </c>
      <c r="C8255" s="5" t="s">
        <v>26</v>
      </c>
      <c r="D8255" s="124" t="s">
        <v>12866</v>
      </c>
      <c r="E8255" s="43">
        <v>1000</v>
      </c>
      <c r="F8255" s="43"/>
      <c r="G8255" s="48">
        <f t="shared" si="209"/>
        <v>51409.521505376091</v>
      </c>
      <c r="H8255" s="388" t="s">
        <v>9567</v>
      </c>
    </row>
    <row r="8256" spans="1:11" x14ac:dyDescent="0.3">
      <c r="A8256" s="45">
        <v>45287</v>
      </c>
      <c r="B8256" s="565"/>
      <c r="C8256" s="480"/>
      <c r="D8256" s="491" t="s">
        <v>12867</v>
      </c>
      <c r="E8256" s="480"/>
      <c r="F8256" s="43">
        <v>18900</v>
      </c>
      <c r="G8256" s="48">
        <f t="shared" si="209"/>
        <v>70309.521505376091</v>
      </c>
      <c r="H8256" s="388" t="s">
        <v>9567</v>
      </c>
      <c r="J8256" s="52" t="e">
        <f>#REF!*7%</f>
        <v>#REF!</v>
      </c>
      <c r="K8256" s="52" t="e">
        <f>#REF!*10%</f>
        <v>#REF!</v>
      </c>
    </row>
    <row r="8257" spans="1:11" x14ac:dyDescent="0.3">
      <c r="A8257" s="45">
        <v>45287</v>
      </c>
      <c r="B8257" s="396" t="s">
        <v>12636</v>
      </c>
      <c r="C8257" s="5" t="s">
        <v>5793</v>
      </c>
      <c r="D8257" s="124" t="s">
        <v>12868</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12869</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12080</v>
      </c>
      <c r="C8261" s="5" t="s">
        <v>26</v>
      </c>
      <c r="D8261" s="124" t="s">
        <v>12870</v>
      </c>
      <c r="E8261" s="43">
        <v>2000</v>
      </c>
      <c r="F8261" s="43"/>
      <c r="G8261" s="48">
        <f t="shared" si="209"/>
        <v>50329.521505376091</v>
      </c>
      <c r="H8261" s="388" t="s">
        <v>9567</v>
      </c>
    </row>
    <row r="8262" spans="1:11" x14ac:dyDescent="0.3">
      <c r="A8262" s="45">
        <v>45287</v>
      </c>
      <c r="B8262" s="565"/>
      <c r="C8262" s="480"/>
      <c r="D8262" s="491" t="s">
        <v>12872</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12215</v>
      </c>
      <c r="E8265" s="43">
        <v>17745</v>
      </c>
      <c r="F8265" s="43"/>
      <c r="G8265" s="48">
        <f t="shared" si="209"/>
        <v>325084.52150537609</v>
      </c>
      <c r="H8265" s="388" t="s">
        <v>9567</v>
      </c>
      <c r="K8265" s="52" t="e">
        <f>K8257-K8258</f>
        <v>#REF!</v>
      </c>
    </row>
    <row r="8266" spans="1:11" x14ac:dyDescent="0.3">
      <c r="A8266" s="45">
        <v>45287</v>
      </c>
      <c r="B8266" s="396" t="s">
        <v>12230</v>
      </c>
      <c r="C8266" s="5" t="s">
        <v>1074</v>
      </c>
      <c r="D8266" s="124" t="s">
        <v>12215</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12230</v>
      </c>
      <c r="C8268" s="5" t="s">
        <v>1074</v>
      </c>
      <c r="D8268" s="124" t="s">
        <v>4601</v>
      </c>
      <c r="E8268" s="43">
        <v>1080</v>
      </c>
      <c r="F8268" s="43"/>
      <c r="G8268" s="48">
        <f t="shared" si="209"/>
        <v>289435.52150537609</v>
      </c>
      <c r="H8268" s="388" t="s">
        <v>9567</v>
      </c>
    </row>
    <row r="8269" spans="1:11" x14ac:dyDescent="0.3">
      <c r="A8269" s="45">
        <v>45288</v>
      </c>
      <c r="B8269" s="396" t="s">
        <v>12133</v>
      </c>
      <c r="C8269" s="5" t="s">
        <v>10825</v>
      </c>
      <c r="D8269" s="124" t="s">
        <v>12873</v>
      </c>
      <c r="E8269" s="43">
        <v>100000</v>
      </c>
      <c r="F8269" s="43"/>
      <c r="G8269" s="48">
        <f t="shared" ref="G8269:G8275" si="210">G8268+F8269-E8269</f>
        <v>189435.52150537609</v>
      </c>
      <c r="H8269" s="388" t="s">
        <v>9567</v>
      </c>
    </row>
    <row r="8270" spans="1:11" x14ac:dyDescent="0.3">
      <c r="A8270" s="45">
        <v>45288</v>
      </c>
      <c r="B8270" s="396" t="s">
        <v>12133</v>
      </c>
      <c r="C8270" s="5" t="s">
        <v>14</v>
      </c>
      <c r="D8270" s="124" t="s">
        <v>640</v>
      </c>
      <c r="E8270" s="43">
        <v>1000</v>
      </c>
      <c r="F8270" s="43"/>
      <c r="G8270" s="48">
        <f t="shared" si="210"/>
        <v>188435.52150537609</v>
      </c>
      <c r="H8270" s="388" t="s">
        <v>9567</v>
      </c>
    </row>
    <row r="8271" spans="1:11" x14ac:dyDescent="0.3">
      <c r="A8271" s="45">
        <v>45288</v>
      </c>
      <c r="B8271" s="396" t="s">
        <v>12636</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12133</v>
      </c>
      <c r="C8273" s="5" t="s">
        <v>12826</v>
      </c>
      <c r="D8273" s="124" t="s">
        <v>294</v>
      </c>
      <c r="E8273" s="43">
        <v>20000</v>
      </c>
      <c r="F8273" s="43"/>
      <c r="G8273" s="48">
        <f t="shared" si="210"/>
        <v>164735.52150537609</v>
      </c>
      <c r="H8273" s="388" t="s">
        <v>9567</v>
      </c>
      <c r="J8273" s="52">
        <v>10000</v>
      </c>
    </row>
    <row r="8274" spans="1:11" x14ac:dyDescent="0.3">
      <c r="A8274" s="45">
        <v>45289</v>
      </c>
      <c r="B8274" s="396" t="s">
        <v>12636</v>
      </c>
      <c r="C8274" s="5" t="s">
        <v>12154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12045</v>
      </c>
      <c r="C8276" s="5" t="s">
        <v>5793</v>
      </c>
      <c r="D8276" s="124" t="s">
        <v>40</v>
      </c>
      <c r="E8276" s="43">
        <v>1500</v>
      </c>
      <c r="F8276" s="43"/>
      <c r="G8276" s="48">
        <f t="shared" ref="G8276:G8284" si="211">G8275+F8276-E8276</f>
        <v>82235.521505376091</v>
      </c>
      <c r="H8276" s="388" t="s">
        <v>9567</v>
      </c>
    </row>
    <row r="8277" spans="1:11" x14ac:dyDescent="0.3">
      <c r="A8277" s="45">
        <v>45289</v>
      </c>
      <c r="B8277" s="396" t="s">
        <v>12636</v>
      </c>
      <c r="C8277" s="5" t="s">
        <v>12877</v>
      </c>
      <c r="D8277" s="124" t="s">
        <v>12878</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12573</v>
      </c>
      <c r="C8279" s="5" t="s">
        <v>30</v>
      </c>
      <c r="D8279" s="124" t="s">
        <v>12881</v>
      </c>
      <c r="E8279" s="43">
        <v>1200</v>
      </c>
      <c r="F8279" s="43"/>
      <c r="G8279" s="48">
        <f t="shared" si="211"/>
        <v>28535.521505376091</v>
      </c>
      <c r="H8279" s="388" t="s">
        <v>9567</v>
      </c>
      <c r="J8279" s="52">
        <v>500</v>
      </c>
      <c r="K8279" s="52" t="s">
        <v>12879</v>
      </c>
    </row>
    <row r="8280" spans="1:11" x14ac:dyDescent="0.3">
      <c r="A8280" s="45">
        <v>45289</v>
      </c>
      <c r="B8280" s="396" t="s">
        <v>11743</v>
      </c>
      <c r="C8280" s="5" t="s">
        <v>11174</v>
      </c>
      <c r="D8280" s="124" t="s">
        <v>12883</v>
      </c>
      <c r="E8280" s="43">
        <v>4750</v>
      </c>
      <c r="F8280" s="43"/>
      <c r="G8280" s="48">
        <f t="shared" si="211"/>
        <v>23785.521505376091</v>
      </c>
      <c r="H8280" s="388" t="s">
        <v>9567</v>
      </c>
      <c r="J8280" s="52">
        <v>450</v>
      </c>
      <c r="K8280" s="52" t="s">
        <v>87</v>
      </c>
    </row>
    <row r="8281" spans="1:11" x14ac:dyDescent="0.3">
      <c r="A8281" s="45">
        <v>45289</v>
      </c>
      <c r="B8281" s="396" t="s">
        <v>12086</v>
      </c>
      <c r="C8281" s="5" t="s">
        <v>11174</v>
      </c>
      <c r="D8281" s="124" t="s">
        <v>12916</v>
      </c>
      <c r="E8281" s="43">
        <v>1850</v>
      </c>
      <c r="F8281" s="43"/>
      <c r="G8281" s="48">
        <f t="shared" si="211"/>
        <v>21935.521505376091</v>
      </c>
      <c r="H8281" s="388" t="s">
        <v>9567</v>
      </c>
    </row>
    <row r="8282" spans="1:11" x14ac:dyDescent="0.3">
      <c r="A8282" s="45">
        <v>45289</v>
      </c>
      <c r="B8282" s="396" t="s">
        <v>12573</v>
      </c>
      <c r="C8282" s="5" t="s">
        <v>84</v>
      </c>
      <c r="D8282" s="124" t="s">
        <v>12882</v>
      </c>
      <c r="E8282" s="65">
        <v>5000</v>
      </c>
      <c r="F8282" s="43"/>
      <c r="G8282" s="48">
        <f t="shared" si="211"/>
        <v>16935.521505376091</v>
      </c>
      <c r="H8282" s="388" t="s">
        <v>9567</v>
      </c>
      <c r="J8282" s="52">
        <v>360</v>
      </c>
      <c r="K8282" s="52" t="s">
        <v>87</v>
      </c>
    </row>
    <row r="8283" spans="1:11" x14ac:dyDescent="0.3">
      <c r="A8283" s="45">
        <v>45289</v>
      </c>
      <c r="B8283" s="396" t="s">
        <v>12636</v>
      </c>
      <c r="C8283" s="5" t="s">
        <v>11174</v>
      </c>
      <c r="D8283" s="124" t="s">
        <v>12884</v>
      </c>
      <c r="E8283" s="43">
        <v>1120</v>
      </c>
      <c r="F8283" s="43"/>
      <c r="G8283" s="48">
        <f t="shared" si="211"/>
        <v>15815.521505376091</v>
      </c>
      <c r="H8283" s="388" t="s">
        <v>9567</v>
      </c>
      <c r="J8283" s="52">
        <v>250</v>
      </c>
      <c r="K8283" s="52" t="s">
        <v>12880</v>
      </c>
    </row>
    <row r="8284" spans="1:11" x14ac:dyDescent="0.3">
      <c r="A8284" s="45">
        <v>45290</v>
      </c>
      <c r="B8284" s="396" t="s">
        <v>12573</v>
      </c>
      <c r="C8284" s="5" t="s">
        <v>84</v>
      </c>
      <c r="D8284" s="124" t="s">
        <v>12889</v>
      </c>
      <c r="E8284" s="43">
        <v>2000</v>
      </c>
      <c r="F8284" s="43"/>
      <c r="G8284" s="48">
        <f t="shared" si="211"/>
        <v>13815.521505376091</v>
      </c>
      <c r="H8284" s="388" t="s">
        <v>9567</v>
      </c>
      <c r="J8284" s="52">
        <v>200</v>
      </c>
      <c r="K8284" s="52" t="s">
        <v>12880</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12573</v>
      </c>
      <c r="C8286" s="5" t="s">
        <v>5793</v>
      </c>
      <c r="D8286" s="124" t="s">
        <v>40</v>
      </c>
      <c r="E8286" s="43">
        <v>1500</v>
      </c>
      <c r="F8286" s="43"/>
      <c r="G8286" s="48">
        <f t="shared" si="212"/>
        <v>6985.5215053760912</v>
      </c>
      <c r="H8286" s="388" t="s">
        <v>9567</v>
      </c>
      <c r="J8286" s="52">
        <v>350</v>
      </c>
      <c r="K8286" s="52" t="s">
        <v>12880</v>
      </c>
    </row>
    <row r="8287" spans="1:11" x14ac:dyDescent="0.3">
      <c r="A8287" s="45">
        <v>45290</v>
      </c>
      <c r="B8287" s="565"/>
      <c r="C8287" s="480"/>
      <c r="D8287" s="491" t="s">
        <v>12887</v>
      </c>
      <c r="E8287" s="480"/>
      <c r="F8287" s="43">
        <v>5700</v>
      </c>
      <c r="G8287" s="48">
        <f t="shared" si="212"/>
        <v>12685.521505376091</v>
      </c>
      <c r="H8287" s="388" t="s">
        <v>9567</v>
      </c>
      <c r="J8287" s="52" t="e">
        <f>#REF!*7%</f>
        <v>#REF!</v>
      </c>
      <c r="K8287" s="52" t="e">
        <f>#REF!*10%</f>
        <v>#REF!</v>
      </c>
    </row>
    <row r="8288" spans="1:11" x14ac:dyDescent="0.3">
      <c r="A8288" s="45">
        <v>45290</v>
      </c>
      <c r="B8288" s="396" t="s">
        <v>12086</v>
      </c>
      <c r="C8288" s="5" t="s">
        <v>5793</v>
      </c>
      <c r="D8288" s="124" t="s">
        <v>40</v>
      </c>
      <c r="E8288" s="43">
        <f>250+300</f>
        <v>550</v>
      </c>
      <c r="F8288" s="43"/>
      <c r="G8288" s="48">
        <f t="shared" si="212"/>
        <v>12135.521505376091</v>
      </c>
      <c r="H8288" s="388" t="s">
        <v>9567</v>
      </c>
      <c r="J8288" s="52">
        <v>150</v>
      </c>
      <c r="K8288" s="52" t="s">
        <v>12880</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5"/>
      <c r="C8291" s="480"/>
      <c r="D8291" s="491" t="s">
        <v>12872</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12890</v>
      </c>
      <c r="D8292" s="124" t="s">
        <v>12891</v>
      </c>
      <c r="E8292" s="43">
        <v>3000</v>
      </c>
      <c r="F8292" s="43"/>
      <c r="G8292" s="48">
        <f t="shared" si="212"/>
        <v>198135.52150537609</v>
      </c>
      <c r="H8292" s="388" t="s">
        <v>9567</v>
      </c>
      <c r="K8292" s="52" t="e">
        <f>J8289+J8288+J8287+J8286+J8284+J8283</f>
        <v>#REF!</v>
      </c>
    </row>
    <row r="8293" spans="1:11" x14ac:dyDescent="0.3">
      <c r="A8293" s="45">
        <v>45292</v>
      </c>
      <c r="B8293" s="396" t="s">
        <v>12439</v>
      </c>
      <c r="C8293" s="5" t="s">
        <v>9758</v>
      </c>
      <c r="D8293" s="124" t="s">
        <v>12896</v>
      </c>
      <c r="E8293" s="43">
        <v>39000</v>
      </c>
      <c r="F8293" s="43"/>
      <c r="G8293" s="48">
        <f t="shared" si="212"/>
        <v>159135.52150537609</v>
      </c>
      <c r="H8293" s="388" t="s">
        <v>9567</v>
      </c>
    </row>
    <row r="8294" spans="1:11" x14ac:dyDescent="0.3">
      <c r="A8294" s="45">
        <v>45292</v>
      </c>
      <c r="B8294" s="396"/>
      <c r="C8294" s="5" t="s">
        <v>9052</v>
      </c>
      <c r="D8294" s="124" t="s">
        <v>12894</v>
      </c>
      <c r="E8294" s="43">
        <v>16000</v>
      </c>
      <c r="F8294" s="43"/>
      <c r="G8294" s="48">
        <f t="shared" si="212"/>
        <v>143135.52150537609</v>
      </c>
      <c r="H8294" s="388" t="s">
        <v>9567</v>
      </c>
    </row>
    <row r="8295" spans="1:11" x14ac:dyDescent="0.3">
      <c r="A8295" s="45">
        <v>45292</v>
      </c>
      <c r="B8295" s="396" t="s">
        <v>11743</v>
      </c>
      <c r="C8295" s="5" t="s">
        <v>8990</v>
      </c>
      <c r="D8295" s="124" t="s">
        <v>12895</v>
      </c>
      <c r="E8295" s="43">
        <v>3740</v>
      </c>
      <c r="F8295" s="43"/>
      <c r="G8295" s="48">
        <f t="shared" si="212"/>
        <v>139395.52150537609</v>
      </c>
      <c r="H8295" s="388" t="s">
        <v>9567</v>
      </c>
    </row>
    <row r="8296" spans="1:11" x14ac:dyDescent="0.3">
      <c r="A8296" s="45">
        <v>45292</v>
      </c>
      <c r="B8296" s="396" t="s">
        <v>12086</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12893</v>
      </c>
      <c r="E8297" s="43">
        <v>740</v>
      </c>
      <c r="F8297" s="43"/>
      <c r="G8297" s="48">
        <f t="shared" si="212"/>
        <v>138055.52150537609</v>
      </c>
      <c r="H8297" s="388" t="s">
        <v>9567</v>
      </c>
    </row>
    <row r="8298" spans="1:11" x14ac:dyDescent="0.3">
      <c r="A8298" s="45">
        <v>45293</v>
      </c>
      <c r="B8298" s="396"/>
      <c r="C8298" s="5" t="s">
        <v>5162</v>
      </c>
      <c r="D8298" s="124" t="s">
        <v>12900</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12897</v>
      </c>
      <c r="C8300" s="5" t="s">
        <v>12898</v>
      </c>
      <c r="D8300" s="124" t="s">
        <v>12899</v>
      </c>
      <c r="E8300" s="43">
        <v>15000</v>
      </c>
      <c r="F8300" s="43"/>
      <c r="G8300" s="48">
        <f t="shared" si="212"/>
        <v>88055.521505376091</v>
      </c>
      <c r="H8300" s="388" t="s">
        <v>9567</v>
      </c>
    </row>
    <row r="8301" spans="1:11" x14ac:dyDescent="0.3">
      <c r="A8301" s="45">
        <v>45293</v>
      </c>
      <c r="B8301" s="396" t="s">
        <v>12055</v>
      </c>
      <c r="C8301" s="5" t="s">
        <v>30</v>
      </c>
      <c r="D8301" s="124" t="s">
        <v>12364</v>
      </c>
      <c r="E8301" s="43">
        <v>500</v>
      </c>
      <c r="F8301" s="43"/>
      <c r="G8301" s="48">
        <f t="shared" si="212"/>
        <v>87555.521505376091</v>
      </c>
      <c r="H8301" s="388" t="s">
        <v>9567</v>
      </c>
    </row>
    <row r="8302" spans="1:11" x14ac:dyDescent="0.3">
      <c r="A8302" s="45">
        <v>45293</v>
      </c>
      <c r="B8302" s="396" t="s">
        <v>12055</v>
      </c>
      <c r="C8302" s="5" t="s">
        <v>5793</v>
      </c>
      <c r="D8302" s="124" t="s">
        <v>40</v>
      </c>
      <c r="E8302" s="43">
        <v>2500</v>
      </c>
      <c r="F8302" s="43"/>
      <c r="G8302" s="48">
        <f t="shared" si="212"/>
        <v>85055.521505376091</v>
      </c>
      <c r="H8302" s="388" t="s">
        <v>9567</v>
      </c>
      <c r="J8302" s="52">
        <v>18170858</v>
      </c>
    </row>
    <row r="8303" spans="1:11" x14ac:dyDescent="0.3">
      <c r="A8303" s="45">
        <v>45293</v>
      </c>
      <c r="B8303" s="396" t="s">
        <v>12045</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12901</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12903</v>
      </c>
      <c r="E8305" s="43">
        <v>8000</v>
      </c>
      <c r="F8305" s="43"/>
      <c r="G8305" s="48">
        <f t="shared" si="212"/>
        <v>70255.521505376091</v>
      </c>
      <c r="H8305" s="388" t="s">
        <v>9567</v>
      </c>
      <c r="J8305" s="52">
        <f>K8304*20%</f>
        <v>545015.4</v>
      </c>
    </row>
    <row r="8306" spans="1:10" x14ac:dyDescent="0.3">
      <c r="A8306" s="45">
        <v>45294</v>
      </c>
      <c r="B8306" s="396" t="s">
        <v>12080</v>
      </c>
      <c r="C8306" s="5" t="s">
        <v>54</v>
      </c>
      <c r="D8306" s="124" t="s">
        <v>12902</v>
      </c>
      <c r="E8306" s="43">
        <v>5000</v>
      </c>
      <c r="F8306" s="43"/>
      <c r="G8306" s="48">
        <f t="shared" si="212"/>
        <v>65255.521505376091</v>
      </c>
      <c r="H8306" s="388" t="s">
        <v>9567</v>
      </c>
      <c r="J8306" s="52">
        <f>J8304-J8305</f>
        <v>16172173.959999999</v>
      </c>
    </row>
    <row r="8307" spans="1:10" x14ac:dyDescent="0.3">
      <c r="A8307" s="45">
        <v>45294</v>
      </c>
      <c r="B8307" s="396" t="s">
        <v>12636</v>
      </c>
      <c r="C8307" s="5" t="s">
        <v>11174</v>
      </c>
      <c r="D8307" s="124" t="s">
        <v>12906</v>
      </c>
      <c r="E8307" s="43">
        <v>3000</v>
      </c>
      <c r="F8307" s="43"/>
      <c r="G8307" s="48">
        <f t="shared" si="212"/>
        <v>62255.521505376091</v>
      </c>
      <c r="H8307" s="388" t="s">
        <v>9567</v>
      </c>
    </row>
    <row r="8308" spans="1:10" x14ac:dyDescent="0.3">
      <c r="A8308" s="45">
        <v>45294</v>
      </c>
      <c r="B8308" s="396" t="s">
        <v>12133</v>
      </c>
      <c r="C8308" s="5" t="s">
        <v>9451</v>
      </c>
      <c r="D8308" s="124" t="s">
        <v>12908</v>
      </c>
      <c r="E8308" s="43">
        <v>7000</v>
      </c>
      <c r="F8308" s="43"/>
      <c r="G8308" s="48">
        <f t="shared" si="212"/>
        <v>55255.521505376091</v>
      </c>
      <c r="H8308" s="388" t="s">
        <v>9567</v>
      </c>
    </row>
    <row r="8309" spans="1:10" x14ac:dyDescent="0.3">
      <c r="A8309" s="45">
        <v>45294</v>
      </c>
      <c r="B8309" s="396" t="s">
        <v>12636</v>
      </c>
      <c r="C8309" s="5" t="s">
        <v>9643</v>
      </c>
      <c r="D8309" s="124" t="s">
        <v>294</v>
      </c>
      <c r="E8309" s="43">
        <v>40000</v>
      </c>
      <c r="F8309" s="43"/>
      <c r="G8309" s="48">
        <f t="shared" si="212"/>
        <v>15255.521505376091</v>
      </c>
      <c r="H8309" s="388" t="s">
        <v>9567</v>
      </c>
    </row>
    <row r="8310" spans="1:10" x14ac:dyDescent="0.3">
      <c r="A8310" s="45">
        <v>45294</v>
      </c>
      <c r="B8310" s="396" t="s">
        <v>12045</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5"/>
      <c r="C8312" s="480"/>
      <c r="D8312" s="491" t="s">
        <v>12872</v>
      </c>
      <c r="E8312" s="480"/>
      <c r="F8312" s="43">
        <v>1400000</v>
      </c>
      <c r="G8312" s="48">
        <f t="shared" si="212"/>
        <v>1411555.5215053761</v>
      </c>
      <c r="H8312" s="388" t="s">
        <v>9567</v>
      </c>
    </row>
    <row r="8313" spans="1:10" x14ac:dyDescent="0.3">
      <c r="A8313" s="45">
        <v>45294</v>
      </c>
      <c r="B8313" s="396" t="s">
        <v>12133</v>
      </c>
      <c r="C8313" s="5" t="s">
        <v>11174</v>
      </c>
      <c r="D8313" s="124" t="s">
        <v>12911</v>
      </c>
      <c r="E8313" s="43">
        <v>7000</v>
      </c>
      <c r="F8313" s="43"/>
      <c r="G8313" s="48">
        <f t="shared" si="212"/>
        <v>1404555.5215053761</v>
      </c>
      <c r="H8313" s="388" t="s">
        <v>9567</v>
      </c>
    </row>
    <row r="8314" spans="1:10" ht="20.25" customHeight="1" x14ac:dyDescent="0.3">
      <c r="A8314" s="45">
        <v>45294</v>
      </c>
      <c r="B8314" s="396" t="s">
        <v>12045</v>
      </c>
      <c r="C8314" s="5" t="s">
        <v>11174</v>
      </c>
      <c r="D8314" s="124" t="s">
        <v>12918</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12055</v>
      </c>
      <c r="C8316" s="39" t="s">
        <v>54</v>
      </c>
      <c r="D8316" s="251" t="s">
        <v>6236</v>
      </c>
      <c r="E8316" s="40">
        <f>37500+94200</f>
        <v>131700</v>
      </c>
      <c r="F8316" s="43"/>
      <c r="G8316" s="48">
        <f t="shared" si="212"/>
        <v>1262855.5215053761</v>
      </c>
      <c r="H8316" s="388" t="s">
        <v>9567</v>
      </c>
    </row>
    <row r="8317" spans="1:10" x14ac:dyDescent="0.3">
      <c r="A8317" s="45">
        <v>45295</v>
      </c>
      <c r="B8317" s="396" t="s">
        <v>12055</v>
      </c>
      <c r="C8317" s="5" t="s">
        <v>11174</v>
      </c>
      <c r="D8317" s="124" t="s">
        <v>12919</v>
      </c>
      <c r="E8317" s="43">
        <v>78000</v>
      </c>
      <c r="F8317" s="43"/>
      <c r="G8317" s="48">
        <f t="shared" si="212"/>
        <v>1184855.5215053761</v>
      </c>
      <c r="H8317" s="388" t="s">
        <v>9567</v>
      </c>
    </row>
    <row r="8318" spans="1:10" x14ac:dyDescent="0.3">
      <c r="A8318" s="45">
        <v>45295</v>
      </c>
      <c r="B8318" s="396" t="s">
        <v>12055</v>
      </c>
      <c r="C8318" s="5" t="s">
        <v>5793</v>
      </c>
      <c r="D8318" s="124" t="s">
        <v>12913</v>
      </c>
      <c r="E8318" s="43">
        <v>2500</v>
      </c>
      <c r="F8318" s="43"/>
      <c r="G8318" s="48">
        <f t="shared" si="212"/>
        <v>1182355.5215053761</v>
      </c>
      <c r="H8318" s="388" t="s">
        <v>9567</v>
      </c>
    </row>
    <row r="8319" spans="1:10" x14ac:dyDescent="0.3">
      <c r="A8319" s="45">
        <v>45295</v>
      </c>
      <c r="B8319" s="396" t="s">
        <v>12055</v>
      </c>
      <c r="C8319" s="5" t="s">
        <v>30</v>
      </c>
      <c r="D8319" s="124" t="s">
        <v>12364</v>
      </c>
      <c r="E8319" s="43">
        <v>500</v>
      </c>
      <c r="F8319" s="43"/>
      <c r="G8319" s="48">
        <f t="shared" si="212"/>
        <v>1181855.5215053761</v>
      </c>
      <c r="H8319" s="388" t="s">
        <v>9567</v>
      </c>
    </row>
    <row r="8320" spans="1:10" x14ac:dyDescent="0.3">
      <c r="A8320" s="45">
        <v>45295</v>
      </c>
      <c r="B8320" s="399" t="s">
        <v>12080</v>
      </c>
      <c r="C8320" s="39" t="s">
        <v>54</v>
      </c>
      <c r="D8320" s="251" t="s">
        <v>12914</v>
      </c>
      <c r="E8320" s="40">
        <v>142070</v>
      </c>
      <c r="F8320" s="43"/>
      <c r="G8320" s="48">
        <f t="shared" si="212"/>
        <v>1039785.5215053761</v>
      </c>
      <c r="H8320" s="388" t="s">
        <v>9567</v>
      </c>
    </row>
    <row r="8321" spans="1:8" x14ac:dyDescent="0.3">
      <c r="A8321" s="45">
        <v>45295</v>
      </c>
      <c r="B8321" s="396" t="s">
        <v>12080</v>
      </c>
      <c r="C8321" s="5" t="s">
        <v>26</v>
      </c>
      <c r="D8321" s="124" t="s">
        <v>12915</v>
      </c>
      <c r="E8321" s="43">
        <v>400</v>
      </c>
      <c r="F8321" s="43"/>
      <c r="G8321" s="48">
        <f t="shared" si="212"/>
        <v>1039385.5215053761</v>
      </c>
      <c r="H8321" s="388" t="s">
        <v>9567</v>
      </c>
    </row>
    <row r="8322" spans="1:8" x14ac:dyDescent="0.3">
      <c r="A8322" s="45">
        <v>45295</v>
      </c>
      <c r="B8322" s="396" t="s">
        <v>12080</v>
      </c>
      <c r="C8322" s="5" t="s">
        <v>26</v>
      </c>
      <c r="D8322" s="124" t="s">
        <v>7286</v>
      </c>
      <c r="E8322" s="43">
        <v>3000</v>
      </c>
      <c r="F8322" s="43"/>
      <c r="G8322" s="48">
        <f t="shared" si="212"/>
        <v>1036385.5215053761</v>
      </c>
      <c r="H8322" s="388" t="s">
        <v>9567</v>
      </c>
    </row>
    <row r="8323" spans="1:8" x14ac:dyDescent="0.3">
      <c r="A8323" s="45">
        <v>45295</v>
      </c>
      <c r="B8323" s="396" t="s">
        <v>12086</v>
      </c>
      <c r="C8323" s="5" t="s">
        <v>11174</v>
      </c>
      <c r="D8323" s="5" t="s">
        <v>12917</v>
      </c>
      <c r="E8323" s="43">
        <v>2000</v>
      </c>
      <c r="F8323" s="43"/>
      <c r="G8323" s="48">
        <f t="shared" si="212"/>
        <v>1034385.5215053761</v>
      </c>
      <c r="H8323" s="388" t="s">
        <v>9567</v>
      </c>
    </row>
    <row r="8324" spans="1:8" x14ac:dyDescent="0.3">
      <c r="A8324" s="45">
        <v>45295</v>
      </c>
      <c r="B8324" s="399" t="s">
        <v>12045</v>
      </c>
      <c r="C8324" s="39" t="s">
        <v>54</v>
      </c>
      <c r="D8324" s="251" t="s">
        <v>12549</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12133</v>
      </c>
      <c r="C8326" s="39" t="s">
        <v>54</v>
      </c>
      <c r="D8326" s="251" t="s">
        <v>12920</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12796</v>
      </c>
      <c r="C8329" s="5" t="s">
        <v>5793</v>
      </c>
      <c r="D8329" s="5" t="s">
        <v>8924</v>
      </c>
      <c r="E8329" s="43">
        <v>300</v>
      </c>
      <c r="F8329" s="43"/>
      <c r="G8329" s="48">
        <f t="shared" si="212"/>
        <v>687325.52150537609</v>
      </c>
      <c r="H8329" s="388" t="s">
        <v>9567</v>
      </c>
    </row>
    <row r="8330" spans="1:8" x14ac:dyDescent="0.3">
      <c r="A8330" s="45">
        <v>45295</v>
      </c>
      <c r="B8330" s="396" t="s">
        <v>12636</v>
      </c>
      <c r="C8330" s="5" t="s">
        <v>5793</v>
      </c>
      <c r="D8330" s="5" t="s">
        <v>8924</v>
      </c>
      <c r="E8330" s="43">
        <v>700</v>
      </c>
      <c r="F8330" s="43"/>
      <c r="G8330" s="48">
        <f t="shared" si="212"/>
        <v>686625.52150537609</v>
      </c>
      <c r="H8330" s="388" t="s">
        <v>9567</v>
      </c>
    </row>
    <row r="8331" spans="1:8" x14ac:dyDescent="0.3">
      <c r="A8331" s="45">
        <v>45295</v>
      </c>
      <c r="B8331" s="396" t="s">
        <v>12133</v>
      </c>
      <c r="C8331" s="5" t="s">
        <v>5793</v>
      </c>
      <c r="D8331" s="5" t="s">
        <v>40</v>
      </c>
      <c r="E8331" s="43">
        <v>700</v>
      </c>
      <c r="F8331" s="43"/>
      <c r="G8331" s="48">
        <f t="shared" si="212"/>
        <v>685925.52150537609</v>
      </c>
      <c r="H8331" s="388" t="s">
        <v>9567</v>
      </c>
    </row>
    <row r="8332" spans="1:8" x14ac:dyDescent="0.3">
      <c r="A8332" s="45">
        <v>45295</v>
      </c>
      <c r="B8332" s="396" t="s">
        <v>12439</v>
      </c>
      <c r="C8332" s="5" t="s">
        <v>12413</v>
      </c>
      <c r="D8332" s="5" t="s">
        <v>12925</v>
      </c>
      <c r="E8332" s="65">
        <v>15000</v>
      </c>
      <c r="F8332" s="43"/>
      <c r="G8332" s="48">
        <f t="shared" si="212"/>
        <v>670925.52150537609</v>
      </c>
      <c r="H8332" s="388" t="s">
        <v>9567</v>
      </c>
    </row>
    <row r="8333" spans="1:8" x14ac:dyDescent="0.3">
      <c r="A8333" s="45">
        <v>45296</v>
      </c>
      <c r="B8333" s="396"/>
      <c r="C8333" s="5" t="s">
        <v>14</v>
      </c>
      <c r="D8333" s="5" t="s">
        <v>12926</v>
      </c>
      <c r="E8333" s="43">
        <v>18000</v>
      </c>
      <c r="F8333" s="43"/>
      <c r="G8333" s="48">
        <f t="shared" si="212"/>
        <v>652925.52150537609</v>
      </c>
      <c r="H8333" s="388" t="s">
        <v>9567</v>
      </c>
    </row>
    <row r="8334" spans="1:8" x14ac:dyDescent="0.3">
      <c r="A8334" s="45">
        <v>45296</v>
      </c>
      <c r="B8334" s="396" t="s">
        <v>12611</v>
      </c>
      <c r="C8334" s="5" t="s">
        <v>6430</v>
      </c>
      <c r="D8334" s="5" t="s">
        <v>294</v>
      </c>
      <c r="E8334" s="43">
        <v>5000</v>
      </c>
      <c r="F8334" s="43"/>
      <c r="G8334" s="48">
        <f t="shared" si="212"/>
        <v>647925.52150537609</v>
      </c>
      <c r="H8334" s="388" t="s">
        <v>9567</v>
      </c>
    </row>
    <row r="8335" spans="1:8" x14ac:dyDescent="0.3">
      <c r="A8335" s="45">
        <v>45296</v>
      </c>
      <c r="B8335" s="399" t="s">
        <v>12133</v>
      </c>
      <c r="C8335" s="39" t="s">
        <v>54</v>
      </c>
      <c r="D8335" s="251" t="s">
        <v>12755</v>
      </c>
      <c r="E8335" s="40">
        <v>43000</v>
      </c>
      <c r="F8335" s="43"/>
      <c r="G8335" s="48">
        <f t="shared" si="212"/>
        <v>604925.52150537609</v>
      </c>
      <c r="H8335" s="388" t="s">
        <v>9567</v>
      </c>
    </row>
    <row r="8336" spans="1:8" x14ac:dyDescent="0.3">
      <c r="A8336" s="45">
        <v>45296</v>
      </c>
      <c r="B8336" s="399" t="s">
        <v>12049</v>
      </c>
      <c r="C8336" s="39" t="s">
        <v>54</v>
      </c>
      <c r="D8336" s="251" t="s">
        <v>12929</v>
      </c>
      <c r="E8336" s="40">
        <v>24570</v>
      </c>
      <c r="F8336" s="43"/>
      <c r="G8336" s="48">
        <f t="shared" si="212"/>
        <v>580355.52150537609</v>
      </c>
      <c r="H8336" s="388" t="s">
        <v>9567</v>
      </c>
    </row>
    <row r="8337" spans="1:11" x14ac:dyDescent="0.3">
      <c r="A8337" s="45">
        <v>45296</v>
      </c>
      <c r="B8337" s="399" t="s">
        <v>12573</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12930</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12934</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12933</v>
      </c>
      <c r="E8343" s="40">
        <f>57900+41450+31330+31000</f>
        <v>161680</v>
      </c>
      <c r="F8343" s="43"/>
      <c r="G8343" s="48">
        <f t="shared" si="212"/>
        <v>276322.52150537609</v>
      </c>
      <c r="H8343" s="388" t="s">
        <v>9567</v>
      </c>
    </row>
    <row r="8344" spans="1:11" x14ac:dyDescent="0.3">
      <c r="A8344" s="45">
        <v>45296</v>
      </c>
      <c r="B8344" s="399" t="s">
        <v>12046</v>
      </c>
      <c r="C8344" s="39" t="s">
        <v>54</v>
      </c>
      <c r="D8344" s="251" t="s">
        <v>12931</v>
      </c>
      <c r="E8344" s="40">
        <f>25330+29450</f>
        <v>54780</v>
      </c>
      <c r="F8344" s="43"/>
      <c r="G8344" s="48">
        <f t="shared" si="212"/>
        <v>221542.52150537609</v>
      </c>
      <c r="H8344" s="388" t="s">
        <v>9567</v>
      </c>
    </row>
    <row r="8345" spans="1:11" x14ac:dyDescent="0.3">
      <c r="A8345" s="45">
        <v>45296</v>
      </c>
      <c r="B8345" s="399" t="s">
        <v>12133</v>
      </c>
      <c r="C8345" s="39" t="s">
        <v>54</v>
      </c>
      <c r="D8345" s="251" t="s">
        <v>12932</v>
      </c>
      <c r="E8345" s="40">
        <f>37200+14650</f>
        <v>51850</v>
      </c>
      <c r="F8345" s="43"/>
      <c r="G8345" s="48">
        <f t="shared" si="212"/>
        <v>169692.52150537609</v>
      </c>
      <c r="H8345" s="388" t="s">
        <v>9567</v>
      </c>
    </row>
    <row r="8346" spans="1:11" x14ac:dyDescent="0.3">
      <c r="A8346" s="45">
        <v>45296</v>
      </c>
      <c r="B8346" s="399" t="s">
        <v>12055</v>
      </c>
      <c r="C8346" s="39" t="s">
        <v>54</v>
      </c>
      <c r="D8346" s="251" t="s">
        <v>12935</v>
      </c>
      <c r="E8346" s="40">
        <v>28000</v>
      </c>
      <c r="F8346" s="43"/>
      <c r="G8346" s="48">
        <f t="shared" si="212"/>
        <v>141692.52150537609</v>
      </c>
      <c r="H8346" s="388" t="s">
        <v>9567</v>
      </c>
    </row>
    <row r="8347" spans="1:11" x14ac:dyDescent="0.3">
      <c r="A8347" s="45">
        <v>45296</v>
      </c>
      <c r="B8347" s="396" t="s">
        <v>12796</v>
      </c>
      <c r="C8347" s="5" t="s">
        <v>9052</v>
      </c>
      <c r="D8347" s="5" t="s">
        <v>12936</v>
      </c>
      <c r="E8347" s="43">
        <v>13000</v>
      </c>
      <c r="F8347" s="43"/>
      <c r="G8347" s="48">
        <f t="shared" si="212"/>
        <v>128692.52150537609</v>
      </c>
      <c r="H8347" s="388" t="s">
        <v>9567</v>
      </c>
    </row>
    <row r="8348" spans="1:11" x14ac:dyDescent="0.3">
      <c r="A8348" s="45">
        <v>45296</v>
      </c>
      <c r="B8348" s="396" t="s">
        <v>12439</v>
      </c>
      <c r="C8348" s="5" t="s">
        <v>11174</v>
      </c>
      <c r="D8348" s="5" t="s">
        <v>12937</v>
      </c>
      <c r="E8348" s="65">
        <v>14000</v>
      </c>
      <c r="F8348" s="43"/>
      <c r="G8348" s="48">
        <f t="shared" si="212"/>
        <v>114692.52150537609</v>
      </c>
      <c r="H8348" s="388" t="s">
        <v>9567</v>
      </c>
    </row>
    <row r="8349" spans="1:11" x14ac:dyDescent="0.3">
      <c r="A8349" s="45">
        <v>45297</v>
      </c>
      <c r="B8349" s="396" t="s">
        <v>10319</v>
      </c>
      <c r="C8349" s="5" t="s">
        <v>7737</v>
      </c>
      <c r="D8349" s="5" t="s">
        <v>12938</v>
      </c>
      <c r="E8349" s="65">
        <v>15000</v>
      </c>
      <c r="F8349" s="43"/>
      <c r="G8349" s="48">
        <f t="shared" si="212"/>
        <v>99692.521505376091</v>
      </c>
      <c r="H8349" s="388" t="s">
        <v>9567</v>
      </c>
    </row>
    <row r="8350" spans="1:11" x14ac:dyDescent="0.3">
      <c r="A8350" s="45">
        <v>45297</v>
      </c>
      <c r="B8350" s="399" t="s">
        <v>12939</v>
      </c>
      <c r="C8350" s="39" t="s">
        <v>54</v>
      </c>
      <c r="D8350" s="251" t="s">
        <v>12762</v>
      </c>
      <c r="E8350" s="40">
        <v>29580</v>
      </c>
      <c r="F8350" s="43"/>
      <c r="G8350" s="48">
        <f t="shared" si="212"/>
        <v>70112.521505376091</v>
      </c>
      <c r="H8350" s="388" t="s">
        <v>9567</v>
      </c>
    </row>
    <row r="8351" spans="1:11" x14ac:dyDescent="0.3">
      <c r="A8351" s="45">
        <v>45297</v>
      </c>
      <c r="B8351" s="396" t="s">
        <v>12796</v>
      </c>
      <c r="C8351" s="5" t="s">
        <v>5793</v>
      </c>
      <c r="D8351" s="5" t="s">
        <v>40</v>
      </c>
      <c r="E8351" s="43">
        <v>1700</v>
      </c>
      <c r="F8351" s="43"/>
      <c r="G8351" s="48">
        <f t="shared" si="212"/>
        <v>68412.521505376091</v>
      </c>
      <c r="H8351" s="388" t="s">
        <v>9567</v>
      </c>
    </row>
    <row r="8352" spans="1:11" x14ac:dyDescent="0.3">
      <c r="A8352" s="45">
        <v>45297</v>
      </c>
      <c r="B8352" s="396" t="s">
        <v>12086</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12940</v>
      </c>
      <c r="E8353" s="43">
        <v>10300</v>
      </c>
      <c r="F8353" s="43"/>
      <c r="G8353" s="48">
        <f t="shared" si="213"/>
        <v>57712.521505376091</v>
      </c>
      <c r="H8353" s="388" t="s">
        <v>9567</v>
      </c>
      <c r="I8353" s="583" t="s">
        <v>12514</v>
      </c>
      <c r="J8353" s="187" t="e">
        <f>#REF!</f>
        <v>#REF!</v>
      </c>
    </row>
    <row r="8354" spans="1:12" x14ac:dyDescent="0.3">
      <c r="A8354" s="45">
        <v>45297</v>
      </c>
      <c r="B8354" s="396" t="s">
        <v>12086</v>
      </c>
      <c r="C8354" s="5" t="s">
        <v>11174</v>
      </c>
      <c r="D8354" s="5" t="s">
        <v>12941</v>
      </c>
      <c r="E8354" s="43">
        <v>2000</v>
      </c>
      <c r="F8354" s="43"/>
      <c r="G8354" s="48">
        <f t="shared" si="213"/>
        <v>55712.521505376091</v>
      </c>
      <c r="H8354" s="388" t="s">
        <v>9567</v>
      </c>
      <c r="I8354" s="583" t="s">
        <v>55</v>
      </c>
      <c r="J8354" s="187">
        <f ca="1">SUMIF(C8310:E8408,"salary",E8310:E8408)+398000+170000</f>
        <v>1970755</v>
      </c>
    </row>
    <row r="8355" spans="1:12" x14ac:dyDescent="0.3">
      <c r="A8355" s="45">
        <v>45297</v>
      </c>
      <c r="B8355" s="399" t="s">
        <v>12133</v>
      </c>
      <c r="C8355" s="39" t="s">
        <v>54</v>
      </c>
      <c r="D8355" s="251" t="s">
        <v>12753</v>
      </c>
      <c r="E8355" s="40">
        <v>36000</v>
      </c>
      <c r="F8355" s="43"/>
      <c r="G8355" s="48">
        <f t="shared" si="213"/>
        <v>19712.521505376091</v>
      </c>
      <c r="H8355" s="388" t="s">
        <v>9567</v>
      </c>
      <c r="I8355" s="583" t="s">
        <v>12233</v>
      </c>
      <c r="J8355" s="187" t="e">
        <f ca="1">J8353-J8354</f>
        <v>#REF!</v>
      </c>
    </row>
    <row r="8356" spans="1:12" x14ac:dyDescent="0.3">
      <c r="A8356" s="45">
        <v>45297</v>
      </c>
      <c r="B8356" s="396" t="s">
        <v>12796</v>
      </c>
      <c r="C8356" s="5" t="s">
        <v>5793</v>
      </c>
      <c r="D8356" s="5" t="s">
        <v>12942</v>
      </c>
      <c r="E8356" s="43">
        <v>500</v>
      </c>
      <c r="F8356" s="43"/>
      <c r="G8356" s="48">
        <f t="shared" si="213"/>
        <v>19212.521505376091</v>
      </c>
      <c r="H8356" s="388" t="s">
        <v>9567</v>
      </c>
    </row>
    <row r="8357" spans="1:12" x14ac:dyDescent="0.3">
      <c r="A8357" s="45">
        <v>45299</v>
      </c>
      <c r="B8357" s="396"/>
      <c r="C8357" s="5" t="s">
        <v>84</v>
      </c>
      <c r="D8357" s="5" t="s">
        <v>12946</v>
      </c>
      <c r="E8357" s="43">
        <v>1000</v>
      </c>
      <c r="F8357" s="43"/>
      <c r="G8357" s="48">
        <f t="shared" si="213"/>
        <v>18212.521505376091</v>
      </c>
      <c r="H8357" s="388" t="s">
        <v>9567</v>
      </c>
    </row>
    <row r="8358" spans="1:12" x14ac:dyDescent="0.3">
      <c r="A8358" s="45">
        <v>45299</v>
      </c>
      <c r="B8358" s="396" t="s">
        <v>7521</v>
      </c>
      <c r="C8358" s="5" t="s">
        <v>11174</v>
      </c>
      <c r="D8358" s="5" t="s">
        <v>12949</v>
      </c>
      <c r="E8358" s="43">
        <v>1500</v>
      </c>
      <c r="F8358" s="43"/>
      <c r="G8358" s="48">
        <f t="shared" si="213"/>
        <v>16712.521505376091</v>
      </c>
      <c r="H8358" s="388" t="s">
        <v>9567</v>
      </c>
    </row>
    <row r="8359" spans="1:12" x14ac:dyDescent="0.3">
      <c r="A8359" s="45">
        <v>45299</v>
      </c>
      <c r="B8359" s="396"/>
      <c r="C8359" s="5" t="s">
        <v>14</v>
      </c>
      <c r="D8359" s="5" t="s">
        <v>12215</v>
      </c>
      <c r="E8359" s="43">
        <v>9913</v>
      </c>
      <c r="F8359" s="43"/>
      <c r="G8359" s="48">
        <f t="shared" si="213"/>
        <v>6799.5215053760912</v>
      </c>
      <c r="H8359" s="388" t="s">
        <v>9567</v>
      </c>
    </row>
    <row r="8360" spans="1:12" x14ac:dyDescent="0.3">
      <c r="A8360" s="45">
        <v>45299</v>
      </c>
      <c r="B8360" s="396" t="s">
        <v>12133</v>
      </c>
      <c r="C8360" s="5" t="s">
        <v>5793</v>
      </c>
      <c r="D8360" s="5" t="s">
        <v>12950</v>
      </c>
      <c r="E8360" s="43">
        <v>5000</v>
      </c>
      <c r="F8360" s="43"/>
      <c r="G8360" s="48">
        <f t="shared" si="213"/>
        <v>1799.5215053760912</v>
      </c>
      <c r="H8360" s="388" t="s">
        <v>9567</v>
      </c>
    </row>
    <row r="8361" spans="1:12" x14ac:dyDescent="0.3">
      <c r="A8361" s="45">
        <v>45299</v>
      </c>
      <c r="B8361" s="396" t="s">
        <v>12133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12133</v>
      </c>
      <c r="C8362" s="5" t="s">
        <v>5793</v>
      </c>
      <c r="D8362" s="5" t="s">
        <v>40</v>
      </c>
      <c r="E8362" s="43">
        <v>240</v>
      </c>
      <c r="F8362" s="43"/>
      <c r="G8362" s="48">
        <f t="shared" si="213"/>
        <v>59.521505376091227</v>
      </c>
      <c r="H8362" s="388" t="s">
        <v>9567</v>
      </c>
    </row>
    <row r="8363" spans="1:12" x14ac:dyDescent="0.3">
      <c r="A8363" s="45">
        <v>45300</v>
      </c>
      <c r="B8363" s="565"/>
      <c r="C8363" s="480"/>
      <c r="D8363" s="491" t="s">
        <v>4106</v>
      </c>
      <c r="E8363" s="480"/>
      <c r="F8363" s="43">
        <v>500000</v>
      </c>
      <c r="G8363" s="48">
        <f t="shared" si="213"/>
        <v>500059.52150537609</v>
      </c>
      <c r="H8363" s="388" t="s">
        <v>9567</v>
      </c>
    </row>
    <row r="8364" spans="1:12" x14ac:dyDescent="0.3">
      <c r="A8364" s="45">
        <v>45300</v>
      </c>
      <c r="B8364" s="396" t="s">
        <v>12133</v>
      </c>
      <c r="C8364" s="5" t="s">
        <v>12826</v>
      </c>
      <c r="D8364" s="5" t="s">
        <v>12953</v>
      </c>
      <c r="E8364" s="43">
        <v>20000</v>
      </c>
      <c r="F8364" s="43"/>
      <c r="G8364" s="48">
        <f t="shared" si="213"/>
        <v>480059.52150537609</v>
      </c>
      <c r="H8364" s="388" t="s">
        <v>9567</v>
      </c>
    </row>
    <row r="8365" spans="1:12" x14ac:dyDescent="0.3">
      <c r="A8365" s="45">
        <v>45300</v>
      </c>
      <c r="B8365" s="396" t="s">
        <v>12133</v>
      </c>
      <c r="C8365" s="509" t="s">
        <v>11174</v>
      </c>
      <c r="D8365" s="509" t="s">
        <v>12954</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12055</v>
      </c>
      <c r="C8367" s="5" t="s">
        <v>9758</v>
      </c>
      <c r="D8367" s="5" t="s">
        <v>12955</v>
      </c>
      <c r="E8367" s="43">
        <v>20000</v>
      </c>
      <c r="F8367" s="43"/>
      <c r="G8367" s="48">
        <f t="shared" si="213"/>
        <v>446059.52150537609</v>
      </c>
      <c r="H8367" s="388" t="s">
        <v>9567</v>
      </c>
    </row>
    <row r="8368" spans="1:12" x14ac:dyDescent="0.3">
      <c r="A8368" s="45">
        <v>45300</v>
      </c>
      <c r="B8368" s="396" t="s">
        <v>12611</v>
      </c>
      <c r="C8368" s="5" t="s">
        <v>12956</v>
      </c>
      <c r="D8368" s="5" t="s">
        <v>12957</v>
      </c>
      <c r="E8368" s="43">
        <v>15100</v>
      </c>
      <c r="F8368" s="43"/>
      <c r="G8368" s="48">
        <f t="shared" si="213"/>
        <v>430959.52150537609</v>
      </c>
      <c r="H8368" s="388" t="s">
        <v>9567</v>
      </c>
      <c r="J8368" s="52">
        <v>8901000</v>
      </c>
    </row>
    <row r="8369" spans="1:13" x14ac:dyDescent="0.3">
      <c r="A8369" s="45">
        <v>45300</v>
      </c>
      <c r="B8369" s="399" t="s">
        <v>12611</v>
      </c>
      <c r="C8369" s="39" t="s">
        <v>54</v>
      </c>
      <c r="D8369" s="251" t="s">
        <v>12958</v>
      </c>
      <c r="E8369" s="40">
        <v>31410</v>
      </c>
      <c r="F8369" s="43"/>
      <c r="G8369" s="48">
        <f t="shared" si="213"/>
        <v>399549.52150537609</v>
      </c>
      <c r="H8369" s="388" t="s">
        <v>9567</v>
      </c>
      <c r="I8369" s="52" t="s">
        <v>12921</v>
      </c>
      <c r="J8369" s="52">
        <f>J8368*8%</f>
        <v>712080</v>
      </c>
    </row>
    <row r="8370" spans="1:13" x14ac:dyDescent="0.3">
      <c r="A8370" s="45">
        <v>45300</v>
      </c>
      <c r="B8370" s="399" t="s">
        <v>12573</v>
      </c>
      <c r="C8370" s="39" t="s">
        <v>54</v>
      </c>
      <c r="D8370" s="251" t="s">
        <v>12520</v>
      </c>
      <c r="E8370" s="40">
        <v>42100</v>
      </c>
      <c r="F8370" s="43"/>
      <c r="G8370" s="48">
        <f t="shared" si="213"/>
        <v>357449.52150537609</v>
      </c>
      <c r="H8370" s="388" t="s">
        <v>9567</v>
      </c>
      <c r="J8370" s="52">
        <f>J8368-J8369</f>
        <v>8188920</v>
      </c>
    </row>
    <row r="8371" spans="1:13" x14ac:dyDescent="0.3">
      <c r="A8371" s="45">
        <v>45300</v>
      </c>
      <c r="B8371" s="396" t="s">
        <v>11743</v>
      </c>
      <c r="C8371" s="5" t="s">
        <v>26</v>
      </c>
      <c r="D8371" s="5" t="s">
        <v>12959</v>
      </c>
      <c r="E8371" s="43">
        <v>600</v>
      </c>
      <c r="F8371" s="43"/>
      <c r="G8371" s="48">
        <f t="shared" si="213"/>
        <v>356849.52150537609</v>
      </c>
      <c r="H8371" s="388" t="s">
        <v>9567</v>
      </c>
      <c r="I8371" s="52" t="s">
        <v>12922</v>
      </c>
      <c r="J8371" s="52">
        <f>1316836*20%</f>
        <v>263367.2</v>
      </c>
    </row>
    <row r="8372" spans="1:13" x14ac:dyDescent="0.3">
      <c r="A8372" s="45">
        <v>45300</v>
      </c>
      <c r="B8372" s="396" t="s">
        <v>12796</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12796</v>
      </c>
      <c r="C8373" s="5" t="s">
        <v>9451</v>
      </c>
      <c r="D8373" s="5" t="s">
        <v>12960</v>
      </c>
      <c r="E8373" s="43">
        <v>7000</v>
      </c>
      <c r="F8373" s="43"/>
      <c r="G8373" s="48">
        <f t="shared" si="213"/>
        <v>344849.52150537609</v>
      </c>
      <c r="H8373" s="388" t="s">
        <v>9567</v>
      </c>
    </row>
    <row r="8374" spans="1:13" x14ac:dyDescent="0.3">
      <c r="A8374" s="45">
        <v>45301</v>
      </c>
      <c r="B8374" s="396"/>
      <c r="C8374" s="5" t="s">
        <v>4550</v>
      </c>
      <c r="D8374" s="5" t="s">
        <v>12961</v>
      </c>
      <c r="E8374" s="43">
        <v>25000</v>
      </c>
      <c r="F8374" s="43"/>
      <c r="G8374" s="48">
        <f t="shared" si="213"/>
        <v>319849.52150537609</v>
      </c>
      <c r="H8374" s="388" t="s">
        <v>9567</v>
      </c>
    </row>
    <row r="8375" spans="1:13" x14ac:dyDescent="0.3">
      <c r="A8375" s="45">
        <v>45306</v>
      </c>
      <c r="B8375" s="396" t="s">
        <v>12133</v>
      </c>
      <c r="C8375" s="5" t="s">
        <v>12826</v>
      </c>
      <c r="D8375" s="5" t="s">
        <v>12962</v>
      </c>
      <c r="E8375" s="43">
        <v>40000</v>
      </c>
      <c r="F8375" s="43"/>
      <c r="G8375" s="48">
        <f t="shared" si="213"/>
        <v>279849.52150537609</v>
      </c>
      <c r="H8375" s="388" t="s">
        <v>9567</v>
      </c>
    </row>
    <row r="8376" spans="1:13" x14ac:dyDescent="0.3">
      <c r="A8376" s="45">
        <v>45301</v>
      </c>
      <c r="B8376" s="396" t="s">
        <v>12133</v>
      </c>
      <c r="C8376" s="509" t="s">
        <v>11174</v>
      </c>
      <c r="D8376" s="509" t="s">
        <v>12954</v>
      </c>
      <c r="E8376" s="511">
        <v>6000</v>
      </c>
      <c r="F8376" s="43"/>
      <c r="G8376" s="48">
        <f t="shared" si="213"/>
        <v>273849.52150537609</v>
      </c>
      <c r="H8376" s="388" t="s">
        <v>9567</v>
      </c>
    </row>
    <row r="8377" spans="1:13" x14ac:dyDescent="0.3">
      <c r="A8377" s="45">
        <v>45301</v>
      </c>
      <c r="B8377" s="396" t="s">
        <v>25</v>
      </c>
      <c r="C8377" s="5" t="s">
        <v>26</v>
      </c>
      <c r="D8377" s="5" t="s">
        <v>12963</v>
      </c>
      <c r="E8377" s="43">
        <v>25000</v>
      </c>
      <c r="F8377" s="43"/>
      <c r="G8377" s="48">
        <f t="shared" si="213"/>
        <v>248849.52150537609</v>
      </c>
      <c r="H8377" s="388" t="s">
        <v>9567</v>
      </c>
    </row>
    <row r="8378" spans="1:13" x14ac:dyDescent="0.3">
      <c r="A8378" s="45">
        <v>45301</v>
      </c>
      <c r="B8378" s="396" t="s">
        <v>5958</v>
      </c>
      <c r="C8378" s="5" t="s">
        <v>4550</v>
      </c>
      <c r="D8378" s="5" t="s">
        <v>12961</v>
      </c>
      <c r="E8378" s="43">
        <v>10000</v>
      </c>
      <c r="F8378" s="43"/>
      <c r="G8378" s="48">
        <f t="shared" si="213"/>
        <v>238849.52150537609</v>
      </c>
      <c r="H8378" s="388" t="s">
        <v>9567</v>
      </c>
    </row>
    <row r="8379" spans="1:13" x14ac:dyDescent="0.3">
      <c r="A8379" s="45">
        <v>45301</v>
      </c>
      <c r="B8379" s="396" t="s">
        <v>12636</v>
      </c>
      <c r="C8379" s="5" t="s">
        <v>9643</v>
      </c>
      <c r="D8379" s="124" t="s">
        <v>12964</v>
      </c>
      <c r="E8379" s="43">
        <v>88000</v>
      </c>
      <c r="F8379" s="43"/>
      <c r="G8379" s="48">
        <f t="shared" si="213"/>
        <v>150849.52150537609</v>
      </c>
      <c r="H8379" s="388" t="s">
        <v>9567</v>
      </c>
      <c r="L8379" s="4">
        <v>15000</v>
      </c>
    </row>
    <row r="8380" spans="1:13" x14ac:dyDescent="0.3">
      <c r="A8380" s="45">
        <v>45301</v>
      </c>
      <c r="B8380" s="396" t="s">
        <v>25</v>
      </c>
      <c r="C8380" s="5" t="s">
        <v>25</v>
      </c>
      <c r="D8380" s="124" t="s">
        <v>13016</v>
      </c>
      <c r="E8380" s="43">
        <v>850</v>
      </c>
      <c r="F8380" s="43"/>
      <c r="G8380" s="48">
        <f t="shared" si="213"/>
        <v>149999.52150537609</v>
      </c>
      <c r="H8380" s="388" t="s">
        <v>9567</v>
      </c>
    </row>
    <row r="8381" spans="1:13" x14ac:dyDescent="0.3">
      <c r="A8381" s="45">
        <v>45301</v>
      </c>
      <c r="B8381" s="396" t="s">
        <v>12133</v>
      </c>
      <c r="C8381" s="5" t="s">
        <v>26</v>
      </c>
      <c r="D8381" s="5" t="s">
        <v>12965</v>
      </c>
      <c r="E8381" s="43">
        <v>1000</v>
      </c>
      <c r="F8381" s="43"/>
      <c r="G8381" s="48">
        <f t="shared" si="213"/>
        <v>148999.52150537609</v>
      </c>
      <c r="H8381" s="388" t="s">
        <v>9567</v>
      </c>
      <c r="L8381" s="4">
        <v>20000</v>
      </c>
    </row>
    <row r="8382" spans="1:13" x14ac:dyDescent="0.3">
      <c r="A8382" s="45">
        <v>45301</v>
      </c>
      <c r="B8382" s="396"/>
      <c r="C8382" s="5" t="s">
        <v>84</v>
      </c>
      <c r="D8382" s="5" t="s">
        <v>12981</v>
      </c>
      <c r="E8382" s="43">
        <v>12000</v>
      </c>
      <c r="F8382" s="43"/>
      <c r="G8382" s="48">
        <f t="shared" si="213"/>
        <v>136999.52150537609</v>
      </c>
      <c r="H8382" s="388" t="s">
        <v>9567</v>
      </c>
      <c r="L8382" s="4">
        <v>600000</v>
      </c>
      <c r="M8382" s="4">
        <f>L8382+L8381+L8379</f>
        <v>635000</v>
      </c>
    </row>
    <row r="8383" spans="1:13" x14ac:dyDescent="0.3">
      <c r="A8383" s="45">
        <v>45301</v>
      </c>
      <c r="B8383" s="396" t="s">
        <v>12133</v>
      </c>
      <c r="C8383" s="5" t="s">
        <v>107</v>
      </c>
      <c r="D8383" s="5" t="s">
        <v>5813</v>
      </c>
      <c r="E8383" s="43">
        <v>1000</v>
      </c>
      <c r="F8383" s="43"/>
      <c r="G8383" s="48">
        <f t="shared" si="213"/>
        <v>135999.52150537609</v>
      </c>
      <c r="H8383" s="388" t="s">
        <v>9567</v>
      </c>
      <c r="I8383" s="52">
        <v>12</v>
      </c>
      <c r="J8383" s="52" t="s">
        <v>12982</v>
      </c>
      <c r="K8383" s="52">
        <v>80000</v>
      </c>
    </row>
    <row r="8384" spans="1:13" x14ac:dyDescent="0.3">
      <c r="A8384" s="45">
        <v>45301</v>
      </c>
      <c r="B8384" s="396" t="s">
        <v>12133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13081</v>
      </c>
      <c r="E8385" s="43">
        <v>15000</v>
      </c>
      <c r="F8385" s="43"/>
      <c r="G8385" s="48">
        <f t="shared" si="213"/>
        <v>116999.52150537609</v>
      </c>
      <c r="H8385" s="388" t="s">
        <v>9567</v>
      </c>
      <c r="I8385" s="52">
        <v>12</v>
      </c>
      <c r="J8385" s="52" t="s">
        <v>12983</v>
      </c>
      <c r="K8385" s="52">
        <v>30000</v>
      </c>
    </row>
    <row r="8386" spans="1:12" x14ac:dyDescent="0.3">
      <c r="A8386" s="45">
        <v>45301</v>
      </c>
      <c r="B8386" s="396" t="s">
        <v>12079</v>
      </c>
      <c r="C8386" s="39" t="s">
        <v>54</v>
      </c>
      <c r="D8386" s="5" t="s">
        <v>12966</v>
      </c>
      <c r="E8386" s="43">
        <v>25000</v>
      </c>
      <c r="F8386" s="43"/>
      <c r="G8386" s="48">
        <f t="shared" si="213"/>
        <v>91999.521505376091</v>
      </c>
      <c r="H8386" s="388" t="s">
        <v>9567</v>
      </c>
      <c r="I8386" s="52">
        <v>12</v>
      </c>
      <c r="J8386" s="52" t="s">
        <v>12984</v>
      </c>
      <c r="K8386" s="52">
        <v>114000</v>
      </c>
    </row>
    <row r="8387" spans="1:12" x14ac:dyDescent="0.3">
      <c r="A8387" s="45">
        <v>45301</v>
      </c>
      <c r="B8387" s="396" t="s">
        <v>12079</v>
      </c>
      <c r="C8387" s="39" t="s">
        <v>54</v>
      </c>
      <c r="D8387" s="5" t="s">
        <v>12967</v>
      </c>
      <c r="E8387" s="43">
        <v>25000</v>
      </c>
      <c r="F8387" s="43"/>
      <c r="G8387" s="48">
        <f t="shared" si="213"/>
        <v>66999.521505376091</v>
      </c>
      <c r="H8387" s="388" t="s">
        <v>9567</v>
      </c>
      <c r="I8387" s="52">
        <v>12</v>
      </c>
      <c r="J8387" s="52" t="s">
        <v>12985</v>
      </c>
      <c r="K8387" s="52">
        <v>4000</v>
      </c>
    </row>
    <row r="8388" spans="1:12" x14ac:dyDescent="0.3">
      <c r="A8388" s="45">
        <v>45301</v>
      </c>
      <c r="B8388" s="396" t="s">
        <v>12079</v>
      </c>
      <c r="C8388" s="39" t="s">
        <v>54</v>
      </c>
      <c r="D8388" s="5" t="s">
        <v>12968</v>
      </c>
      <c r="E8388" s="43">
        <v>25000</v>
      </c>
      <c r="F8388" s="43"/>
      <c r="G8388" s="48">
        <f t="shared" si="213"/>
        <v>41999.521505376091</v>
      </c>
      <c r="H8388" s="388" t="s">
        <v>9567</v>
      </c>
      <c r="I8388" s="52">
        <v>12</v>
      </c>
      <c r="J8388" s="52" t="s">
        <v>12986</v>
      </c>
      <c r="K8388" s="52">
        <v>2000</v>
      </c>
    </row>
    <row r="8389" spans="1:12" x14ac:dyDescent="0.3">
      <c r="A8389" s="45">
        <v>45301</v>
      </c>
      <c r="B8389" s="396" t="s">
        <v>12079</v>
      </c>
      <c r="C8389" s="39" t="s">
        <v>54</v>
      </c>
      <c r="D8389" s="5" t="s">
        <v>12969</v>
      </c>
      <c r="E8389" s="43">
        <v>25000</v>
      </c>
      <c r="F8389" s="43"/>
      <c r="G8389" s="48">
        <f t="shared" si="213"/>
        <v>16999.521505376091</v>
      </c>
      <c r="H8389" s="388" t="s">
        <v>9567</v>
      </c>
      <c r="I8389" s="52">
        <v>12</v>
      </c>
      <c r="J8389" s="52" t="s">
        <v>12987</v>
      </c>
      <c r="K8389" s="52">
        <v>850</v>
      </c>
    </row>
    <row r="8390" spans="1:12" x14ac:dyDescent="0.3">
      <c r="A8390" s="45">
        <v>45301</v>
      </c>
      <c r="B8390" s="396" t="s">
        <v>12133</v>
      </c>
      <c r="C8390" s="509" t="s">
        <v>11174</v>
      </c>
      <c r="D8390" s="509" t="s">
        <v>12954</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12988</v>
      </c>
      <c r="K8391" s="52">
        <v>500</v>
      </c>
    </row>
    <row r="8392" spans="1:12" x14ac:dyDescent="0.3">
      <c r="A8392" s="45">
        <v>45301</v>
      </c>
      <c r="B8392" s="396"/>
      <c r="C8392" s="5" t="s">
        <v>84</v>
      </c>
      <c r="D8392" s="5" t="s">
        <v>13031</v>
      </c>
      <c r="E8392" s="43">
        <v>5000</v>
      </c>
      <c r="F8392" s="43"/>
      <c r="G8392" s="48">
        <f t="shared" si="213"/>
        <v>-0.47849462390877306</v>
      </c>
      <c r="H8392" s="388" t="s">
        <v>9567</v>
      </c>
      <c r="I8392" s="52">
        <v>12</v>
      </c>
      <c r="J8392" s="52" t="s">
        <v>12988</v>
      </c>
      <c r="K8392" s="52">
        <v>800</v>
      </c>
    </row>
    <row r="8393" spans="1:12" x14ac:dyDescent="0.3">
      <c r="A8393" s="45">
        <v>45303</v>
      </c>
      <c r="B8393" s="565"/>
      <c r="C8393" s="480"/>
      <c r="D8393" s="491" t="s">
        <v>13011</v>
      </c>
      <c r="E8393" s="480"/>
      <c r="F8393" s="43">
        <v>600000</v>
      </c>
      <c r="G8393" s="48">
        <f t="shared" si="213"/>
        <v>599999.52150537609</v>
      </c>
      <c r="H8393" s="388" t="s">
        <v>9567</v>
      </c>
      <c r="I8393" s="52">
        <v>12</v>
      </c>
      <c r="J8393" s="52" t="s">
        <v>12988</v>
      </c>
      <c r="K8393" s="52">
        <v>1000</v>
      </c>
    </row>
    <row r="8394" spans="1:12" x14ac:dyDescent="0.3">
      <c r="A8394" s="45">
        <v>45303</v>
      </c>
      <c r="B8394" s="396" t="s">
        <v>12439</v>
      </c>
      <c r="C8394" s="5" t="s">
        <v>12782</v>
      </c>
      <c r="D8394" s="5" t="s">
        <v>13012</v>
      </c>
      <c r="E8394" s="43">
        <v>80000</v>
      </c>
      <c r="F8394" s="43"/>
      <c r="G8394" s="48">
        <f t="shared" si="213"/>
        <v>519999.52150537609</v>
      </c>
      <c r="H8394" s="388" t="s">
        <v>9567</v>
      </c>
      <c r="I8394" s="52">
        <v>12</v>
      </c>
      <c r="J8394" s="52" t="s">
        <v>12988</v>
      </c>
      <c r="K8394" s="52">
        <v>500</v>
      </c>
    </row>
    <row r="8395" spans="1:12" x14ac:dyDescent="0.3">
      <c r="A8395" s="45">
        <v>45303</v>
      </c>
      <c r="B8395" s="396" t="s">
        <v>12573</v>
      </c>
      <c r="C8395" s="5" t="s">
        <v>12782</v>
      </c>
      <c r="D8395" s="5" t="s">
        <v>13012</v>
      </c>
      <c r="E8395" s="43">
        <v>30000</v>
      </c>
      <c r="F8395" s="43"/>
      <c r="G8395" s="48">
        <f t="shared" si="213"/>
        <v>489999.52150537609</v>
      </c>
      <c r="H8395" s="388" t="s">
        <v>9567</v>
      </c>
      <c r="I8395" s="52">
        <v>12</v>
      </c>
      <c r="J8395" s="52" t="s">
        <v>12989</v>
      </c>
      <c r="K8395" s="52">
        <v>1700</v>
      </c>
      <c r="L8395" s="93"/>
    </row>
    <row r="8396" spans="1:12" x14ac:dyDescent="0.3">
      <c r="A8396" s="45">
        <v>45303</v>
      </c>
      <c r="B8396" s="396" t="s">
        <v>12796</v>
      </c>
      <c r="C8396" s="5" t="s">
        <v>13034</v>
      </c>
      <c r="D8396" s="5" t="s">
        <v>13032</v>
      </c>
      <c r="E8396" s="43">
        <v>114000</v>
      </c>
      <c r="F8396" s="43"/>
      <c r="G8396" s="48">
        <f t="shared" si="213"/>
        <v>375999.52150537609</v>
      </c>
      <c r="H8396" s="388" t="s">
        <v>9567</v>
      </c>
      <c r="I8396" s="52">
        <v>13</v>
      </c>
      <c r="J8396" s="52" t="s">
        <v>12990</v>
      </c>
      <c r="K8396" s="52">
        <v>1700</v>
      </c>
    </row>
    <row r="8397" spans="1:12" x14ac:dyDescent="0.3">
      <c r="A8397" s="45">
        <v>45303</v>
      </c>
      <c r="B8397" s="565"/>
      <c r="C8397" s="480"/>
      <c r="D8397" s="491" t="s">
        <v>13022</v>
      </c>
      <c r="E8397" s="480"/>
      <c r="F8397" s="43">
        <v>35000</v>
      </c>
      <c r="G8397" s="48">
        <f t="shared" si="213"/>
        <v>410999.52150537609</v>
      </c>
      <c r="H8397" s="388" t="s">
        <v>9567</v>
      </c>
      <c r="I8397" s="52">
        <v>13</v>
      </c>
      <c r="J8397" s="52" t="s">
        <v>12996</v>
      </c>
      <c r="K8397" s="52">
        <v>48385</v>
      </c>
    </row>
    <row r="8398" spans="1:12" x14ac:dyDescent="0.3">
      <c r="A8398" s="45">
        <v>45303</v>
      </c>
      <c r="B8398" s="396" t="s">
        <v>25</v>
      </c>
      <c r="C8398" s="5" t="s">
        <v>25</v>
      </c>
      <c r="D8398" s="43" t="s">
        <v>13013</v>
      </c>
      <c r="E8398" s="43">
        <v>4000</v>
      </c>
      <c r="F8398" s="43"/>
      <c r="G8398" s="48">
        <f t="shared" si="213"/>
        <v>406999.52150537609</v>
      </c>
      <c r="H8398" s="388" t="s">
        <v>9567</v>
      </c>
      <c r="I8398" s="52">
        <v>13</v>
      </c>
      <c r="J8398" s="52" t="s">
        <v>25</v>
      </c>
      <c r="K8398" s="52">
        <v>1000</v>
      </c>
    </row>
    <row r="8399" spans="1:12" x14ac:dyDescent="0.3">
      <c r="A8399" s="45">
        <v>45303</v>
      </c>
      <c r="B8399" s="396" t="s">
        <v>12796</v>
      </c>
      <c r="C8399" s="5" t="s">
        <v>30</v>
      </c>
      <c r="D8399" s="5" t="s">
        <v>10637</v>
      </c>
      <c r="E8399" s="43">
        <v>2000</v>
      </c>
      <c r="F8399" s="43"/>
      <c r="G8399" s="48">
        <f t="shared" si="213"/>
        <v>404999.52150537609</v>
      </c>
      <c r="H8399" s="388" t="s">
        <v>9567</v>
      </c>
      <c r="I8399" s="52">
        <v>13</v>
      </c>
      <c r="J8399" s="52" t="s">
        <v>12991</v>
      </c>
      <c r="K8399" s="52">
        <v>250</v>
      </c>
    </row>
    <row r="8400" spans="1:12" x14ac:dyDescent="0.3">
      <c r="A8400" s="45">
        <v>45303</v>
      </c>
      <c r="B8400" s="396" t="s">
        <v>12079</v>
      </c>
      <c r="C8400" s="39" t="s">
        <v>54</v>
      </c>
      <c r="D8400" s="5" t="s">
        <v>13014</v>
      </c>
      <c r="E8400" s="43">
        <v>35050</v>
      </c>
      <c r="F8400" s="43"/>
      <c r="G8400" s="48">
        <f t="shared" si="213"/>
        <v>369949.52150537609</v>
      </c>
      <c r="H8400" s="388" t="s">
        <v>9567</v>
      </c>
      <c r="I8400" s="52">
        <v>13</v>
      </c>
      <c r="J8400" s="52" t="s">
        <v>12992</v>
      </c>
      <c r="K8400" s="52">
        <v>85000</v>
      </c>
    </row>
    <row r="8401" spans="1:12" x14ac:dyDescent="0.3">
      <c r="A8401" s="45">
        <v>45303</v>
      </c>
      <c r="B8401" s="396" t="s">
        <v>12573</v>
      </c>
      <c r="C8401" s="5" t="s">
        <v>7737</v>
      </c>
      <c r="D8401" s="5" t="s">
        <v>40</v>
      </c>
      <c r="E8401" s="43">
        <v>850</v>
      </c>
      <c r="F8401" s="43"/>
      <c r="G8401" s="48">
        <f t="shared" si="213"/>
        <v>369099.52150537609</v>
      </c>
      <c r="H8401" s="388" t="s">
        <v>9567</v>
      </c>
      <c r="I8401" s="52">
        <v>15</v>
      </c>
      <c r="J8401" s="52" t="s">
        <v>12984</v>
      </c>
      <c r="K8401" s="52">
        <v>108000</v>
      </c>
      <c r="L8401" s="93">
        <f>K8400+K8399+K8398+K8397+K8396</f>
        <v>136335</v>
      </c>
    </row>
    <row r="8402" spans="1:12" x14ac:dyDescent="0.3">
      <c r="A8402" s="45">
        <v>45303</v>
      </c>
      <c r="B8402" s="396" t="s">
        <v>12796</v>
      </c>
      <c r="C8402" s="5" t="s">
        <v>5793</v>
      </c>
      <c r="D8402" s="5" t="s">
        <v>13015</v>
      </c>
      <c r="E8402" s="43">
        <v>5550</v>
      </c>
      <c r="F8402" s="43"/>
      <c r="G8402" s="48">
        <f t="shared" si="213"/>
        <v>363549.52150537609</v>
      </c>
      <c r="H8402" s="388" t="s">
        <v>9567</v>
      </c>
      <c r="I8402" s="52">
        <v>15</v>
      </c>
      <c r="J8402" s="52" t="s">
        <v>12989</v>
      </c>
      <c r="K8402" s="52">
        <v>250</v>
      </c>
    </row>
    <row r="8403" spans="1:12" x14ac:dyDescent="0.3">
      <c r="A8403" s="45">
        <v>45304</v>
      </c>
      <c r="B8403" s="396" t="s">
        <v>12636</v>
      </c>
      <c r="C8403" s="5" t="s">
        <v>5793</v>
      </c>
      <c r="D8403" s="5" t="s">
        <v>13015</v>
      </c>
      <c r="E8403" s="43">
        <v>3500</v>
      </c>
      <c r="F8403" s="43"/>
      <c r="G8403" s="48">
        <f t="shared" si="213"/>
        <v>360049.52150537609</v>
      </c>
      <c r="H8403" s="388" t="s">
        <v>9567</v>
      </c>
      <c r="I8403" s="52">
        <v>15</v>
      </c>
      <c r="J8403" s="52" t="s">
        <v>12989</v>
      </c>
      <c r="K8403" s="52">
        <v>500</v>
      </c>
    </row>
    <row r="8404" spans="1:12" x14ac:dyDescent="0.3">
      <c r="A8404" s="45">
        <v>45304</v>
      </c>
      <c r="B8404" s="396" t="s">
        <v>12086</v>
      </c>
      <c r="C8404" s="39" t="s">
        <v>54</v>
      </c>
      <c r="D8404" s="5" t="s">
        <v>12996</v>
      </c>
      <c r="E8404" s="43">
        <v>48385</v>
      </c>
      <c r="F8404" s="43"/>
      <c r="G8404" s="48">
        <f t="shared" si="213"/>
        <v>311664.52150537609</v>
      </c>
      <c r="H8404" s="388" t="s">
        <v>9567</v>
      </c>
      <c r="I8404" s="52">
        <v>15</v>
      </c>
      <c r="J8404" s="52" t="s">
        <v>12989</v>
      </c>
      <c r="K8404" s="52">
        <v>300</v>
      </c>
    </row>
    <row r="8405" spans="1:12" x14ac:dyDescent="0.3">
      <c r="A8405" s="45">
        <v>45304</v>
      </c>
      <c r="B8405" s="396" t="s">
        <v>12796</v>
      </c>
      <c r="C8405" s="5" t="s">
        <v>11174</v>
      </c>
      <c r="D8405" s="5" t="s">
        <v>13017</v>
      </c>
      <c r="E8405" s="43">
        <v>85000</v>
      </c>
      <c r="F8405" s="43"/>
      <c r="G8405" s="48">
        <f t="shared" si="213"/>
        <v>226664.52150537609</v>
      </c>
      <c r="H8405" s="388" t="s">
        <v>9567</v>
      </c>
      <c r="I8405" s="52">
        <v>15</v>
      </c>
      <c r="J8405" s="52" t="s">
        <v>12993</v>
      </c>
      <c r="K8405" s="52">
        <v>19000</v>
      </c>
    </row>
    <row r="8406" spans="1:12" x14ac:dyDescent="0.3">
      <c r="A8406" s="45">
        <v>45306</v>
      </c>
      <c r="B8406" s="396" t="s">
        <v>12796</v>
      </c>
      <c r="C8406" s="5" t="s">
        <v>13033</v>
      </c>
      <c r="D8406" s="5" t="s">
        <v>13032</v>
      </c>
      <c r="E8406" s="43">
        <v>108000</v>
      </c>
      <c r="F8406" s="43"/>
      <c r="G8406" s="48">
        <f t="shared" si="213"/>
        <v>118664.52150537609</v>
      </c>
      <c r="H8406" s="388" t="s">
        <v>9567</v>
      </c>
      <c r="I8406" s="52">
        <v>15</v>
      </c>
      <c r="J8406" s="52" t="s">
        <v>12994</v>
      </c>
      <c r="K8406" s="52">
        <v>400</v>
      </c>
    </row>
    <row r="8407" spans="1:12" x14ac:dyDescent="0.3">
      <c r="A8407" s="45">
        <v>45306</v>
      </c>
      <c r="B8407" s="396" t="s">
        <v>12439</v>
      </c>
      <c r="C8407" s="5" t="s">
        <v>12782</v>
      </c>
      <c r="D8407" s="5" t="s">
        <v>13012</v>
      </c>
      <c r="E8407" s="43">
        <v>19000</v>
      </c>
      <c r="F8407" s="43"/>
      <c r="G8407" s="48">
        <f t="shared" si="213"/>
        <v>99664.521505376091</v>
      </c>
      <c r="H8407" s="388" t="s">
        <v>9567</v>
      </c>
      <c r="I8407" s="52">
        <v>15</v>
      </c>
      <c r="J8407" s="52" t="s">
        <v>12995</v>
      </c>
      <c r="K8407" s="52">
        <v>4100</v>
      </c>
    </row>
    <row r="8408" spans="1:12" x14ac:dyDescent="0.3">
      <c r="A8408" s="45">
        <v>45306</v>
      </c>
      <c r="B8408" s="396" t="s">
        <v>12796</v>
      </c>
      <c r="C8408" s="5" t="s">
        <v>11174</v>
      </c>
      <c r="D8408" s="5" t="s">
        <v>13018</v>
      </c>
      <c r="E8408" s="43">
        <v>4100</v>
      </c>
      <c r="F8408" s="43"/>
      <c r="G8408" s="48">
        <f t="shared" si="213"/>
        <v>95564.521505376091</v>
      </c>
      <c r="H8408" s="388" t="s">
        <v>9567</v>
      </c>
      <c r="I8408" s="52">
        <v>15</v>
      </c>
      <c r="J8408" s="52" t="s">
        <v>12986</v>
      </c>
      <c r="K8408" s="52">
        <v>1000</v>
      </c>
    </row>
    <row r="8409" spans="1:12" x14ac:dyDescent="0.3">
      <c r="A8409" s="45">
        <v>45306</v>
      </c>
      <c r="B8409" s="396" t="s">
        <v>12796</v>
      </c>
      <c r="C8409" s="5" t="s">
        <v>30</v>
      </c>
      <c r="D8409" s="5" t="s">
        <v>10637</v>
      </c>
      <c r="E8409" s="43">
        <v>1000</v>
      </c>
      <c r="F8409" s="43"/>
      <c r="G8409" s="48">
        <f t="shared" si="213"/>
        <v>94564.521505376091</v>
      </c>
      <c r="H8409" s="388" t="s">
        <v>9567</v>
      </c>
      <c r="I8409" s="52">
        <v>15</v>
      </c>
      <c r="J8409" s="52" t="s">
        <v>12997</v>
      </c>
      <c r="K8409" s="52">
        <v>5900</v>
      </c>
    </row>
    <row r="8410" spans="1:12" x14ac:dyDescent="0.3">
      <c r="A8410" s="45">
        <v>45306</v>
      </c>
      <c r="B8410" s="396" t="s">
        <v>12796</v>
      </c>
      <c r="C8410" s="5" t="s">
        <v>11174</v>
      </c>
      <c r="D8410" s="5" t="s">
        <v>13019</v>
      </c>
      <c r="E8410" s="43">
        <v>5900</v>
      </c>
      <c r="F8410" s="43"/>
      <c r="G8410" s="48">
        <f t="shared" si="213"/>
        <v>88664.521505376091</v>
      </c>
      <c r="H8410" s="388" t="s">
        <v>9567</v>
      </c>
      <c r="I8410" s="52">
        <v>15</v>
      </c>
      <c r="J8410" s="52" t="s">
        <v>12998</v>
      </c>
      <c r="K8410" s="52">
        <v>400</v>
      </c>
    </row>
    <row r="8411" spans="1:12" x14ac:dyDescent="0.3">
      <c r="A8411" s="45">
        <v>45306</v>
      </c>
      <c r="B8411" s="396" t="s">
        <v>12796</v>
      </c>
      <c r="C8411" s="5" t="s">
        <v>5793</v>
      </c>
      <c r="D8411" s="5" t="s">
        <v>13015</v>
      </c>
      <c r="E8411" s="43">
        <v>2000</v>
      </c>
      <c r="F8411" s="43"/>
      <c r="G8411" s="48">
        <f t="shared" si="213"/>
        <v>86664.521505376091</v>
      </c>
      <c r="H8411" s="388" t="s">
        <v>9567</v>
      </c>
      <c r="I8411" s="52">
        <v>15</v>
      </c>
      <c r="J8411" s="52" t="s">
        <v>12998</v>
      </c>
      <c r="K8411" s="52">
        <v>800</v>
      </c>
    </row>
    <row r="8412" spans="1:12" x14ac:dyDescent="0.3">
      <c r="A8412" s="45">
        <v>45306</v>
      </c>
      <c r="B8412" s="396" t="s">
        <v>12796</v>
      </c>
      <c r="C8412" s="5" t="s">
        <v>9451</v>
      </c>
      <c r="D8412" s="5" t="s">
        <v>13020</v>
      </c>
      <c r="E8412" s="43">
        <v>1000</v>
      </c>
      <c r="F8412" s="43"/>
      <c r="G8412" s="48">
        <f t="shared" si="213"/>
        <v>85664.521505376091</v>
      </c>
      <c r="H8412" s="388" t="s">
        <v>9567</v>
      </c>
      <c r="I8412" s="52">
        <v>15</v>
      </c>
      <c r="J8412" s="52" t="s">
        <v>12999</v>
      </c>
      <c r="K8412" s="52">
        <v>1030</v>
      </c>
    </row>
    <row r="8413" spans="1:12" x14ac:dyDescent="0.3">
      <c r="A8413" s="45">
        <v>45306</v>
      </c>
      <c r="B8413" s="396" t="s">
        <v>25</v>
      </c>
      <c r="C8413" s="5" t="s">
        <v>25</v>
      </c>
      <c r="D8413" s="124" t="s">
        <v>13016</v>
      </c>
      <c r="E8413" s="43">
        <v>2000</v>
      </c>
      <c r="F8413" s="43"/>
      <c r="G8413" s="48">
        <f t="shared" si="213"/>
        <v>83664.521505376091</v>
      </c>
      <c r="H8413" s="388" t="s">
        <v>9567</v>
      </c>
      <c r="I8413" s="52">
        <v>15</v>
      </c>
      <c r="J8413" s="52" t="s">
        <v>25</v>
      </c>
      <c r="K8413" s="52">
        <v>1000</v>
      </c>
    </row>
    <row r="8414" spans="1:12" x14ac:dyDescent="0.3">
      <c r="A8414" s="45">
        <v>45306</v>
      </c>
      <c r="B8414" s="396" t="s">
        <v>12086</v>
      </c>
      <c r="C8414" s="5" t="s">
        <v>5793</v>
      </c>
      <c r="D8414" s="5" t="s">
        <v>40</v>
      </c>
      <c r="E8414" s="43">
        <v>3000</v>
      </c>
      <c r="F8414" s="43"/>
      <c r="G8414" s="48">
        <f t="shared" si="213"/>
        <v>80664.521505376091</v>
      </c>
      <c r="H8414" s="388" t="s">
        <v>9567</v>
      </c>
      <c r="I8414" s="52">
        <v>15</v>
      </c>
      <c r="J8414" s="52" t="s">
        <v>12994</v>
      </c>
      <c r="K8414" s="52">
        <v>250</v>
      </c>
    </row>
    <row r="8415" spans="1:12" x14ac:dyDescent="0.3">
      <c r="A8415" s="45">
        <v>45306</v>
      </c>
      <c r="B8415" s="396" t="s">
        <v>12086</v>
      </c>
      <c r="C8415" s="5" t="s">
        <v>5793</v>
      </c>
      <c r="D8415" s="5" t="s">
        <v>13021</v>
      </c>
      <c r="E8415" s="43">
        <v>5100</v>
      </c>
      <c r="F8415" s="43"/>
      <c r="G8415" s="48">
        <f t="shared" si="213"/>
        <v>75564.521505376091</v>
      </c>
      <c r="H8415" s="388" t="s">
        <v>9567</v>
      </c>
      <c r="I8415" s="52">
        <v>15</v>
      </c>
      <c r="J8415" s="52" t="s">
        <v>12998</v>
      </c>
      <c r="K8415" s="52">
        <v>450</v>
      </c>
    </row>
    <row r="8416" spans="1:12" x14ac:dyDescent="0.3">
      <c r="A8416" s="45">
        <v>45307</v>
      </c>
      <c r="B8416" s="396" t="s">
        <v>12796</v>
      </c>
      <c r="C8416" s="5" t="s">
        <v>11174</v>
      </c>
      <c r="D8416" s="5" t="s">
        <v>13023</v>
      </c>
      <c r="E8416" s="43">
        <v>8500</v>
      </c>
      <c r="F8416" s="43"/>
      <c r="G8416" s="48">
        <f t="shared" si="213"/>
        <v>67064.521505376091</v>
      </c>
      <c r="H8416" s="388" t="s">
        <v>9567</v>
      </c>
      <c r="I8416" s="52">
        <v>15</v>
      </c>
      <c r="J8416" s="52" t="s">
        <v>25</v>
      </c>
      <c r="K8416" s="52">
        <v>650</v>
      </c>
    </row>
    <row r="8417" spans="1:11" x14ac:dyDescent="0.3">
      <c r="A8417" s="45">
        <v>45307</v>
      </c>
      <c r="B8417" s="396" t="s">
        <v>12796</v>
      </c>
      <c r="C8417" s="5" t="s">
        <v>5793</v>
      </c>
      <c r="D8417" s="5" t="s">
        <v>13015</v>
      </c>
      <c r="E8417" s="43">
        <v>2500</v>
      </c>
      <c r="F8417" s="43"/>
      <c r="G8417" s="48">
        <f t="shared" si="213"/>
        <v>64564.521505376091</v>
      </c>
      <c r="H8417" s="388" t="s">
        <v>9567</v>
      </c>
      <c r="I8417" s="52">
        <v>15</v>
      </c>
      <c r="J8417" s="52" t="s">
        <v>12998</v>
      </c>
      <c r="K8417" s="52">
        <v>1900</v>
      </c>
    </row>
    <row r="8418" spans="1:11" x14ac:dyDescent="0.3">
      <c r="A8418" s="45">
        <v>45307</v>
      </c>
      <c r="B8418" s="396" t="s">
        <v>12086</v>
      </c>
      <c r="C8418" s="5" t="s">
        <v>11174</v>
      </c>
      <c r="D8418" s="43" t="s">
        <v>13003</v>
      </c>
      <c r="E8418" s="43">
        <v>1900</v>
      </c>
      <c r="F8418" s="43"/>
      <c r="G8418" s="48">
        <f t="shared" si="213"/>
        <v>62664.521505376091</v>
      </c>
      <c r="H8418" s="388" t="s">
        <v>9567</v>
      </c>
      <c r="I8418" s="52">
        <v>15</v>
      </c>
      <c r="J8418" s="52" t="s">
        <v>13000</v>
      </c>
      <c r="K8418" s="52">
        <v>5100</v>
      </c>
    </row>
    <row r="8419" spans="1:11" x14ac:dyDescent="0.3">
      <c r="A8419" s="45">
        <v>45307</v>
      </c>
      <c r="B8419" s="396" t="s">
        <v>12230</v>
      </c>
      <c r="C8419" s="5" t="s">
        <v>26</v>
      </c>
      <c r="D8419" s="43" t="s">
        <v>11431</v>
      </c>
      <c r="E8419" s="43">
        <v>900</v>
      </c>
      <c r="F8419" s="43"/>
      <c r="G8419" s="48">
        <f t="shared" si="213"/>
        <v>61764.521505376091</v>
      </c>
      <c r="H8419" s="388" t="s">
        <v>9567</v>
      </c>
      <c r="I8419" s="52">
        <v>16</v>
      </c>
      <c r="J8419" s="52" t="s">
        <v>13001</v>
      </c>
      <c r="K8419" s="52">
        <v>8500</v>
      </c>
    </row>
    <row r="8420" spans="1:11" x14ac:dyDescent="0.3">
      <c r="A8420" s="45">
        <v>45307</v>
      </c>
      <c r="B8420" s="396" t="s">
        <v>12796</v>
      </c>
      <c r="C8420" s="5" t="s">
        <v>9794</v>
      </c>
      <c r="D8420" s="43" t="s">
        <v>51</v>
      </c>
      <c r="E8420" s="43">
        <v>3940</v>
      </c>
      <c r="F8420" s="43"/>
      <c r="G8420" s="48">
        <f t="shared" ref="G8420:G8486" si="214">G8419+F8420-E8420</f>
        <v>57824.521505376091</v>
      </c>
      <c r="H8420" s="388" t="s">
        <v>9567</v>
      </c>
      <c r="I8420" s="52">
        <v>16</v>
      </c>
      <c r="J8420" s="52" t="s">
        <v>13002</v>
      </c>
      <c r="K8420" s="52">
        <v>1000</v>
      </c>
    </row>
    <row r="8421" spans="1:11" x14ac:dyDescent="0.3">
      <c r="A8421" s="45">
        <v>45307</v>
      </c>
      <c r="B8421" s="396" t="s">
        <v>12796</v>
      </c>
      <c r="C8421" s="5" t="s">
        <v>5793</v>
      </c>
      <c r="D8421" s="5" t="s">
        <v>13024</v>
      </c>
      <c r="E8421" s="43">
        <v>1500</v>
      </c>
      <c r="F8421" s="43"/>
      <c r="G8421" s="48">
        <f t="shared" si="214"/>
        <v>56324.521505376091</v>
      </c>
      <c r="H8421" s="388" t="s">
        <v>9567</v>
      </c>
      <c r="I8421" s="52">
        <v>16</v>
      </c>
      <c r="J8421" s="52" t="s">
        <v>12989</v>
      </c>
      <c r="K8421" s="52">
        <v>1100</v>
      </c>
    </row>
    <row r="8422" spans="1:11" x14ac:dyDescent="0.3">
      <c r="A8422" s="45">
        <v>45308</v>
      </c>
      <c r="B8422" s="396" t="s">
        <v>25</v>
      </c>
      <c r="C8422" s="5" t="s">
        <v>25</v>
      </c>
      <c r="D8422" s="124" t="s">
        <v>13016</v>
      </c>
      <c r="E8422" s="43">
        <v>4000</v>
      </c>
      <c r="F8422" s="43"/>
      <c r="G8422" s="48">
        <f t="shared" si="214"/>
        <v>52324.521505376091</v>
      </c>
      <c r="H8422" s="388" t="s">
        <v>9567</v>
      </c>
      <c r="I8422" s="52">
        <v>16</v>
      </c>
      <c r="J8422" s="52" t="s">
        <v>25</v>
      </c>
      <c r="K8422" s="52">
        <v>1000</v>
      </c>
    </row>
    <row r="8423" spans="1:11" x14ac:dyDescent="0.3">
      <c r="A8423" s="45">
        <v>45308</v>
      </c>
      <c r="B8423" s="396" t="s">
        <v>12086</v>
      </c>
      <c r="C8423" s="509" t="s">
        <v>11174</v>
      </c>
      <c r="D8423" s="509" t="s">
        <v>13115</v>
      </c>
      <c r="E8423" s="511">
        <v>20300</v>
      </c>
      <c r="F8423" s="43"/>
      <c r="G8423" s="48">
        <f t="shared" si="214"/>
        <v>32024.521505376091</v>
      </c>
      <c r="H8423" s="388" t="s">
        <v>9567</v>
      </c>
      <c r="I8423" s="52">
        <v>16</v>
      </c>
      <c r="J8423" s="52" t="s">
        <v>13003</v>
      </c>
      <c r="K8423" s="52">
        <v>1900</v>
      </c>
    </row>
    <row r="8424" spans="1:11" x14ac:dyDescent="0.3">
      <c r="A8424" s="45">
        <v>45309</v>
      </c>
      <c r="B8424" s="396" t="s">
        <v>12573</v>
      </c>
      <c r="C8424" s="5" t="s">
        <v>12379</v>
      </c>
      <c r="D8424" s="5" t="s">
        <v>13035</v>
      </c>
      <c r="E8424" s="43">
        <v>4500</v>
      </c>
      <c r="F8424" s="43"/>
      <c r="G8424" s="48">
        <f t="shared" si="214"/>
        <v>27524.521505376091</v>
      </c>
      <c r="H8424" s="388" t="s">
        <v>9567</v>
      </c>
      <c r="I8424" s="52">
        <v>16</v>
      </c>
      <c r="J8424" s="52" t="s">
        <v>11431</v>
      </c>
      <c r="K8424" s="52">
        <v>900</v>
      </c>
    </row>
    <row r="8425" spans="1:11" x14ac:dyDescent="0.3">
      <c r="A8425" s="45">
        <v>45309</v>
      </c>
      <c r="B8425" s="396"/>
      <c r="C8425" s="5" t="s">
        <v>14</v>
      </c>
      <c r="D8425" s="5" t="s">
        <v>13025</v>
      </c>
      <c r="E8425" s="43">
        <v>10000</v>
      </c>
      <c r="F8425" s="43"/>
      <c r="G8425" s="48">
        <f t="shared" si="214"/>
        <v>17524.521505376091</v>
      </c>
      <c r="H8425" s="388" t="s">
        <v>9567</v>
      </c>
      <c r="I8425" s="52">
        <v>16</v>
      </c>
      <c r="J8425" s="52" t="s">
        <v>51</v>
      </c>
      <c r="K8425" s="52">
        <v>3940</v>
      </c>
    </row>
    <row r="8426" spans="1:11" x14ac:dyDescent="0.3">
      <c r="A8426" s="45">
        <v>45309</v>
      </c>
      <c r="B8426" s="396" t="s">
        <v>13026</v>
      </c>
      <c r="C8426" s="5" t="s">
        <v>11174</v>
      </c>
      <c r="D8426" s="5" t="s">
        <v>13036</v>
      </c>
      <c r="E8426" s="43">
        <v>1000</v>
      </c>
      <c r="F8426" s="43"/>
      <c r="G8426" s="48">
        <f t="shared" si="214"/>
        <v>16524.521505376091</v>
      </c>
      <c r="H8426" s="388" t="s">
        <v>9567</v>
      </c>
      <c r="I8426" s="52">
        <v>16</v>
      </c>
      <c r="J8426" s="52" t="s">
        <v>12989</v>
      </c>
      <c r="K8426" s="52">
        <v>1700</v>
      </c>
    </row>
    <row r="8427" spans="1:11" x14ac:dyDescent="0.3">
      <c r="A8427" s="45">
        <v>45309</v>
      </c>
      <c r="B8427" s="396" t="s">
        <v>12636</v>
      </c>
      <c r="C8427" s="5" t="s">
        <v>26</v>
      </c>
      <c r="D8427" s="5" t="s">
        <v>13027</v>
      </c>
      <c r="E8427" s="43">
        <v>2500</v>
      </c>
      <c r="F8427" s="43"/>
      <c r="G8427" s="48">
        <f t="shared" si="214"/>
        <v>14024.521505376091</v>
      </c>
      <c r="H8427" s="388" t="s">
        <v>9567</v>
      </c>
      <c r="I8427" s="52">
        <v>17</v>
      </c>
      <c r="J8427" s="52" t="s">
        <v>25</v>
      </c>
      <c r="K8427" s="52">
        <v>4000</v>
      </c>
    </row>
    <row r="8428" spans="1:11" x14ac:dyDescent="0.3">
      <c r="A8428" s="45">
        <v>45309</v>
      </c>
      <c r="B8428" s="396" t="s">
        <v>12086</v>
      </c>
      <c r="C8428" s="5" t="s">
        <v>5793</v>
      </c>
      <c r="D8428" s="5" t="s">
        <v>40</v>
      </c>
      <c r="E8428" s="43">
        <v>2000</v>
      </c>
      <c r="F8428" s="43"/>
      <c r="G8428" s="48">
        <f t="shared" si="214"/>
        <v>12024.521505376091</v>
      </c>
      <c r="H8428" s="388" t="s">
        <v>9567</v>
      </c>
      <c r="I8428" s="52">
        <v>17</v>
      </c>
      <c r="J8428" s="52" t="s">
        <v>13004</v>
      </c>
      <c r="K8428" s="52">
        <v>20300</v>
      </c>
    </row>
    <row r="8429" spans="1:11" x14ac:dyDescent="0.3">
      <c r="A8429" s="45">
        <v>45309</v>
      </c>
      <c r="B8429" s="396"/>
      <c r="C8429" s="5" t="s">
        <v>18</v>
      </c>
      <c r="D8429" s="5" t="s">
        <v>13012</v>
      </c>
      <c r="E8429" s="43">
        <v>1000</v>
      </c>
      <c r="F8429" s="43"/>
      <c r="G8429" s="48">
        <f t="shared" si="214"/>
        <v>11024.521505376091</v>
      </c>
      <c r="H8429" s="388" t="s">
        <v>9567</v>
      </c>
      <c r="I8429" s="52">
        <v>17</v>
      </c>
      <c r="J8429" s="52" t="s">
        <v>13005</v>
      </c>
      <c r="K8429" s="52">
        <v>4500</v>
      </c>
    </row>
    <row r="8430" spans="1:11" x14ac:dyDescent="0.3">
      <c r="A8430" s="45">
        <v>45309</v>
      </c>
      <c r="B8430" s="396" t="s">
        <v>12796</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5"/>
      <c r="C8431" s="480"/>
      <c r="D8431" s="491" t="s">
        <v>13029</v>
      </c>
      <c r="E8431" s="480"/>
      <c r="F8431" s="43">
        <v>32000</v>
      </c>
      <c r="G8431" s="48">
        <f t="shared" si="214"/>
        <v>42024.521505376091</v>
      </c>
      <c r="H8431" s="388" t="s">
        <v>9567</v>
      </c>
      <c r="I8431" s="52">
        <v>18</v>
      </c>
      <c r="J8431" s="52" t="s">
        <v>12990</v>
      </c>
      <c r="K8431" s="52">
        <v>800</v>
      </c>
    </row>
    <row r="8432" spans="1:11" x14ac:dyDescent="0.3">
      <c r="A8432" s="45">
        <v>45310</v>
      </c>
      <c r="B8432" s="396" t="s">
        <v>12897</v>
      </c>
      <c r="C8432" s="5" t="s">
        <v>93</v>
      </c>
      <c r="D8432" s="5" t="s">
        <v>13028</v>
      </c>
      <c r="E8432" s="43">
        <v>20000</v>
      </c>
      <c r="F8432" s="43"/>
      <c r="G8432" s="48">
        <f t="shared" si="214"/>
        <v>22024.521505376091</v>
      </c>
      <c r="H8432" s="388" t="s">
        <v>9567</v>
      </c>
      <c r="I8432" s="52">
        <v>18</v>
      </c>
      <c r="J8432" s="52" t="s">
        <v>13006</v>
      </c>
      <c r="K8432" s="52">
        <v>1000</v>
      </c>
    </row>
    <row r="8433" spans="1:14" x14ac:dyDescent="0.3">
      <c r="A8433" s="45">
        <v>45310</v>
      </c>
      <c r="B8433" s="396" t="s">
        <v>25</v>
      </c>
      <c r="C8433" s="5" t="s">
        <v>25</v>
      </c>
      <c r="D8433" s="124" t="s">
        <v>13016</v>
      </c>
      <c r="E8433" s="43">
        <v>4000</v>
      </c>
      <c r="F8433" s="43"/>
      <c r="G8433" s="48">
        <f t="shared" si="214"/>
        <v>18024.521505376091</v>
      </c>
      <c r="H8433" s="388" t="s">
        <v>9567</v>
      </c>
      <c r="I8433" s="52">
        <v>18</v>
      </c>
      <c r="J8433" s="52" t="s">
        <v>13007</v>
      </c>
      <c r="K8433" s="52">
        <f>950+350+1200</f>
        <v>2500</v>
      </c>
    </row>
    <row r="8434" spans="1:14" x14ac:dyDescent="0.3">
      <c r="A8434" s="45">
        <v>45311</v>
      </c>
      <c r="B8434" s="396" t="s">
        <v>12133</v>
      </c>
      <c r="C8434" s="5" t="s">
        <v>9330</v>
      </c>
      <c r="D8434" s="5" t="s">
        <v>13037</v>
      </c>
      <c r="E8434" s="43">
        <v>1500</v>
      </c>
      <c r="F8434" s="43"/>
      <c r="G8434" s="48">
        <f t="shared" si="214"/>
        <v>16524.521505376091</v>
      </c>
      <c r="H8434" s="388" t="s">
        <v>9567</v>
      </c>
      <c r="I8434" s="52">
        <v>18</v>
      </c>
      <c r="J8434" s="52" t="s">
        <v>12998</v>
      </c>
      <c r="K8434" s="52">
        <v>1600</v>
      </c>
    </row>
    <row r="8435" spans="1:14" x14ac:dyDescent="0.3">
      <c r="A8435" s="45">
        <v>45311</v>
      </c>
      <c r="B8435" s="396" t="s">
        <v>12086</v>
      </c>
      <c r="C8435" s="5" t="s">
        <v>11174</v>
      </c>
      <c r="D8435" s="5" t="s">
        <v>13038</v>
      </c>
      <c r="E8435" s="43">
        <v>350</v>
      </c>
      <c r="F8435" s="43"/>
      <c r="G8435" s="48">
        <f t="shared" si="214"/>
        <v>16174.521505376091</v>
      </c>
      <c r="H8435" s="388" t="s">
        <v>9567</v>
      </c>
      <c r="I8435" s="52">
        <v>18</v>
      </c>
      <c r="J8435" s="52" t="s">
        <v>13008</v>
      </c>
      <c r="K8435" s="52">
        <v>800</v>
      </c>
    </row>
    <row r="8436" spans="1:14" x14ac:dyDescent="0.3">
      <c r="A8436" s="45">
        <v>45311</v>
      </c>
      <c r="B8436" s="396" t="s">
        <v>12086</v>
      </c>
      <c r="C8436" s="5" t="s">
        <v>30</v>
      </c>
      <c r="D8436" s="5" t="s">
        <v>13041</v>
      </c>
      <c r="E8436" s="43">
        <v>150</v>
      </c>
      <c r="F8436" s="43"/>
      <c r="G8436" s="48">
        <f t="shared" si="214"/>
        <v>16024.521505376091</v>
      </c>
      <c r="H8436" s="388" t="s">
        <v>9567</v>
      </c>
    </row>
    <row r="8437" spans="1:14" s="387" customFormat="1" x14ac:dyDescent="0.25">
      <c r="A8437" s="45">
        <v>45311</v>
      </c>
      <c r="B8437" s="565"/>
      <c r="C8437" s="480"/>
      <c r="D8437" s="491" t="s">
        <v>12872</v>
      </c>
      <c r="E8437" s="480"/>
      <c r="F8437" s="28">
        <v>400000</v>
      </c>
      <c r="G8437" s="48">
        <f t="shared" si="214"/>
        <v>416024.52150537609</v>
      </c>
      <c r="H8437" s="397" t="s">
        <v>9567</v>
      </c>
      <c r="I8437" s="155">
        <v>18</v>
      </c>
      <c r="J8437" s="155" t="s">
        <v>12994</v>
      </c>
      <c r="K8437" s="155">
        <v>300</v>
      </c>
      <c r="N8437" s="155"/>
    </row>
    <row r="8438" spans="1:14" s="387" customFormat="1" x14ac:dyDescent="0.25">
      <c r="A8438" s="45">
        <v>45311</v>
      </c>
      <c r="B8438" s="320"/>
      <c r="C8438" s="44" t="s">
        <v>84</v>
      </c>
      <c r="D8438" s="44" t="s">
        <v>13040</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12086</v>
      </c>
      <c r="C8439" s="44" t="s">
        <v>11174</v>
      </c>
      <c r="D8439" s="44" t="s">
        <v>13042</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13044</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13045</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13047</v>
      </c>
      <c r="E8442" s="28">
        <v>5000</v>
      </c>
      <c r="F8442" s="28"/>
      <c r="G8442" s="48">
        <f t="shared" si="214"/>
        <v>381524.52150537609</v>
      </c>
      <c r="H8442" s="397" t="s">
        <v>9567</v>
      </c>
      <c r="I8442" s="155"/>
      <c r="J8442" s="155"/>
      <c r="K8442" s="155">
        <f>SUM(K8383:K8441)</f>
        <v>625105</v>
      </c>
      <c r="L8442" s="613">
        <f>K8442-M8382</f>
        <v>-9895</v>
      </c>
      <c r="N8442" s="155"/>
    </row>
    <row r="8443" spans="1:14" s="387" customFormat="1" x14ac:dyDescent="0.25">
      <c r="A8443" s="45">
        <v>45311</v>
      </c>
      <c r="B8443" s="320" t="s">
        <v>12796</v>
      </c>
      <c r="C8443" s="44" t="s">
        <v>5793</v>
      </c>
      <c r="D8443" s="44" t="s">
        <v>13048</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13049</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13052</v>
      </c>
      <c r="E8445" s="28">
        <v>8000</v>
      </c>
      <c r="F8445" s="28"/>
      <c r="G8445" s="48">
        <f t="shared" si="214"/>
        <v>355524.52150537609</v>
      </c>
      <c r="H8445" s="397" t="s">
        <v>9567</v>
      </c>
      <c r="I8445" s="155"/>
      <c r="J8445" s="155"/>
      <c r="K8445" s="155"/>
      <c r="N8445" s="155"/>
    </row>
    <row r="8446" spans="1:14" s="387" customFormat="1" x14ac:dyDescent="0.3">
      <c r="A8446" s="45">
        <v>45311</v>
      </c>
      <c r="B8446" s="396" t="s">
        <v>13427</v>
      </c>
      <c r="C8446" s="614" t="s">
        <v>11174</v>
      </c>
      <c r="D8446" s="614" t="s">
        <v>13059</v>
      </c>
      <c r="E8446" s="615">
        <v>6000</v>
      </c>
      <c r="F8446" s="28"/>
      <c r="G8446" s="48">
        <f t="shared" si="214"/>
        <v>349524.52150537609</v>
      </c>
      <c r="H8446" s="397" t="s">
        <v>9567</v>
      </c>
      <c r="I8446" s="155"/>
      <c r="J8446" s="155"/>
      <c r="K8446" s="155"/>
      <c r="N8446" s="155"/>
    </row>
    <row r="8447" spans="1:14" s="387" customFormat="1" x14ac:dyDescent="0.3">
      <c r="A8447" s="45">
        <v>45311</v>
      </c>
      <c r="B8447" s="396" t="s">
        <v>13427</v>
      </c>
      <c r="C8447" s="44" t="s">
        <v>11174</v>
      </c>
      <c r="D8447" s="44" t="s">
        <v>13054</v>
      </c>
      <c r="E8447" s="28">
        <v>12080</v>
      </c>
      <c r="F8447" s="28"/>
      <c r="G8447" s="48">
        <f t="shared" si="214"/>
        <v>337444.52150537609</v>
      </c>
      <c r="H8447" s="397" t="s">
        <v>9567</v>
      </c>
      <c r="I8447" s="28" t="s">
        <v>13072</v>
      </c>
      <c r="J8447" s="28">
        <f>450000+450000</f>
        <v>900000</v>
      </c>
      <c r="K8447" s="155"/>
      <c r="M8447" s="155"/>
      <c r="N8447" s="155"/>
    </row>
    <row r="8448" spans="1:14" s="387" customFormat="1" x14ac:dyDescent="0.25">
      <c r="A8448" s="45">
        <v>45311</v>
      </c>
      <c r="B8448" s="616"/>
      <c r="C8448" s="617" t="s">
        <v>1616</v>
      </c>
      <c r="D8448" s="617" t="s">
        <v>13055</v>
      </c>
      <c r="E8448" s="618">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13016</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12086</v>
      </c>
      <c r="C8450" s="44" t="s">
        <v>26</v>
      </c>
      <c r="D8450" s="44" t="s">
        <v>13058</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12086</v>
      </c>
      <c r="C8451" s="44" t="s">
        <v>18</v>
      </c>
      <c r="D8451" s="44" t="s">
        <v>5813</v>
      </c>
      <c r="E8451" s="28">
        <v>10000</v>
      </c>
      <c r="F8451" s="28"/>
      <c r="G8451" s="48">
        <f t="shared" si="214"/>
        <v>294324.52150537609</v>
      </c>
      <c r="H8451" s="397" t="s">
        <v>9567</v>
      </c>
      <c r="I8451" s="32" t="s">
        <v>13073</v>
      </c>
      <c r="J8451" s="28">
        <f>300+1200</f>
        <v>1500</v>
      </c>
      <c r="K8451" s="155"/>
      <c r="L8451" s="387" t="s">
        <v>4692</v>
      </c>
      <c r="M8451" s="155">
        <v>5000</v>
      </c>
      <c r="N8451" s="155"/>
    </row>
    <row r="8452" spans="1:14" s="387" customFormat="1" x14ac:dyDescent="0.25">
      <c r="A8452" s="45">
        <v>45313</v>
      </c>
      <c r="B8452" s="320"/>
      <c r="C8452" s="44" t="s">
        <v>4550</v>
      </c>
      <c r="D8452" s="44" t="s">
        <v>13081</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13056</v>
      </c>
      <c r="E8453" s="28">
        <v>13990</v>
      </c>
      <c r="F8453" s="28"/>
      <c r="G8453" s="48">
        <f t="shared" si="214"/>
        <v>270334.52150537609</v>
      </c>
      <c r="H8453" s="397" t="s">
        <v>9567</v>
      </c>
      <c r="I8453" s="32" t="s">
        <v>4737</v>
      </c>
      <c r="J8453" s="28">
        <v>50000</v>
      </c>
      <c r="K8453" s="155"/>
      <c r="L8453" s="387" t="s">
        <v>12250</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13087</v>
      </c>
      <c r="J8454" s="28">
        <v>54400</v>
      </c>
      <c r="K8454" s="155"/>
      <c r="L8454" s="387" t="s">
        <v>13070</v>
      </c>
      <c r="M8454" s="155">
        <v>45000</v>
      </c>
      <c r="N8454" s="155"/>
    </row>
    <row r="8455" spans="1:14" s="387" customFormat="1" x14ac:dyDescent="0.25">
      <c r="A8455" s="45">
        <v>45313</v>
      </c>
      <c r="B8455" s="320" t="s">
        <v>12080</v>
      </c>
      <c r="C8455" s="44" t="s">
        <v>84</v>
      </c>
      <c r="D8455" s="44" t="s">
        <v>13057</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12796</v>
      </c>
      <c r="C8456" s="44" t="s">
        <v>11174</v>
      </c>
      <c r="D8456" s="44" t="s">
        <v>12505</v>
      </c>
      <c r="E8456" s="28">
        <v>4550</v>
      </c>
      <c r="F8456" s="28"/>
      <c r="G8456" s="48">
        <f t="shared" si="214"/>
        <v>242784.52150537609</v>
      </c>
      <c r="H8456" s="397" t="s">
        <v>9567</v>
      </c>
      <c r="I8456" s="32" t="s">
        <v>13091</v>
      </c>
      <c r="J8456" s="28">
        <v>100000</v>
      </c>
      <c r="K8456" s="155"/>
      <c r="L8456" s="387" t="s">
        <v>13071</v>
      </c>
      <c r="M8456" s="155">
        <v>48000</v>
      </c>
      <c r="N8456" s="155"/>
    </row>
    <row r="8457" spans="1:14" s="387" customFormat="1" x14ac:dyDescent="0.25">
      <c r="A8457" s="45">
        <v>45313</v>
      </c>
      <c r="B8457" s="320" t="s">
        <v>12796</v>
      </c>
      <c r="C8457" s="44" t="s">
        <v>5793</v>
      </c>
      <c r="D8457" s="44" t="s">
        <v>8924</v>
      </c>
      <c r="E8457" s="28">
        <v>400</v>
      </c>
      <c r="F8457" s="28"/>
      <c r="G8457" s="48">
        <f t="shared" si="214"/>
        <v>242384.52150537609</v>
      </c>
      <c r="H8457" s="397" t="s">
        <v>9567</v>
      </c>
      <c r="I8457" s="32" t="s">
        <v>13095</v>
      </c>
      <c r="J8457" s="28"/>
      <c r="K8457" s="155" t="s">
        <v>12197</v>
      </c>
      <c r="M8457" s="155">
        <f>SUM(M8451:M8456)</f>
        <v>900000</v>
      </c>
      <c r="N8457" s="155"/>
    </row>
    <row r="8458" spans="1:14" s="387" customFormat="1" x14ac:dyDescent="0.25">
      <c r="A8458" s="45">
        <v>45313</v>
      </c>
      <c r="B8458" s="320" t="s">
        <v>12086</v>
      </c>
      <c r="C8458" s="44" t="s">
        <v>9451</v>
      </c>
      <c r="D8458" s="44" t="s">
        <v>13066</v>
      </c>
      <c r="E8458" s="28">
        <v>400</v>
      </c>
      <c r="F8458" s="28"/>
      <c r="G8458" s="48">
        <f t="shared" si="214"/>
        <v>241984.52150537609</v>
      </c>
      <c r="H8458" s="397" t="s">
        <v>9567</v>
      </c>
      <c r="I8458" s="32" t="s">
        <v>13096</v>
      </c>
      <c r="J8458" s="28">
        <v>72000</v>
      </c>
      <c r="K8458" s="155">
        <v>650</v>
      </c>
      <c r="M8458" s="155"/>
      <c r="N8458" s="155"/>
    </row>
    <row r="8459" spans="1:14" s="387" customFormat="1" x14ac:dyDescent="0.25">
      <c r="A8459" s="45">
        <v>45313</v>
      </c>
      <c r="B8459" s="320" t="s">
        <v>12573</v>
      </c>
      <c r="C8459" s="44" t="s">
        <v>11174</v>
      </c>
      <c r="D8459" s="44" t="s">
        <v>13060</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5"/>
      <c r="C8460" s="480"/>
      <c r="D8460" s="491" t="s">
        <v>13065</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13074</v>
      </c>
      <c r="J8461" s="28">
        <f>SUM(J8448:J8460)</f>
        <v>708400</v>
      </c>
      <c r="K8461" s="155"/>
      <c r="L8461" s="387">
        <v>62328</v>
      </c>
      <c r="N8461" s="155"/>
    </row>
    <row r="8462" spans="1:14" s="387" customFormat="1" x14ac:dyDescent="0.25">
      <c r="A8462" s="45">
        <v>45314</v>
      </c>
      <c r="B8462" s="320" t="s">
        <v>12796</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13069</v>
      </c>
      <c r="E8463" s="28">
        <v>97500</v>
      </c>
      <c r="F8463" s="28"/>
      <c r="G8463" s="48">
        <f t="shared" si="214"/>
        <v>538984.52150537609</v>
      </c>
      <c r="H8463" s="397" t="s">
        <v>9567</v>
      </c>
      <c r="I8463" s="28" t="s">
        <v>12233</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13070</v>
      </c>
      <c r="J8464" s="28">
        <v>45000</v>
      </c>
      <c r="K8464" s="155"/>
      <c r="L8464" s="613">
        <f>J8447-J8461</f>
        <v>191600</v>
      </c>
      <c r="N8464" s="155"/>
    </row>
    <row r="8465" spans="1:14" s="387" customFormat="1" x14ac:dyDescent="0.25">
      <c r="A8465" s="45">
        <v>45314</v>
      </c>
      <c r="B8465" s="320" t="s">
        <v>10319</v>
      </c>
      <c r="C8465" s="44" t="s">
        <v>11174</v>
      </c>
      <c r="D8465" s="44" t="s">
        <v>13067</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13068</v>
      </c>
      <c r="E8466" s="43">
        <v>5000</v>
      </c>
      <c r="F8466" s="43"/>
      <c r="G8466" s="48">
        <f t="shared" si="214"/>
        <v>503384.52150537609</v>
      </c>
      <c r="H8466" s="397" t="s">
        <v>9567</v>
      </c>
      <c r="I8466" s="28" t="s">
        <v>13071</v>
      </c>
      <c r="J8466" s="28">
        <v>46500</v>
      </c>
      <c r="K8466" s="155"/>
      <c r="N8466" s="155"/>
    </row>
    <row r="8467" spans="1:14" x14ac:dyDescent="0.3">
      <c r="A8467" s="45">
        <v>45314</v>
      </c>
      <c r="B8467" s="396" t="s">
        <v>12133</v>
      </c>
      <c r="C8467" s="509" t="s">
        <v>11174</v>
      </c>
      <c r="D8467" s="509" t="s">
        <v>13059</v>
      </c>
      <c r="E8467" s="511">
        <v>13000</v>
      </c>
      <c r="F8467" s="43"/>
      <c r="G8467" s="48">
        <f t="shared" si="214"/>
        <v>490384.52150537609</v>
      </c>
      <c r="H8467" s="388" t="s">
        <v>9567</v>
      </c>
      <c r="I8467" s="28" t="s">
        <v>13088</v>
      </c>
      <c r="J8467" s="28">
        <f>J8463-J8464-J8465-J8466</f>
        <v>53600</v>
      </c>
    </row>
    <row r="8468" spans="1:14" x14ac:dyDescent="0.3">
      <c r="A8468" s="45">
        <v>45314</v>
      </c>
      <c r="B8468" s="396" t="s">
        <v>12086</v>
      </c>
      <c r="C8468" s="5" t="s">
        <v>5793</v>
      </c>
      <c r="D8468" s="5" t="s">
        <v>40</v>
      </c>
      <c r="E8468" s="43">
        <v>2600</v>
      </c>
      <c r="F8468" s="43"/>
      <c r="G8468" s="48">
        <f t="shared" si="214"/>
        <v>487784.52150537609</v>
      </c>
      <c r="H8468" s="389" t="s">
        <v>9567</v>
      </c>
      <c r="I8468" s="155"/>
      <c r="J8468" s="155"/>
    </row>
    <row r="8469" spans="1:14" x14ac:dyDescent="0.3">
      <c r="A8469" s="45">
        <v>45315</v>
      </c>
      <c r="B8469" s="396" t="s">
        <v>13075</v>
      </c>
      <c r="C8469" s="5" t="s">
        <v>11174</v>
      </c>
      <c r="D8469" s="5" t="s">
        <v>13076</v>
      </c>
      <c r="E8469" s="43">
        <v>1500</v>
      </c>
      <c r="F8469" s="43"/>
      <c r="G8469" s="48">
        <f t="shared" si="214"/>
        <v>486284.52150537609</v>
      </c>
      <c r="H8469" s="389" t="s">
        <v>9567</v>
      </c>
      <c r="I8469" s="155"/>
      <c r="J8469" s="155"/>
    </row>
    <row r="8470" spans="1:14" x14ac:dyDescent="0.3">
      <c r="A8470" s="45">
        <v>45315</v>
      </c>
      <c r="B8470" s="396" t="s">
        <v>12611</v>
      </c>
      <c r="C8470" s="5" t="s">
        <v>11174</v>
      </c>
      <c r="D8470" s="5" t="s">
        <v>13077</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13079</v>
      </c>
      <c r="C8473" s="5" t="s">
        <v>7522</v>
      </c>
      <c r="D8473" s="5" t="s">
        <v>582</v>
      </c>
      <c r="E8473" s="43">
        <v>11000</v>
      </c>
      <c r="F8473" s="43"/>
      <c r="G8473" s="48">
        <f t="shared" si="214"/>
        <v>466784.52150537609</v>
      </c>
      <c r="H8473" s="389" t="s">
        <v>9567</v>
      </c>
    </row>
    <row r="8474" spans="1:14" x14ac:dyDescent="0.3">
      <c r="A8474" s="45">
        <v>45315</v>
      </c>
      <c r="B8474" s="396" t="s">
        <v>13026</v>
      </c>
      <c r="C8474" s="5" t="s">
        <v>7522</v>
      </c>
      <c r="D8474" s="5" t="s">
        <v>582</v>
      </c>
      <c r="E8474" s="43">
        <v>20000</v>
      </c>
      <c r="F8474" s="43"/>
      <c r="G8474" s="48">
        <f t="shared" si="214"/>
        <v>446784.52150537609</v>
      </c>
      <c r="H8474" s="389" t="s">
        <v>9567</v>
      </c>
    </row>
    <row r="8475" spans="1:14" x14ac:dyDescent="0.3">
      <c r="A8475" s="45">
        <v>45315</v>
      </c>
      <c r="B8475" s="396" t="s">
        <v>12135</v>
      </c>
      <c r="C8475" s="509" t="s">
        <v>11174</v>
      </c>
      <c r="D8475" s="509" t="s">
        <v>13100</v>
      </c>
      <c r="E8475" s="511">
        <v>14000</v>
      </c>
      <c r="F8475" s="43"/>
      <c r="G8475" s="48">
        <f t="shared" si="214"/>
        <v>432784.52150537609</v>
      </c>
      <c r="H8475" s="389" t="s">
        <v>9567</v>
      </c>
    </row>
    <row r="8476" spans="1:14" x14ac:dyDescent="0.3">
      <c r="A8476" s="45">
        <v>45315</v>
      </c>
      <c r="B8476" s="396"/>
      <c r="C8476" s="5" t="s">
        <v>54</v>
      </c>
      <c r="D8476" s="5" t="s">
        <v>13078</v>
      </c>
      <c r="E8476" s="43">
        <v>3500</v>
      </c>
      <c r="F8476" s="43"/>
      <c r="G8476" s="48">
        <f t="shared" si="214"/>
        <v>429284.52150537609</v>
      </c>
      <c r="H8476" s="389" t="s">
        <v>9567</v>
      </c>
    </row>
    <row r="8477" spans="1:14" x14ac:dyDescent="0.3">
      <c r="A8477" s="45">
        <v>45315</v>
      </c>
      <c r="B8477" s="396" t="s">
        <v>12080</v>
      </c>
      <c r="C8477" s="5" t="s">
        <v>30</v>
      </c>
      <c r="D8477" s="5" t="s">
        <v>40</v>
      </c>
      <c r="E8477" s="43">
        <v>700</v>
      </c>
      <c r="F8477" s="43"/>
      <c r="G8477" s="48">
        <f t="shared" si="214"/>
        <v>428584.52150537609</v>
      </c>
      <c r="H8477" s="389" t="s">
        <v>9567</v>
      </c>
    </row>
    <row r="8478" spans="1:14" x14ac:dyDescent="0.3">
      <c r="A8478" s="45">
        <v>45315</v>
      </c>
      <c r="B8478" s="396" t="s">
        <v>12573</v>
      </c>
      <c r="C8478" s="5" t="s">
        <v>12379</v>
      </c>
      <c r="D8478" s="5" t="s">
        <v>13080</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13083</v>
      </c>
      <c r="E8480" s="43">
        <v>33000</v>
      </c>
      <c r="F8480" s="43"/>
      <c r="G8480" s="48">
        <f t="shared" si="214"/>
        <v>371584.52150537609</v>
      </c>
      <c r="H8480" s="389" t="s">
        <v>9567</v>
      </c>
    </row>
    <row r="8481" spans="1:10" x14ac:dyDescent="0.3">
      <c r="A8481" s="45">
        <v>45315</v>
      </c>
      <c r="B8481" s="396" t="s">
        <v>12573</v>
      </c>
      <c r="C8481" s="5" t="s">
        <v>5288</v>
      </c>
      <c r="D8481" s="5" t="s">
        <v>13084</v>
      </c>
      <c r="E8481" s="43">
        <v>50000</v>
      </c>
      <c r="F8481" s="43"/>
      <c r="G8481" s="48">
        <f t="shared" si="214"/>
        <v>321584.52150537609</v>
      </c>
      <c r="H8481" s="389" t="s">
        <v>9567</v>
      </c>
    </row>
    <row r="8482" spans="1:10" x14ac:dyDescent="0.3">
      <c r="A8482" s="45">
        <v>45316</v>
      </c>
      <c r="B8482" s="396" t="s">
        <v>12133</v>
      </c>
      <c r="C8482" s="5" t="s">
        <v>5793</v>
      </c>
      <c r="D8482" s="5" t="s">
        <v>13086</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12230</v>
      </c>
      <c r="C8486" s="5" t="s">
        <v>1074</v>
      </c>
      <c r="D8486" s="5" t="s">
        <v>12215</v>
      </c>
      <c r="E8486" s="43">
        <f>36155+6655</f>
        <v>42810</v>
      </c>
      <c r="F8486" s="43"/>
      <c r="G8486" s="48">
        <f t="shared" si="214"/>
        <v>216374.52150537609</v>
      </c>
      <c r="H8486" s="389" t="s">
        <v>9567</v>
      </c>
    </row>
    <row r="8487" spans="1:10" x14ac:dyDescent="0.3">
      <c r="A8487" s="45">
        <v>45316</v>
      </c>
      <c r="B8487" s="396" t="s">
        <v>25</v>
      </c>
      <c r="C8487" s="5" t="s">
        <v>1074</v>
      </c>
      <c r="D8487" s="5" t="s">
        <v>12215</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13092</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13098</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12796</v>
      </c>
      <c r="C8492" s="5" t="s">
        <v>13096</v>
      </c>
      <c r="D8492" s="5" t="s">
        <v>13097</v>
      </c>
      <c r="E8492" s="43">
        <v>72000</v>
      </c>
      <c r="F8492" s="43"/>
      <c r="G8492" s="48">
        <f t="shared" si="215"/>
        <v>116856.52150537609</v>
      </c>
      <c r="H8492" s="389" t="s">
        <v>9567</v>
      </c>
    </row>
    <row r="8493" spans="1:10" x14ac:dyDescent="0.3">
      <c r="A8493" s="45">
        <v>45317</v>
      </c>
      <c r="B8493" s="510" t="s">
        <v>13092</v>
      </c>
      <c r="C8493" s="509" t="s">
        <v>11174</v>
      </c>
      <c r="D8493" s="509" t="s">
        <v>13114</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12045</v>
      </c>
      <c r="C8495" s="5" t="s">
        <v>12561</v>
      </c>
      <c r="D8495" s="5" t="s">
        <v>13101</v>
      </c>
      <c r="E8495" s="43">
        <v>30000</v>
      </c>
      <c r="F8495" s="43"/>
      <c r="G8495" s="48">
        <f t="shared" si="215"/>
        <v>79606.521505376091</v>
      </c>
      <c r="H8495" s="389" t="s">
        <v>9567</v>
      </c>
    </row>
    <row r="8496" spans="1:10" x14ac:dyDescent="0.3">
      <c r="A8496" s="45">
        <v>45317</v>
      </c>
      <c r="B8496" s="396" t="s">
        <v>12133</v>
      </c>
      <c r="C8496" s="5" t="s">
        <v>11174</v>
      </c>
      <c r="D8496" s="5" t="s">
        <v>13102</v>
      </c>
      <c r="E8496" s="43">
        <v>11180</v>
      </c>
      <c r="F8496" s="43"/>
      <c r="G8496" s="48">
        <f t="shared" si="215"/>
        <v>68426.521505376091</v>
      </c>
      <c r="H8496" s="389" t="s">
        <v>9567</v>
      </c>
    </row>
    <row r="8497" spans="1:8" x14ac:dyDescent="0.3">
      <c r="A8497" s="45">
        <v>45317</v>
      </c>
      <c r="B8497" s="396" t="s">
        <v>12796</v>
      </c>
      <c r="C8497" s="5" t="s">
        <v>30</v>
      </c>
      <c r="D8497" s="5" t="s">
        <v>11970</v>
      </c>
      <c r="E8497" s="43">
        <v>400</v>
      </c>
      <c r="F8497" s="43"/>
      <c r="G8497" s="48">
        <f t="shared" si="215"/>
        <v>68026.521505376091</v>
      </c>
      <c r="H8497" s="389" t="s">
        <v>9567</v>
      </c>
    </row>
    <row r="8498" spans="1:8" x14ac:dyDescent="0.3">
      <c r="A8498" s="45">
        <v>45317</v>
      </c>
      <c r="B8498" s="396" t="s">
        <v>13098</v>
      </c>
      <c r="C8498" s="5" t="s">
        <v>5793</v>
      </c>
      <c r="D8498" s="5" t="s">
        <v>40</v>
      </c>
      <c r="E8498" s="43">
        <v>800</v>
      </c>
      <c r="F8498" s="43"/>
      <c r="G8498" s="48">
        <f t="shared" si="215"/>
        <v>67226.521505376091</v>
      </c>
      <c r="H8498" s="389" t="s">
        <v>9567</v>
      </c>
    </row>
    <row r="8499" spans="1:8" x14ac:dyDescent="0.3">
      <c r="A8499" s="45">
        <v>45317</v>
      </c>
      <c r="B8499" s="396" t="s">
        <v>12086</v>
      </c>
      <c r="C8499" s="5" t="s">
        <v>5793</v>
      </c>
      <c r="D8499" s="5" t="s">
        <v>40</v>
      </c>
      <c r="E8499" s="43">
        <v>800</v>
      </c>
      <c r="F8499" s="43"/>
      <c r="G8499" s="48">
        <f t="shared" si="215"/>
        <v>66426.521505376091</v>
      </c>
      <c r="H8499" s="389" t="s">
        <v>9567</v>
      </c>
    </row>
    <row r="8500" spans="1:8" x14ac:dyDescent="0.3">
      <c r="A8500" s="45">
        <v>45317</v>
      </c>
      <c r="B8500" s="565"/>
      <c r="C8500" s="480"/>
      <c r="D8500" s="491" t="s">
        <v>12872</v>
      </c>
      <c r="E8500" s="480"/>
      <c r="F8500" s="28">
        <v>100000</v>
      </c>
      <c r="G8500" s="48">
        <f t="shared" si="215"/>
        <v>166426.52150537609</v>
      </c>
      <c r="H8500" s="389" t="s">
        <v>9567</v>
      </c>
    </row>
    <row r="8501" spans="1:8" x14ac:dyDescent="0.3">
      <c r="A8501" s="45">
        <v>45317</v>
      </c>
      <c r="B8501" s="396" t="s">
        <v>12636</v>
      </c>
      <c r="C8501" s="5" t="s">
        <v>11174</v>
      </c>
      <c r="D8501" s="5" t="s">
        <v>13107</v>
      </c>
      <c r="E8501" s="43">
        <v>25000</v>
      </c>
      <c r="F8501" s="43"/>
      <c r="G8501" s="48">
        <f t="shared" si="215"/>
        <v>141426.52150537609</v>
      </c>
      <c r="H8501" s="389" t="s">
        <v>9567</v>
      </c>
    </row>
    <row r="8502" spans="1:8" x14ac:dyDescent="0.3">
      <c r="A8502" s="45">
        <v>45317</v>
      </c>
      <c r="B8502" s="396"/>
      <c r="C8502" s="5" t="s">
        <v>84</v>
      </c>
      <c r="D8502" s="5" t="s">
        <v>13108</v>
      </c>
      <c r="E8502" s="43">
        <v>5000</v>
      </c>
      <c r="F8502" s="43"/>
      <c r="G8502" s="48">
        <f t="shared" si="215"/>
        <v>136426.52150537609</v>
      </c>
      <c r="H8502" s="389" t="s">
        <v>9567</v>
      </c>
    </row>
    <row r="8503" spans="1:8" x14ac:dyDescent="0.3">
      <c r="A8503" s="45">
        <v>45317</v>
      </c>
      <c r="B8503" s="396" t="s">
        <v>12045</v>
      </c>
      <c r="C8503" s="5" t="s">
        <v>12945</v>
      </c>
      <c r="D8503" s="5" t="s">
        <v>13109</v>
      </c>
      <c r="E8503" s="43">
        <v>5500</v>
      </c>
      <c r="F8503" s="43"/>
      <c r="G8503" s="48">
        <f t="shared" si="215"/>
        <v>130926.52150537609</v>
      </c>
      <c r="H8503" s="389" t="s">
        <v>9567</v>
      </c>
    </row>
    <row r="8504" spans="1:8" x14ac:dyDescent="0.3">
      <c r="A8504" s="45">
        <v>45317</v>
      </c>
      <c r="B8504" s="396" t="s">
        <v>13098</v>
      </c>
      <c r="C8504" s="5" t="s">
        <v>11174</v>
      </c>
      <c r="D8504" s="5" t="s">
        <v>13110</v>
      </c>
      <c r="E8504" s="43">
        <v>61000</v>
      </c>
      <c r="F8504" s="43"/>
      <c r="G8504" s="48">
        <f t="shared" si="215"/>
        <v>69926.521505376091</v>
      </c>
      <c r="H8504" s="389" t="s">
        <v>9567</v>
      </c>
    </row>
    <row r="8505" spans="1:8" x14ac:dyDescent="0.3">
      <c r="A8505" s="45">
        <v>45318</v>
      </c>
      <c r="B8505" s="396"/>
      <c r="C8505" s="5" t="s">
        <v>84</v>
      </c>
      <c r="D8505" s="5" t="s">
        <v>13111</v>
      </c>
      <c r="E8505" s="43">
        <v>1000</v>
      </c>
      <c r="F8505" s="43"/>
      <c r="G8505" s="48">
        <f t="shared" si="215"/>
        <v>68926.521505376091</v>
      </c>
      <c r="H8505" s="389" t="s">
        <v>9567</v>
      </c>
    </row>
    <row r="8506" spans="1:8" x14ac:dyDescent="0.3">
      <c r="A8506" s="45">
        <v>45318</v>
      </c>
      <c r="B8506" s="396" t="s">
        <v>12133</v>
      </c>
      <c r="C8506" s="5" t="s">
        <v>5793</v>
      </c>
      <c r="D8506" s="5" t="s">
        <v>13112</v>
      </c>
      <c r="E8506" s="43">
        <v>3500</v>
      </c>
      <c r="F8506" s="43"/>
      <c r="G8506" s="48">
        <f t="shared" si="215"/>
        <v>65426.521505376091</v>
      </c>
      <c r="H8506" s="389" t="s">
        <v>9567</v>
      </c>
    </row>
    <row r="8507" spans="1:8" x14ac:dyDescent="0.3">
      <c r="A8507" s="45">
        <v>45318</v>
      </c>
      <c r="B8507" s="396" t="s">
        <v>13427</v>
      </c>
      <c r="C8507" s="5" t="s">
        <v>12379</v>
      </c>
      <c r="D8507" s="5" t="s">
        <v>13113</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12796</v>
      </c>
      <c r="C8510" s="5" t="s">
        <v>5793</v>
      </c>
      <c r="D8510" s="5" t="s">
        <v>13116</v>
      </c>
      <c r="E8510" s="43">
        <v>3500</v>
      </c>
      <c r="F8510" s="43"/>
      <c r="G8510" s="48">
        <f t="shared" si="215"/>
        <v>50226.521505376091</v>
      </c>
      <c r="H8510" s="389" t="s">
        <v>9567</v>
      </c>
    </row>
    <row r="8511" spans="1:8" x14ac:dyDescent="0.3">
      <c r="A8511" s="45">
        <v>45318</v>
      </c>
      <c r="B8511" s="396" t="s">
        <v>12133</v>
      </c>
      <c r="C8511" s="5" t="s">
        <v>11174</v>
      </c>
      <c r="D8511" s="5" t="s">
        <v>13117</v>
      </c>
      <c r="E8511" s="43">
        <v>2340</v>
      </c>
      <c r="F8511" s="43"/>
      <c r="G8511" s="48">
        <f t="shared" si="215"/>
        <v>47886.521505376091</v>
      </c>
      <c r="H8511" s="389" t="s">
        <v>9567</v>
      </c>
    </row>
    <row r="8512" spans="1:8" x14ac:dyDescent="0.3">
      <c r="A8512" s="45">
        <v>45318</v>
      </c>
      <c r="B8512" s="396" t="s">
        <v>11743</v>
      </c>
      <c r="C8512" s="5" t="s">
        <v>5793</v>
      </c>
      <c r="D8512" s="5" t="s">
        <v>8924</v>
      </c>
      <c r="E8512" s="43">
        <v>250</v>
      </c>
      <c r="F8512" s="43"/>
      <c r="G8512" s="48">
        <f t="shared" si="215"/>
        <v>47636.521505376091</v>
      </c>
      <c r="H8512" s="389" t="s">
        <v>9567</v>
      </c>
    </row>
    <row r="8513" spans="1:10" x14ac:dyDescent="0.3">
      <c r="A8513" s="45">
        <v>45318</v>
      </c>
      <c r="B8513" s="565"/>
      <c r="C8513" s="480"/>
      <c r="D8513" s="491" t="s">
        <v>12872</v>
      </c>
      <c r="E8513" s="480"/>
      <c r="F8513" s="28">
        <v>500000</v>
      </c>
      <c r="G8513" s="48">
        <f t="shared" si="215"/>
        <v>547636.52150537609</v>
      </c>
      <c r="H8513" s="389" t="s">
        <v>9567</v>
      </c>
    </row>
    <row r="8514" spans="1:10" x14ac:dyDescent="0.3">
      <c r="A8514" s="45">
        <v>45318</v>
      </c>
      <c r="B8514" s="405"/>
      <c r="C8514" s="218" t="s">
        <v>84</v>
      </c>
      <c r="D8514" s="218" t="s">
        <v>13119</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12230</v>
      </c>
      <c r="C8517" s="5" t="s">
        <v>1616</v>
      </c>
      <c r="D8517" s="5" t="s">
        <v>640</v>
      </c>
      <c r="E8517" s="43">
        <v>1500</v>
      </c>
      <c r="F8517" s="43"/>
      <c r="G8517" s="48">
        <f t="shared" si="215"/>
        <v>539136.52150537609</v>
      </c>
      <c r="H8517" s="389" t="s">
        <v>9567</v>
      </c>
      <c r="J8517" s="52" t="e">
        <f>J8515/70</f>
        <v>#REF!</v>
      </c>
    </row>
    <row r="8518" spans="1:10" x14ac:dyDescent="0.3">
      <c r="A8518" s="45">
        <v>45320</v>
      </c>
      <c r="B8518" s="565"/>
      <c r="C8518" s="480"/>
      <c r="D8518" s="491" t="s">
        <v>12872</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12133</v>
      </c>
      <c r="C8520" s="5" t="s">
        <v>12826</v>
      </c>
      <c r="D8520" s="5" t="s">
        <v>582</v>
      </c>
      <c r="E8520" s="43">
        <v>15000</v>
      </c>
      <c r="F8520" s="43"/>
      <c r="G8520" s="48">
        <f t="shared" si="215"/>
        <v>624136.52150537609</v>
      </c>
      <c r="H8520" s="389" t="s">
        <v>9567</v>
      </c>
    </row>
    <row r="8521" spans="1:10" x14ac:dyDescent="0.3">
      <c r="A8521" s="45">
        <v>45320</v>
      </c>
      <c r="B8521" s="396" t="s">
        <v>13098</v>
      </c>
      <c r="C8521" s="5" t="s">
        <v>9451</v>
      </c>
      <c r="D8521" s="5" t="s">
        <v>13020</v>
      </c>
      <c r="E8521" s="43">
        <v>1250</v>
      </c>
      <c r="F8521" s="43"/>
      <c r="G8521" s="48">
        <f t="shared" si="215"/>
        <v>622886.52150537609</v>
      </c>
      <c r="H8521" s="389" t="s">
        <v>9567</v>
      </c>
    </row>
    <row r="8522" spans="1:10" x14ac:dyDescent="0.3">
      <c r="A8522" s="45">
        <v>45320</v>
      </c>
      <c r="B8522" s="396" t="s">
        <v>12796</v>
      </c>
      <c r="C8522" s="5" t="s">
        <v>5793</v>
      </c>
      <c r="D8522" s="5" t="s">
        <v>40</v>
      </c>
      <c r="E8522" s="43">
        <v>3500</v>
      </c>
      <c r="F8522" s="43"/>
      <c r="G8522" s="48">
        <f t="shared" si="215"/>
        <v>619386.52150537609</v>
      </c>
      <c r="H8522" s="389" t="s">
        <v>9567</v>
      </c>
    </row>
    <row r="8523" spans="1:10" x14ac:dyDescent="0.3">
      <c r="A8523" s="45">
        <v>45320</v>
      </c>
      <c r="B8523" s="396" t="s">
        <v>11743</v>
      </c>
      <c r="C8523" s="5" t="s">
        <v>10695</v>
      </c>
      <c r="D8523" s="5" t="s">
        <v>294</v>
      </c>
      <c r="E8523" s="43">
        <v>50000</v>
      </c>
      <c r="F8523" s="43"/>
      <c r="G8523" s="48">
        <f t="shared" si="215"/>
        <v>569386.52150537609</v>
      </c>
      <c r="H8523" s="389" t="s">
        <v>9567</v>
      </c>
    </row>
    <row r="8524" spans="1:10" x14ac:dyDescent="0.3">
      <c r="A8524" s="45">
        <v>45320</v>
      </c>
      <c r="B8524" s="396" t="s">
        <v>13131</v>
      </c>
      <c r="C8524" s="5" t="s">
        <v>11174</v>
      </c>
      <c r="D8524" s="5" t="s">
        <v>13126</v>
      </c>
      <c r="E8524" s="43">
        <v>3680</v>
      </c>
      <c r="F8524" s="43"/>
      <c r="G8524" s="48">
        <f t="shared" si="215"/>
        <v>565706.52150537609</v>
      </c>
      <c r="H8524" s="389" t="s">
        <v>9567</v>
      </c>
    </row>
    <row r="8525" spans="1:10" x14ac:dyDescent="0.3">
      <c r="A8525" s="45">
        <v>45320</v>
      </c>
      <c r="B8525" s="396" t="s">
        <v>12054</v>
      </c>
      <c r="C8525" s="5" t="s">
        <v>5793</v>
      </c>
      <c r="D8525" s="5" t="s">
        <v>40</v>
      </c>
      <c r="E8525" s="43">
        <v>250</v>
      </c>
      <c r="F8525" s="43"/>
      <c r="G8525" s="48">
        <f t="shared" si="215"/>
        <v>565456.52150537609</v>
      </c>
      <c r="H8525" s="389" t="s">
        <v>9567</v>
      </c>
      <c r="J8525" s="52">
        <v>100</v>
      </c>
    </row>
    <row r="8526" spans="1:10" x14ac:dyDescent="0.3">
      <c r="A8526" s="45">
        <v>45320</v>
      </c>
      <c r="B8526" s="396" t="s">
        <v>13131</v>
      </c>
      <c r="C8526" s="5" t="s">
        <v>5793</v>
      </c>
      <c r="D8526" s="5" t="s">
        <v>40</v>
      </c>
      <c r="E8526" s="43">
        <v>500</v>
      </c>
      <c r="F8526" s="43"/>
      <c r="G8526" s="48">
        <f t="shared" si="215"/>
        <v>564956.52150537609</v>
      </c>
      <c r="H8526" s="389" t="s">
        <v>9567</v>
      </c>
    </row>
    <row r="8527" spans="1:10" x14ac:dyDescent="0.3">
      <c r="A8527" s="45">
        <v>45320</v>
      </c>
      <c r="B8527" s="396" t="s">
        <v>13427</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12045</v>
      </c>
      <c r="C8529" s="5" t="s">
        <v>12561</v>
      </c>
      <c r="D8529" s="5" t="s">
        <v>13134</v>
      </c>
      <c r="E8529" s="43">
        <v>29280</v>
      </c>
      <c r="F8529" s="43"/>
      <c r="G8529" s="48">
        <f t="shared" si="215"/>
        <v>430676.52150537609</v>
      </c>
      <c r="H8529" s="389" t="s">
        <v>9567</v>
      </c>
    </row>
    <row r="8530" spans="1:8" x14ac:dyDescent="0.3">
      <c r="A8530" s="45">
        <v>45321</v>
      </c>
      <c r="B8530" s="396" t="s">
        <v>13131</v>
      </c>
      <c r="C8530" s="5" t="s">
        <v>11174</v>
      </c>
      <c r="D8530" s="5" t="s">
        <v>13132</v>
      </c>
      <c r="E8530" s="43">
        <v>11060</v>
      </c>
      <c r="F8530" s="43"/>
      <c r="G8530" s="48">
        <f t="shared" si="215"/>
        <v>419616.52150537609</v>
      </c>
      <c r="H8530" s="389" t="s">
        <v>9567</v>
      </c>
    </row>
    <row r="8531" spans="1:8" x14ac:dyDescent="0.3">
      <c r="A8531" s="45">
        <v>45321</v>
      </c>
      <c r="B8531" s="396" t="s">
        <v>13131</v>
      </c>
      <c r="C8531" s="5" t="s">
        <v>5793</v>
      </c>
      <c r="D8531" s="5" t="s">
        <v>40</v>
      </c>
      <c r="E8531" s="43">
        <v>1000</v>
      </c>
      <c r="F8531" s="43"/>
      <c r="G8531" s="48">
        <f t="shared" ref="G8531:G8601" si="216">G8530+F8531-E8531</f>
        <v>418616.52150537609</v>
      </c>
      <c r="H8531" s="389" t="s">
        <v>9567</v>
      </c>
    </row>
    <row r="8532" spans="1:8" x14ac:dyDescent="0.3">
      <c r="A8532" s="45">
        <v>45321</v>
      </c>
      <c r="B8532" s="396" t="s">
        <v>13092</v>
      </c>
      <c r="C8532" s="5" t="s">
        <v>11174</v>
      </c>
      <c r="D8532" s="5" t="s">
        <v>11256</v>
      </c>
      <c r="E8532" s="43">
        <v>1500</v>
      </c>
      <c r="F8532" s="43"/>
      <c r="G8532" s="48">
        <f t="shared" si="216"/>
        <v>417116.52150537609</v>
      </c>
      <c r="H8532" s="389" t="s">
        <v>9567</v>
      </c>
    </row>
    <row r="8533" spans="1:8" x14ac:dyDescent="0.3">
      <c r="A8533" s="45">
        <v>45321</v>
      </c>
      <c r="B8533" s="396" t="s">
        <v>13131</v>
      </c>
      <c r="C8533" s="5" t="s">
        <v>11174</v>
      </c>
      <c r="D8533" s="5" t="s">
        <v>13133</v>
      </c>
      <c r="E8533" s="43">
        <v>2715</v>
      </c>
      <c r="F8533" s="43"/>
      <c r="G8533" s="48">
        <f t="shared" si="216"/>
        <v>414401.52150537609</v>
      </c>
      <c r="H8533" s="389" t="s">
        <v>9567</v>
      </c>
    </row>
    <row r="8534" spans="1:8" x14ac:dyDescent="0.3">
      <c r="A8534" s="45">
        <v>45321</v>
      </c>
      <c r="B8534" s="396" t="s">
        <v>13092</v>
      </c>
      <c r="C8534" s="5" t="s">
        <v>5288</v>
      </c>
      <c r="D8534" s="5" t="s">
        <v>13137</v>
      </c>
      <c r="E8534" s="43">
        <v>5000</v>
      </c>
      <c r="F8534" s="43"/>
      <c r="G8534" s="48">
        <f t="shared" si="216"/>
        <v>409401.52150537609</v>
      </c>
      <c r="H8534" s="389" t="s">
        <v>9567</v>
      </c>
    </row>
    <row r="8535" spans="1:8" x14ac:dyDescent="0.3">
      <c r="A8535" s="45">
        <v>45321</v>
      </c>
      <c r="B8535" s="396" t="s">
        <v>13138</v>
      </c>
      <c r="C8535" s="5" t="s">
        <v>84</v>
      </c>
      <c r="D8535" s="5" t="s">
        <v>13068</v>
      </c>
      <c r="E8535" s="43">
        <v>5000</v>
      </c>
      <c r="F8535" s="43"/>
      <c r="G8535" s="48">
        <f t="shared" si="216"/>
        <v>404401.52150537609</v>
      </c>
      <c r="H8535" s="389" t="s">
        <v>9567</v>
      </c>
    </row>
    <row r="8536" spans="1:8" x14ac:dyDescent="0.3">
      <c r="A8536" s="45">
        <v>45321</v>
      </c>
      <c r="B8536" s="396" t="s">
        <v>13138</v>
      </c>
      <c r="C8536" s="5" t="s">
        <v>30</v>
      </c>
      <c r="D8536" s="5" t="s">
        <v>13148</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13427</v>
      </c>
      <c r="C8539" s="5" t="s">
        <v>3220</v>
      </c>
      <c r="D8539" s="5" t="s">
        <v>13139</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12230</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12796</v>
      </c>
      <c r="C8543" s="5" t="s">
        <v>5793</v>
      </c>
      <c r="D8543" s="5" t="s">
        <v>40</v>
      </c>
      <c r="E8543" s="43">
        <v>2700</v>
      </c>
      <c r="F8543" s="43"/>
      <c r="G8543" s="48">
        <f t="shared" si="216"/>
        <v>335531.52150537609</v>
      </c>
      <c r="H8543" s="389" t="s">
        <v>9567</v>
      </c>
    </row>
    <row r="8544" spans="1:8" x14ac:dyDescent="0.3">
      <c r="A8544" s="45">
        <v>45322</v>
      </c>
      <c r="B8544" s="396" t="s">
        <v>13131</v>
      </c>
      <c r="C8544" s="5" t="s">
        <v>5793</v>
      </c>
      <c r="D8544" s="5" t="s">
        <v>40</v>
      </c>
      <c r="E8544" s="43">
        <v>1500</v>
      </c>
      <c r="F8544" s="43"/>
      <c r="G8544" s="48">
        <f t="shared" si="216"/>
        <v>334031.52150537609</v>
      </c>
      <c r="H8544" s="389" t="s">
        <v>9567</v>
      </c>
    </row>
    <row r="8545" spans="1:14" x14ac:dyDescent="0.3">
      <c r="A8545" s="45">
        <v>45322</v>
      </c>
      <c r="B8545" s="396" t="s">
        <v>12133</v>
      </c>
      <c r="C8545" s="5" t="s">
        <v>12492</v>
      </c>
      <c r="D8545" s="5" t="s">
        <v>13145</v>
      </c>
      <c r="E8545" s="43">
        <v>19100</v>
      </c>
      <c r="F8545" s="43"/>
      <c r="G8545" s="48">
        <f t="shared" si="216"/>
        <v>314931.52150537609</v>
      </c>
      <c r="H8545" s="389" t="s">
        <v>9567</v>
      </c>
    </row>
    <row r="8546" spans="1:14" x14ac:dyDescent="0.3">
      <c r="A8546" s="45">
        <v>45323</v>
      </c>
      <c r="B8546" s="396"/>
      <c r="C8546" s="5" t="s">
        <v>84</v>
      </c>
      <c r="D8546" s="5" t="s">
        <v>13150</v>
      </c>
      <c r="E8546" s="43">
        <v>4000</v>
      </c>
      <c r="F8546" s="43"/>
      <c r="G8546" s="48">
        <f t="shared" si="216"/>
        <v>310931.52150537609</v>
      </c>
      <c r="H8546" s="389" t="s">
        <v>9567</v>
      </c>
    </row>
    <row r="8547" spans="1:14" x14ac:dyDescent="0.3">
      <c r="A8547" s="45">
        <v>45323</v>
      </c>
      <c r="B8547" s="396" t="s">
        <v>13098</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13151</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12133</v>
      </c>
      <c r="C8550" s="5" t="s">
        <v>11174</v>
      </c>
      <c r="D8550" s="5" t="s">
        <v>13153</v>
      </c>
      <c r="E8550" s="43">
        <v>24600</v>
      </c>
      <c r="F8550" s="43"/>
      <c r="G8550" s="48">
        <f t="shared" si="216"/>
        <v>158331.52150537609</v>
      </c>
      <c r="H8550" s="389" t="s">
        <v>9567</v>
      </c>
    </row>
    <row r="8551" spans="1:14" x14ac:dyDescent="0.3">
      <c r="A8551" s="45">
        <v>45324</v>
      </c>
      <c r="B8551" s="396" t="s">
        <v>12796</v>
      </c>
      <c r="C8551" s="5" t="s">
        <v>11174</v>
      </c>
      <c r="D8551" s="5" t="s">
        <v>13152</v>
      </c>
      <c r="E8551" s="43">
        <v>10770</v>
      </c>
      <c r="F8551" s="43"/>
      <c r="G8551" s="48">
        <f t="shared" si="216"/>
        <v>147561.52150537609</v>
      </c>
      <c r="H8551" s="389" t="s">
        <v>9567</v>
      </c>
    </row>
    <row r="8552" spans="1:14" x14ac:dyDescent="0.3">
      <c r="A8552" s="45">
        <v>45324</v>
      </c>
      <c r="B8552" s="396" t="s">
        <v>12796</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13154</v>
      </c>
      <c r="E8553" s="43">
        <v>7000</v>
      </c>
      <c r="F8553" s="43"/>
      <c r="G8553" s="48">
        <f t="shared" si="216"/>
        <v>139561.52150537609</v>
      </c>
      <c r="H8553" s="389" t="s">
        <v>9567</v>
      </c>
      <c r="I8553" s="52">
        <v>18170858</v>
      </c>
      <c r="K8553" s="52">
        <v>250000</v>
      </c>
    </row>
    <row r="8554" spans="1:14" x14ac:dyDescent="0.3">
      <c r="A8554" s="45">
        <v>45324</v>
      </c>
      <c r="B8554" s="396" t="s">
        <v>12133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12796</v>
      </c>
      <c r="C8555" s="5" t="s">
        <v>5793</v>
      </c>
      <c r="D8555" s="5" t="s">
        <v>13156</v>
      </c>
      <c r="E8555" s="43">
        <v>3000</v>
      </c>
      <c r="F8555" s="43"/>
      <c r="G8555" s="48">
        <f t="shared" si="216"/>
        <v>134561.52150537609</v>
      </c>
      <c r="H8555" s="389" t="s">
        <v>9567</v>
      </c>
      <c r="I8555" s="52">
        <f>SUM(I8552:I8554)</f>
        <v>36858346</v>
      </c>
      <c r="K8555" s="52">
        <v>800000</v>
      </c>
    </row>
    <row r="8556" spans="1:14" x14ac:dyDescent="0.3">
      <c r="A8556" s="45">
        <v>45324</v>
      </c>
      <c r="B8556" s="396" t="s">
        <v>12611</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13157</v>
      </c>
      <c r="E8557" s="43">
        <v>25000</v>
      </c>
      <c r="F8557" s="43"/>
      <c r="G8557" s="48">
        <f t="shared" si="216"/>
        <v>99561.521505376091</v>
      </c>
      <c r="H8557" s="389" t="s">
        <v>9567</v>
      </c>
      <c r="K8557" s="52">
        <v>45400</v>
      </c>
    </row>
    <row r="8558" spans="1:14" x14ac:dyDescent="0.3">
      <c r="A8558" s="45">
        <v>45324</v>
      </c>
      <c r="B8558" s="565"/>
      <c r="C8558" s="480"/>
      <c r="D8558" s="491" t="s">
        <v>12269</v>
      </c>
      <c r="E8558" s="480"/>
      <c r="F8558" s="28">
        <v>2000000</v>
      </c>
      <c r="G8558" s="48">
        <f t="shared" si="216"/>
        <v>2099561.5215053763</v>
      </c>
      <c r="H8558" s="389" t="s">
        <v>9567</v>
      </c>
      <c r="K8558" s="52">
        <v>355600</v>
      </c>
    </row>
    <row r="8559" spans="1:14" x14ac:dyDescent="0.3">
      <c r="A8559" s="45">
        <v>45324</v>
      </c>
      <c r="B8559" s="396" t="s">
        <v>25</v>
      </c>
      <c r="C8559" s="5" t="s">
        <v>25</v>
      </c>
      <c r="D8559" s="5" t="s">
        <v>13158</v>
      </c>
      <c r="E8559" s="43">
        <v>2200</v>
      </c>
      <c r="F8559" s="43"/>
      <c r="G8559" s="48">
        <f t="shared" si="216"/>
        <v>2097361.5215053763</v>
      </c>
      <c r="H8559" s="389" t="s">
        <v>9567</v>
      </c>
      <c r="K8559" s="52">
        <f>SUM(K8553:K8558)</f>
        <v>2000000</v>
      </c>
    </row>
    <row r="8560" spans="1:14" x14ac:dyDescent="0.3">
      <c r="A8560" s="45">
        <v>45324</v>
      </c>
      <c r="B8560" s="396" t="s">
        <v>13131</v>
      </c>
      <c r="C8560" s="5" t="s">
        <v>13160</v>
      </c>
      <c r="D8560" s="5" t="s">
        <v>13161</v>
      </c>
      <c r="E8560" s="43">
        <v>500000</v>
      </c>
      <c r="F8560" s="43"/>
      <c r="G8560" s="48">
        <f t="shared" si="216"/>
        <v>1597361.5215053763</v>
      </c>
      <c r="H8560" s="389" t="s">
        <v>9567</v>
      </c>
    </row>
    <row r="8561" spans="1:10" x14ac:dyDescent="0.3">
      <c r="A8561" s="45">
        <v>45325</v>
      </c>
      <c r="B8561" s="396" t="s">
        <v>12133</v>
      </c>
      <c r="C8561" s="5" t="s">
        <v>11174</v>
      </c>
      <c r="D8561" s="5" t="s">
        <v>13200</v>
      </c>
      <c r="E8561" s="43">
        <v>1600</v>
      </c>
      <c r="F8561" s="43"/>
      <c r="G8561" s="48">
        <f t="shared" si="216"/>
        <v>1595761.5215053763</v>
      </c>
      <c r="H8561" s="389" t="s">
        <v>9567</v>
      </c>
    </row>
    <row r="8562" spans="1:10" x14ac:dyDescent="0.3">
      <c r="A8562" s="45">
        <v>45325</v>
      </c>
      <c r="B8562" s="396" t="s">
        <v>12796</v>
      </c>
      <c r="C8562" s="5" t="s">
        <v>5793</v>
      </c>
      <c r="D8562" s="5" t="s">
        <v>13201</v>
      </c>
      <c r="E8562" s="43">
        <v>500</v>
      </c>
      <c r="F8562" s="43"/>
      <c r="G8562" s="48">
        <f t="shared" si="216"/>
        <v>1595261.5215053763</v>
      </c>
      <c r="H8562" s="389" t="s">
        <v>9567</v>
      </c>
    </row>
    <row r="8563" spans="1:10" x14ac:dyDescent="0.3">
      <c r="A8563" s="45">
        <v>45325</v>
      </c>
      <c r="B8563" s="396" t="s">
        <v>12636</v>
      </c>
      <c r="C8563" s="5" t="s">
        <v>11174</v>
      </c>
      <c r="D8563" s="5" t="s">
        <v>13202</v>
      </c>
      <c r="E8563" s="43">
        <v>2115</v>
      </c>
      <c r="F8563" s="43"/>
      <c r="G8563" s="48">
        <f t="shared" si="216"/>
        <v>1593146.5215053763</v>
      </c>
      <c r="H8563" s="389" t="s">
        <v>9567</v>
      </c>
    </row>
    <row r="8564" spans="1:10" x14ac:dyDescent="0.3">
      <c r="A8564" s="45">
        <v>45325</v>
      </c>
      <c r="B8564" s="396" t="s">
        <v>12133</v>
      </c>
      <c r="C8564" s="5" t="s">
        <v>11174</v>
      </c>
      <c r="D8564" s="5" t="s">
        <v>11160</v>
      </c>
      <c r="E8564" s="43">
        <v>3810</v>
      </c>
      <c r="F8564" s="43"/>
      <c r="G8564" s="48">
        <f t="shared" si="216"/>
        <v>1589336.5215053763</v>
      </c>
      <c r="H8564" s="389" t="s">
        <v>9567</v>
      </c>
    </row>
    <row r="8565" spans="1:10" x14ac:dyDescent="0.3">
      <c r="A8565" s="45">
        <v>45325</v>
      </c>
      <c r="B8565" s="396" t="s">
        <v>12133</v>
      </c>
      <c r="C8565" s="5" t="s">
        <v>11174</v>
      </c>
      <c r="D8565" s="5" t="s">
        <v>2242</v>
      </c>
      <c r="E8565" s="43">
        <v>1500</v>
      </c>
      <c r="F8565" s="43"/>
      <c r="G8565" s="48">
        <f t="shared" si="216"/>
        <v>1587836.5215053763</v>
      </c>
      <c r="H8565" s="389" t="s">
        <v>9567</v>
      </c>
    </row>
    <row r="8566" spans="1:10" x14ac:dyDescent="0.3">
      <c r="A8566" s="45">
        <v>45325</v>
      </c>
      <c r="B8566" s="396" t="s">
        <v>12133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12796</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12796</v>
      </c>
      <c r="C8568" s="5" t="s">
        <v>11174</v>
      </c>
      <c r="D8568" s="5" t="s">
        <v>13159</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13162</v>
      </c>
      <c r="E8569" s="43">
        <v>1000</v>
      </c>
      <c r="F8569" s="43"/>
      <c r="G8569" s="48">
        <f t="shared" si="216"/>
        <v>1494270.5215053763</v>
      </c>
      <c r="H8569" s="389" t="s">
        <v>9567</v>
      </c>
    </row>
    <row r="8570" spans="1:10" x14ac:dyDescent="0.3">
      <c r="A8570" s="45">
        <v>45325</v>
      </c>
      <c r="B8570" s="396" t="s">
        <v>12796</v>
      </c>
      <c r="C8570" s="5" t="s">
        <v>2059</v>
      </c>
      <c r="D8570" s="5" t="s">
        <v>13163</v>
      </c>
      <c r="E8570" s="43">
        <v>158700</v>
      </c>
      <c r="F8570" s="43"/>
      <c r="G8570" s="48">
        <f t="shared" si="216"/>
        <v>1335570.5215053763</v>
      </c>
      <c r="H8570" s="389" t="s">
        <v>9567</v>
      </c>
    </row>
    <row r="8571" spans="1:10" x14ac:dyDescent="0.3">
      <c r="A8571" s="45">
        <v>45325</v>
      </c>
      <c r="B8571" s="406" t="s">
        <v>12611</v>
      </c>
      <c r="C8571" s="61" t="s">
        <v>54</v>
      </c>
      <c r="D8571" s="61" t="s">
        <v>13164</v>
      </c>
      <c r="E8571" s="62">
        <v>649700</v>
      </c>
      <c r="F8571" s="43"/>
      <c r="G8571" s="48">
        <f t="shared" si="216"/>
        <v>685870.52150537632</v>
      </c>
      <c r="H8571" s="389" t="s">
        <v>9567</v>
      </c>
    </row>
    <row r="8572" spans="1:10" x14ac:dyDescent="0.3">
      <c r="A8572" s="45">
        <v>45325</v>
      </c>
      <c r="B8572" s="406" t="s">
        <v>12080</v>
      </c>
      <c r="C8572" s="61" t="s">
        <v>54</v>
      </c>
      <c r="D8572" s="61" t="s">
        <v>12746</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13427</v>
      </c>
      <c r="C8574" s="61" t="s">
        <v>54</v>
      </c>
      <c r="D8574" s="61" t="s">
        <v>13165</v>
      </c>
      <c r="E8574" s="62">
        <f>24700+36500</f>
        <v>61200</v>
      </c>
      <c r="F8574" s="43"/>
      <c r="G8574" s="48">
        <f t="shared" si="216"/>
        <v>194993.1021505376</v>
      </c>
      <c r="H8574" s="389" t="s">
        <v>9567</v>
      </c>
      <c r="I8574" s="583" t="s">
        <v>12514</v>
      </c>
      <c r="J8574" s="187" t="e">
        <f>#REF!</f>
        <v>#REF!</v>
      </c>
    </row>
    <row r="8575" spans="1:10" x14ac:dyDescent="0.3">
      <c r="A8575" s="45">
        <v>45325</v>
      </c>
      <c r="B8575" s="406" t="s">
        <v>12133</v>
      </c>
      <c r="C8575" s="61" t="s">
        <v>54</v>
      </c>
      <c r="D8575" s="61" t="s">
        <v>12753</v>
      </c>
      <c r="E8575" s="62">
        <v>42700</v>
      </c>
      <c r="F8575" s="43"/>
      <c r="G8575" s="48">
        <f t="shared" si="216"/>
        <v>152293.1021505376</v>
      </c>
      <c r="H8575" s="389" t="s">
        <v>9567</v>
      </c>
      <c r="I8575" s="583" t="s">
        <v>55</v>
      </c>
      <c r="J8575" s="187">
        <f ca="1">SUMIF(C8571:E8630,"salary",E8571:E8630)</f>
        <v>2197844.2096774192</v>
      </c>
    </row>
    <row r="8576" spans="1:10" x14ac:dyDescent="0.3">
      <c r="A8576" s="45">
        <v>45325</v>
      </c>
      <c r="B8576" s="406" t="s">
        <v>12135</v>
      </c>
      <c r="C8576" s="61" t="s">
        <v>54</v>
      </c>
      <c r="D8576" s="61" t="s">
        <v>13166</v>
      </c>
      <c r="E8576" s="62">
        <v>36200</v>
      </c>
      <c r="F8576" s="43"/>
      <c r="G8576" s="48">
        <f t="shared" si="216"/>
        <v>116093.1021505376</v>
      </c>
      <c r="H8576" s="389" t="s">
        <v>9567</v>
      </c>
      <c r="I8576" s="583" t="s">
        <v>12233</v>
      </c>
      <c r="J8576" s="187" t="e">
        <f ca="1">J8574-J8575</f>
        <v>#REF!</v>
      </c>
    </row>
    <row r="8577" spans="1:12" x14ac:dyDescent="0.3">
      <c r="A8577" s="45">
        <v>45325</v>
      </c>
      <c r="B8577" s="396" t="s">
        <v>25</v>
      </c>
      <c r="C8577" s="5" t="s">
        <v>3205</v>
      </c>
      <c r="D8577" s="5" t="s">
        <v>13167</v>
      </c>
      <c r="E8577" s="43">
        <v>1000</v>
      </c>
      <c r="F8577" s="43"/>
      <c r="G8577" s="48">
        <f t="shared" si="216"/>
        <v>115093.1021505376</v>
      </c>
      <c r="H8577" s="389" t="s">
        <v>9567</v>
      </c>
      <c r="L8577" s="93">
        <f>E8581+E8580+E8576+E8575+E8574+E8573+E8572+E8571</f>
        <v>1298567.4193548388</v>
      </c>
    </row>
    <row r="8578" spans="1:12" x14ac:dyDescent="0.3">
      <c r="A8578" s="45">
        <v>45325</v>
      </c>
      <c r="B8578" s="396" t="s">
        <v>12080</v>
      </c>
      <c r="C8578" s="5" t="s">
        <v>26</v>
      </c>
      <c r="D8578" s="5" t="s">
        <v>13168</v>
      </c>
      <c r="E8578" s="43">
        <v>3000</v>
      </c>
      <c r="F8578" s="43"/>
      <c r="G8578" s="48">
        <f t="shared" si="216"/>
        <v>112093.1021505376</v>
      </c>
      <c r="H8578" s="389" t="s">
        <v>9567</v>
      </c>
    </row>
    <row r="8579" spans="1:12" x14ac:dyDescent="0.3">
      <c r="A8579" s="45">
        <v>45325</v>
      </c>
      <c r="B8579" s="396" t="s">
        <v>12054</v>
      </c>
      <c r="C8579" s="5" t="s">
        <v>9758</v>
      </c>
      <c r="D8579" s="5" t="s">
        <v>13187</v>
      </c>
      <c r="E8579" s="43">
        <v>5000</v>
      </c>
      <c r="F8579" s="43"/>
      <c r="G8579" s="48">
        <f t="shared" si="216"/>
        <v>107093.1021505376</v>
      </c>
      <c r="H8579" s="389" t="s">
        <v>9567</v>
      </c>
    </row>
    <row r="8580" spans="1:12" x14ac:dyDescent="0.3">
      <c r="A8580" s="45">
        <v>45328</v>
      </c>
      <c r="B8580" s="406" t="s">
        <v>12133</v>
      </c>
      <c r="C8580" s="61" t="s">
        <v>54</v>
      </c>
      <c r="D8580" s="61" t="s">
        <v>13170</v>
      </c>
      <c r="E8580" s="62">
        <v>44250</v>
      </c>
      <c r="F8580" s="43"/>
      <c r="G8580" s="48">
        <f t="shared" si="216"/>
        <v>62843.102150537597</v>
      </c>
      <c r="H8580" s="389" t="s">
        <v>9567</v>
      </c>
    </row>
    <row r="8581" spans="1:12" x14ac:dyDescent="0.3">
      <c r="A8581" s="45">
        <v>45328</v>
      </c>
      <c r="B8581" s="406" t="s">
        <v>12133</v>
      </c>
      <c r="C8581" s="61" t="s">
        <v>54</v>
      </c>
      <c r="D8581" s="61" t="s">
        <v>13171</v>
      </c>
      <c r="E8581" s="62">
        <v>34840</v>
      </c>
      <c r="F8581" s="43"/>
      <c r="G8581" s="48">
        <f t="shared" si="216"/>
        <v>28003.102150537597</v>
      </c>
      <c r="H8581" s="389" t="s">
        <v>9567</v>
      </c>
      <c r="L8581" s="93"/>
    </row>
    <row r="8582" spans="1:12" x14ac:dyDescent="0.3">
      <c r="A8582" s="45">
        <v>45328</v>
      </c>
      <c r="B8582" s="396" t="s">
        <v>12796</v>
      </c>
      <c r="C8582" s="5" t="s">
        <v>5793</v>
      </c>
      <c r="D8582" s="5" t="s">
        <v>13172</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13188</v>
      </c>
      <c r="C8585" s="5" t="s">
        <v>9758</v>
      </c>
      <c r="D8585" s="5" t="s">
        <v>13189</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12796</v>
      </c>
      <c r="C8588" s="5" t="s">
        <v>5793</v>
      </c>
      <c r="D8588" s="5" t="s">
        <v>40</v>
      </c>
      <c r="E8588" s="43">
        <v>1700</v>
      </c>
      <c r="F8588" s="43"/>
      <c r="G8588" s="48">
        <f t="shared" si="216"/>
        <v>803.10215053759748</v>
      </c>
      <c r="H8588" s="389" t="s">
        <v>9567</v>
      </c>
    </row>
    <row r="8589" spans="1:12" x14ac:dyDescent="0.3">
      <c r="A8589" s="45">
        <v>45328</v>
      </c>
      <c r="B8589" s="565"/>
      <c r="C8589" s="480"/>
      <c r="D8589" s="491" t="s">
        <v>12269</v>
      </c>
      <c r="E8589" s="480"/>
      <c r="F8589" s="28">
        <v>1500000</v>
      </c>
      <c r="G8589" s="48">
        <f t="shared" si="216"/>
        <v>1500803.1021505375</v>
      </c>
      <c r="H8589" s="389" t="s">
        <v>9567</v>
      </c>
    </row>
    <row r="8590" spans="1:12" x14ac:dyDescent="0.3">
      <c r="A8590" s="45">
        <v>45328</v>
      </c>
      <c r="B8590" s="406" t="s">
        <v>12573</v>
      </c>
      <c r="C8590" s="61" t="s">
        <v>54</v>
      </c>
      <c r="D8590" s="61" t="s">
        <v>12520</v>
      </c>
      <c r="E8590" s="62">
        <v>45000</v>
      </c>
      <c r="F8590" s="43"/>
      <c r="G8590" s="48">
        <f t="shared" si="216"/>
        <v>1455803.1021505375</v>
      </c>
      <c r="H8590" s="389" t="s">
        <v>9567</v>
      </c>
    </row>
    <row r="8591" spans="1:12" x14ac:dyDescent="0.3">
      <c r="A8591" s="45">
        <v>45328</v>
      </c>
      <c r="B8591" s="406" t="s">
        <v>12796</v>
      </c>
      <c r="C8591" s="61" t="s">
        <v>54</v>
      </c>
      <c r="D8591" s="61" t="s">
        <v>6245</v>
      </c>
      <c r="E8591" s="62">
        <v>100500</v>
      </c>
      <c r="F8591" s="43"/>
      <c r="G8591" s="48">
        <f t="shared" si="216"/>
        <v>1355303.1021505375</v>
      </c>
      <c r="H8591" s="389" t="s">
        <v>9567</v>
      </c>
    </row>
    <row r="8592" spans="1:12" x14ac:dyDescent="0.3">
      <c r="A8592" s="45">
        <v>45329</v>
      </c>
      <c r="B8592" s="396" t="s">
        <v>12133</v>
      </c>
      <c r="C8592" s="5" t="s">
        <v>11174</v>
      </c>
      <c r="D8592" s="5" t="s">
        <v>13177</v>
      </c>
      <c r="E8592" s="43">
        <v>25500</v>
      </c>
      <c r="F8592" s="43"/>
      <c r="G8592" s="48">
        <f t="shared" si="216"/>
        <v>1329803.1021505375</v>
      </c>
      <c r="H8592" s="389" t="s">
        <v>9567</v>
      </c>
    </row>
    <row r="8593" spans="1:9" x14ac:dyDescent="0.3">
      <c r="A8593" s="45">
        <v>45329</v>
      </c>
      <c r="B8593" s="406" t="s">
        <v>12079</v>
      </c>
      <c r="C8593" s="61" t="s">
        <v>54</v>
      </c>
      <c r="D8593" s="61" t="s">
        <v>6253</v>
      </c>
      <c r="E8593" s="62">
        <v>137891.12903225806</v>
      </c>
      <c r="F8593" s="43"/>
      <c r="G8593" s="48">
        <f t="shared" si="216"/>
        <v>1191911.9731182796</v>
      </c>
      <c r="H8593" s="389" t="s">
        <v>9567</v>
      </c>
    </row>
    <row r="8594" spans="1:9" x14ac:dyDescent="0.3">
      <c r="A8594" s="45">
        <v>45329</v>
      </c>
      <c r="B8594" s="406" t="s">
        <v>12055</v>
      </c>
      <c r="C8594" s="61" t="s">
        <v>54</v>
      </c>
      <c r="D8594" s="61" t="s">
        <v>13178</v>
      </c>
      <c r="E8594" s="62">
        <v>128949.59677419355</v>
      </c>
      <c r="F8594" s="43"/>
      <c r="G8594" s="48">
        <f t="shared" si="216"/>
        <v>1062962.3763440861</v>
      </c>
      <c r="H8594" s="389" t="s">
        <v>9567</v>
      </c>
    </row>
    <row r="8595" spans="1:9" x14ac:dyDescent="0.3">
      <c r="A8595" s="45">
        <v>45329</v>
      </c>
      <c r="B8595" s="396" t="s">
        <v>13427</v>
      </c>
      <c r="C8595" s="61" t="s">
        <v>54</v>
      </c>
      <c r="D8595" s="61" t="s">
        <v>13179</v>
      </c>
      <c r="E8595" s="62">
        <f>166068+16600</f>
        <v>182668</v>
      </c>
      <c r="F8595" s="43"/>
      <c r="G8595" s="48">
        <f t="shared" si="216"/>
        <v>880294.37634408614</v>
      </c>
      <c r="H8595" s="389" t="s">
        <v>9567</v>
      </c>
    </row>
    <row r="8596" spans="1:9" x14ac:dyDescent="0.3">
      <c r="A8596" s="45">
        <v>45329</v>
      </c>
      <c r="B8596" s="406" t="s">
        <v>12573</v>
      </c>
      <c r="C8596" s="61" t="s">
        <v>54</v>
      </c>
      <c r="D8596" s="61" t="s">
        <v>13180</v>
      </c>
      <c r="E8596" s="62">
        <v>62250</v>
      </c>
      <c r="F8596" s="43"/>
      <c r="G8596" s="48">
        <f t="shared" si="216"/>
        <v>818044.37634408614</v>
      </c>
      <c r="H8596" s="389" t="s">
        <v>9567</v>
      </c>
      <c r="I8596" s="52">
        <f>72661+43407+50000</f>
        <v>166068</v>
      </c>
    </row>
    <row r="8597" spans="1:9" x14ac:dyDescent="0.3">
      <c r="A8597" s="45">
        <v>45329</v>
      </c>
      <c r="B8597" s="406" t="s">
        <v>12086</v>
      </c>
      <c r="C8597" s="61" t="s">
        <v>54</v>
      </c>
      <c r="D8597" s="61" t="s">
        <v>12996</v>
      </c>
      <c r="E8597" s="62">
        <v>60000</v>
      </c>
      <c r="F8597" s="43"/>
      <c r="G8597" s="48">
        <f t="shared" si="216"/>
        <v>758044.37634408614</v>
      </c>
      <c r="H8597" s="389" t="s">
        <v>9567</v>
      </c>
    </row>
    <row r="8598" spans="1:9" x14ac:dyDescent="0.3">
      <c r="A8598" s="45">
        <v>45329</v>
      </c>
      <c r="B8598" s="406" t="s">
        <v>12086</v>
      </c>
      <c r="C8598" s="61" t="s">
        <v>54</v>
      </c>
      <c r="D8598" s="61" t="s">
        <v>13181</v>
      </c>
      <c r="E8598" s="62">
        <v>38258.06451612903</v>
      </c>
      <c r="F8598" s="43"/>
      <c r="G8598" s="48">
        <f t="shared" si="216"/>
        <v>719786.31182795716</v>
      </c>
      <c r="H8598" s="389" t="s">
        <v>9567</v>
      </c>
    </row>
    <row r="8599" spans="1:9" x14ac:dyDescent="0.3">
      <c r="A8599" s="45">
        <v>45329</v>
      </c>
      <c r="B8599" s="406" t="s">
        <v>12796</v>
      </c>
      <c r="C8599" s="61" t="s">
        <v>54</v>
      </c>
      <c r="D8599" s="61" t="s">
        <v>12532</v>
      </c>
      <c r="E8599" s="62">
        <v>51900</v>
      </c>
      <c r="F8599" s="43"/>
      <c r="G8599" s="48">
        <f t="shared" si="216"/>
        <v>667886.31182795716</v>
      </c>
      <c r="H8599" s="389" t="s">
        <v>9567</v>
      </c>
    </row>
    <row r="8600" spans="1:9" x14ac:dyDescent="0.3">
      <c r="A8600" s="45">
        <v>45329</v>
      </c>
      <c r="B8600" s="406" t="s">
        <v>12133</v>
      </c>
      <c r="C8600" s="61" t="s">
        <v>54</v>
      </c>
      <c r="D8600" s="61" t="s">
        <v>12762</v>
      </c>
      <c r="E8600" s="62">
        <v>41010</v>
      </c>
      <c r="F8600" s="43"/>
      <c r="G8600" s="48">
        <f t="shared" si="216"/>
        <v>626876.31182795716</v>
      </c>
      <c r="H8600" s="389" t="s">
        <v>9567</v>
      </c>
    </row>
    <row r="8601" spans="1:9" x14ac:dyDescent="0.3">
      <c r="A8601" s="45">
        <v>45329</v>
      </c>
      <c r="B8601" s="406" t="s">
        <v>12055</v>
      </c>
      <c r="C8601" s="61" t="s">
        <v>54</v>
      </c>
      <c r="D8601" s="61" t="s">
        <v>13182</v>
      </c>
      <c r="E8601" s="62">
        <v>31000</v>
      </c>
      <c r="F8601" s="43"/>
      <c r="G8601" s="48">
        <f t="shared" si="216"/>
        <v>595876.31182795716</v>
      </c>
      <c r="H8601" s="389" t="s">
        <v>9567</v>
      </c>
    </row>
    <row r="8602" spans="1:9" x14ac:dyDescent="0.3">
      <c r="A8602" s="45">
        <v>45329</v>
      </c>
      <c r="B8602" s="510" t="s">
        <v>12133</v>
      </c>
      <c r="C8602" s="509" t="s">
        <v>11174</v>
      </c>
      <c r="D8602" s="509" t="s">
        <v>13183</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12049</v>
      </c>
      <c r="C8604" s="61" t="s">
        <v>54</v>
      </c>
      <c r="D8604" s="61" t="s">
        <v>12929</v>
      </c>
      <c r="E8604" s="62">
        <v>17750</v>
      </c>
      <c r="F8604" s="43"/>
      <c r="G8604" s="48">
        <f t="shared" si="217"/>
        <v>575126.31182795716</v>
      </c>
      <c r="H8604" s="389" t="s">
        <v>9567</v>
      </c>
    </row>
    <row r="8605" spans="1:9" x14ac:dyDescent="0.3">
      <c r="A8605" s="45">
        <v>45329</v>
      </c>
      <c r="B8605" s="396" t="s">
        <v>12049</v>
      </c>
      <c r="C8605" s="5" t="s">
        <v>4055</v>
      </c>
      <c r="D8605" s="5" t="s">
        <v>294</v>
      </c>
      <c r="E8605" s="43">
        <v>35000</v>
      </c>
      <c r="F8605" s="43"/>
      <c r="G8605" s="48">
        <f t="shared" si="217"/>
        <v>540126.31182795716</v>
      </c>
      <c r="H8605" s="389" t="s">
        <v>9567</v>
      </c>
    </row>
    <row r="8606" spans="1:9" x14ac:dyDescent="0.3">
      <c r="A8606" s="45">
        <v>45329</v>
      </c>
      <c r="B8606" s="396" t="s">
        <v>12086</v>
      </c>
      <c r="C8606" s="5" t="s">
        <v>5793</v>
      </c>
      <c r="D8606" s="5" t="s">
        <v>40</v>
      </c>
      <c r="E8606" s="43">
        <v>2700</v>
      </c>
      <c r="F8606" s="43"/>
      <c r="G8606" s="48">
        <f t="shared" si="217"/>
        <v>537426.31182795716</v>
      </c>
      <c r="H8606" s="389" t="s">
        <v>9567</v>
      </c>
    </row>
    <row r="8607" spans="1:9" x14ac:dyDescent="0.3">
      <c r="A8607" s="45">
        <v>45331</v>
      </c>
      <c r="B8607" s="565"/>
      <c r="C8607" s="480"/>
      <c r="D8607" s="491" t="s">
        <v>4106</v>
      </c>
      <c r="E8607" s="480"/>
      <c r="F8607" s="28">
        <v>350000</v>
      </c>
      <c r="G8607" s="48">
        <f t="shared" si="217"/>
        <v>887426.31182795716</v>
      </c>
      <c r="H8607" s="389" t="s">
        <v>9567</v>
      </c>
    </row>
    <row r="8608" spans="1:9" x14ac:dyDescent="0.3">
      <c r="A8608" s="45">
        <v>45331</v>
      </c>
      <c r="B8608" s="396"/>
      <c r="C8608" s="5" t="s">
        <v>14</v>
      </c>
      <c r="D8608" s="5" t="s">
        <v>13190</v>
      </c>
      <c r="E8608" s="43">
        <v>102000</v>
      </c>
      <c r="F8608" s="43"/>
      <c r="G8608" s="48">
        <f t="shared" si="217"/>
        <v>785426.31182795716</v>
      </c>
      <c r="H8608" s="389" t="s">
        <v>9567</v>
      </c>
    </row>
    <row r="8609" spans="1:8" x14ac:dyDescent="0.3">
      <c r="A8609" s="45">
        <v>45331</v>
      </c>
      <c r="B8609" s="396"/>
      <c r="C8609" s="5" t="s">
        <v>14</v>
      </c>
      <c r="D8609" s="5" t="s">
        <v>13191</v>
      </c>
      <c r="E8609" s="43">
        <v>9031</v>
      </c>
      <c r="F8609" s="43"/>
      <c r="G8609" s="48">
        <f t="shared" si="217"/>
        <v>776395.31182795716</v>
      </c>
      <c r="H8609" s="389" t="s">
        <v>9567</v>
      </c>
    </row>
    <row r="8610" spans="1:8" x14ac:dyDescent="0.3">
      <c r="A8610" s="45">
        <v>45331</v>
      </c>
      <c r="B8610" s="396" t="s">
        <v>12573</v>
      </c>
      <c r="C8610" s="5" t="s">
        <v>12140</v>
      </c>
      <c r="D8610" s="5" t="s">
        <v>294</v>
      </c>
      <c r="E8610" s="43">
        <v>50000</v>
      </c>
      <c r="F8610" s="43"/>
      <c r="G8610" s="48">
        <f t="shared" si="217"/>
        <v>726395.31182795716</v>
      </c>
      <c r="H8610" s="389" t="s">
        <v>9567</v>
      </c>
    </row>
    <row r="8611" spans="1:8" x14ac:dyDescent="0.3">
      <c r="A8611" s="45">
        <v>45331</v>
      </c>
      <c r="B8611" s="510" t="s">
        <v>13131</v>
      </c>
      <c r="C8611" s="509" t="s">
        <v>11174</v>
      </c>
      <c r="D8611" s="509" t="s">
        <v>13193</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12133</v>
      </c>
      <c r="C8613" s="5" t="s">
        <v>5793</v>
      </c>
      <c r="D8613" s="5" t="s">
        <v>40</v>
      </c>
      <c r="E8613" s="43">
        <v>2000</v>
      </c>
      <c r="F8613" s="43"/>
      <c r="G8613" s="48">
        <f t="shared" si="218"/>
        <v>718395.31182795716</v>
      </c>
      <c r="H8613" s="389" t="s">
        <v>9567</v>
      </c>
    </row>
    <row r="8614" spans="1:8" x14ac:dyDescent="0.3">
      <c r="A8614" s="45">
        <v>45331</v>
      </c>
      <c r="B8614" s="396" t="s">
        <v>12050</v>
      </c>
      <c r="C8614" s="5" t="s">
        <v>5288</v>
      </c>
      <c r="D8614" s="5" t="s">
        <v>294</v>
      </c>
      <c r="E8614" s="43">
        <v>50000</v>
      </c>
      <c r="F8614" s="43"/>
      <c r="G8614" s="48">
        <f t="shared" si="218"/>
        <v>668395.31182795716</v>
      </c>
      <c r="H8614" s="389" t="s">
        <v>9567</v>
      </c>
    </row>
    <row r="8615" spans="1:8" x14ac:dyDescent="0.3">
      <c r="A8615" s="45">
        <v>45331</v>
      </c>
      <c r="B8615" s="396" t="s">
        <v>12046</v>
      </c>
      <c r="C8615" s="5" t="s">
        <v>5288</v>
      </c>
      <c r="D8615" s="5" t="s">
        <v>294</v>
      </c>
      <c r="E8615" s="43">
        <v>25000</v>
      </c>
      <c r="F8615" s="43"/>
      <c r="G8615" s="48">
        <f t="shared" si="218"/>
        <v>643395.31182795716</v>
      </c>
      <c r="H8615" s="389" t="s">
        <v>9567</v>
      </c>
    </row>
    <row r="8616" spans="1:8" x14ac:dyDescent="0.3">
      <c r="A8616" s="45">
        <v>45332</v>
      </c>
      <c r="B8616" s="396" t="s">
        <v>13427</v>
      </c>
      <c r="C8616" s="5" t="s">
        <v>12561</v>
      </c>
      <c r="D8616" s="5" t="s">
        <v>13195</v>
      </c>
      <c r="E8616" s="43">
        <v>12000</v>
      </c>
      <c r="F8616" s="43"/>
      <c r="G8616" s="48">
        <f t="shared" si="218"/>
        <v>631395.31182795716</v>
      </c>
      <c r="H8616" s="389" t="s">
        <v>9567</v>
      </c>
    </row>
    <row r="8617" spans="1:8" x14ac:dyDescent="0.3">
      <c r="A8617" s="45">
        <v>45332</v>
      </c>
      <c r="B8617" s="396"/>
      <c r="C8617" s="5" t="s">
        <v>5162</v>
      </c>
      <c r="D8617" s="5" t="s">
        <v>13196</v>
      </c>
      <c r="E8617" s="43">
        <v>2000</v>
      </c>
      <c r="F8617" s="43"/>
      <c r="G8617" s="48">
        <f t="shared" si="218"/>
        <v>629395.31182795716</v>
      </c>
      <c r="H8617" s="389" t="s">
        <v>9567</v>
      </c>
    </row>
    <row r="8618" spans="1:8" x14ac:dyDescent="0.3">
      <c r="A8618" s="45">
        <v>45332</v>
      </c>
      <c r="B8618" s="396" t="s">
        <v>12133</v>
      </c>
      <c r="C8618" s="5" t="s">
        <v>5793</v>
      </c>
      <c r="D8618" s="5" t="s">
        <v>13197</v>
      </c>
      <c r="E8618" s="43">
        <v>3500</v>
      </c>
      <c r="F8618" s="43"/>
      <c r="G8618" s="48">
        <f t="shared" si="218"/>
        <v>625895.31182795716</v>
      </c>
      <c r="H8618" s="389" t="s">
        <v>9567</v>
      </c>
    </row>
    <row r="8619" spans="1:8" x14ac:dyDescent="0.3">
      <c r="A8619" s="45">
        <v>45332</v>
      </c>
      <c r="B8619" s="396" t="s">
        <v>13198</v>
      </c>
      <c r="C8619" s="5" t="s">
        <v>5793</v>
      </c>
      <c r="D8619" s="5" t="s">
        <v>13199</v>
      </c>
      <c r="E8619" s="43">
        <v>2200</v>
      </c>
      <c r="F8619" s="43"/>
      <c r="G8619" s="48">
        <f t="shared" si="218"/>
        <v>623695.31182795716</v>
      </c>
      <c r="H8619" s="389" t="s">
        <v>9567</v>
      </c>
    </row>
    <row r="8620" spans="1:8" x14ac:dyDescent="0.3">
      <c r="A8620" s="45">
        <v>45332</v>
      </c>
      <c r="B8620" s="396"/>
      <c r="C8620" s="5" t="s">
        <v>6430</v>
      </c>
      <c r="D8620" s="5" t="s">
        <v>13203</v>
      </c>
      <c r="E8620" s="43">
        <v>6000</v>
      </c>
      <c r="F8620" s="43"/>
      <c r="G8620" s="48">
        <f t="shared" si="218"/>
        <v>617695.31182795716</v>
      </c>
      <c r="H8620" s="389" t="s">
        <v>9567</v>
      </c>
    </row>
    <row r="8621" spans="1:8" x14ac:dyDescent="0.3">
      <c r="A8621" s="45">
        <v>45332</v>
      </c>
      <c r="B8621" s="396" t="s">
        <v>12796</v>
      </c>
      <c r="C8621" s="5" t="s">
        <v>12561</v>
      </c>
      <c r="D8621" s="5" t="s">
        <v>13204</v>
      </c>
      <c r="E8621" s="43">
        <v>85000</v>
      </c>
      <c r="F8621" s="43"/>
      <c r="G8621" s="48">
        <f t="shared" si="218"/>
        <v>532695.31182795716</v>
      </c>
      <c r="H8621" s="389" t="s">
        <v>9567</v>
      </c>
    </row>
    <row r="8622" spans="1:8" x14ac:dyDescent="0.3">
      <c r="A8622" s="45">
        <v>45332</v>
      </c>
      <c r="B8622" s="396" t="s">
        <v>10319</v>
      </c>
      <c r="C8622" s="5" t="s">
        <v>7737</v>
      </c>
      <c r="D8622" s="5" t="s">
        <v>13205</v>
      </c>
      <c r="E8622" s="43">
        <v>24000</v>
      </c>
      <c r="F8622" s="43"/>
      <c r="G8622" s="48">
        <f t="shared" si="218"/>
        <v>508695.31182795716</v>
      </c>
      <c r="H8622" s="389" t="s">
        <v>9567</v>
      </c>
    </row>
    <row r="8623" spans="1:8" x14ac:dyDescent="0.3">
      <c r="A8623" s="45">
        <v>45332</v>
      </c>
      <c r="B8623" s="396" t="s">
        <v>13427</v>
      </c>
      <c r="C8623" s="5" t="s">
        <v>5793</v>
      </c>
      <c r="D8623" s="5" t="s">
        <v>40</v>
      </c>
      <c r="E8623" s="43">
        <v>3000</v>
      </c>
      <c r="F8623" s="43"/>
      <c r="G8623" s="48">
        <f t="shared" si="218"/>
        <v>505695.31182795716</v>
      </c>
      <c r="H8623" s="389" t="s">
        <v>9567</v>
      </c>
    </row>
    <row r="8624" spans="1:8" x14ac:dyDescent="0.3">
      <c r="A8624" s="45">
        <v>45332</v>
      </c>
      <c r="B8624" s="396" t="s">
        <v>12796</v>
      </c>
      <c r="C8624" s="5" t="s">
        <v>5793</v>
      </c>
      <c r="D8624" s="5" t="s">
        <v>40</v>
      </c>
      <c r="E8624" s="43">
        <v>600</v>
      </c>
      <c r="F8624" s="43"/>
      <c r="G8624" s="48">
        <f t="shared" si="218"/>
        <v>505095.31182795716</v>
      </c>
      <c r="H8624" s="389" t="s">
        <v>9567</v>
      </c>
    </row>
    <row r="8625" spans="1:14" x14ac:dyDescent="0.3">
      <c r="A8625" s="45">
        <v>45332</v>
      </c>
      <c r="B8625" s="396" t="s">
        <v>12054</v>
      </c>
      <c r="C8625" s="5" t="s">
        <v>9758</v>
      </c>
      <c r="D8625" s="5" t="s">
        <v>13206</v>
      </c>
      <c r="E8625" s="43">
        <v>5000</v>
      </c>
      <c r="F8625" s="43"/>
      <c r="G8625" s="48">
        <f t="shared" si="218"/>
        <v>500095.31182795716</v>
      </c>
      <c r="H8625" s="389" t="s">
        <v>9567</v>
      </c>
    </row>
    <row r="8626" spans="1:14" x14ac:dyDescent="0.3">
      <c r="A8626" s="45">
        <v>45332</v>
      </c>
      <c r="B8626" s="396" t="s">
        <v>12796</v>
      </c>
      <c r="C8626" s="5" t="s">
        <v>11174</v>
      </c>
      <c r="D8626" s="5" t="s">
        <v>13207</v>
      </c>
      <c r="E8626" s="43">
        <v>7500</v>
      </c>
      <c r="F8626" s="43"/>
      <c r="G8626" s="48">
        <f t="shared" si="218"/>
        <v>492595.31182795716</v>
      </c>
      <c r="H8626" s="389" t="s">
        <v>9567</v>
      </c>
    </row>
    <row r="8627" spans="1:14" x14ac:dyDescent="0.3">
      <c r="A8627" s="45">
        <v>45332</v>
      </c>
      <c r="B8627" s="396" t="s">
        <v>12079</v>
      </c>
      <c r="C8627" s="5" t="s">
        <v>54</v>
      </c>
      <c r="D8627" s="5" t="s">
        <v>13208</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12796</v>
      </c>
      <c r="C8629" s="5" t="s">
        <v>5793</v>
      </c>
      <c r="D8629" s="5" t="s">
        <v>40</v>
      </c>
      <c r="E8629" s="43">
        <v>450</v>
      </c>
      <c r="F8629" s="43"/>
      <c r="G8629" s="48">
        <f t="shared" si="218"/>
        <v>485045.31182795716</v>
      </c>
      <c r="H8629" s="389" t="s">
        <v>9567</v>
      </c>
    </row>
    <row r="8630" spans="1:14" x14ac:dyDescent="0.3">
      <c r="A8630" s="45">
        <v>45332</v>
      </c>
      <c r="B8630" s="396" t="s">
        <v>13209</v>
      </c>
      <c r="C8630" s="5" t="s">
        <v>13210</v>
      </c>
      <c r="D8630" s="5" t="s">
        <v>13211</v>
      </c>
      <c r="E8630" s="43">
        <v>20900</v>
      </c>
      <c r="F8630" s="43"/>
      <c r="G8630" s="48">
        <f t="shared" si="218"/>
        <v>464145.31182795716</v>
      </c>
      <c r="H8630" s="389" t="s">
        <v>9567</v>
      </c>
    </row>
    <row r="8631" spans="1:14" x14ac:dyDescent="0.3">
      <c r="A8631" s="45">
        <v>45332</v>
      </c>
      <c r="B8631" s="396" t="s">
        <v>12796</v>
      </c>
      <c r="C8631" s="5" t="s">
        <v>5793</v>
      </c>
      <c r="D8631" s="5" t="s">
        <v>40</v>
      </c>
      <c r="E8631" s="43">
        <v>600</v>
      </c>
      <c r="F8631" s="43"/>
      <c r="G8631" s="48">
        <f t="shared" si="218"/>
        <v>463545.31182795716</v>
      </c>
      <c r="H8631" s="389" t="s">
        <v>9567</v>
      </c>
    </row>
    <row r="8632" spans="1:14" x14ac:dyDescent="0.3">
      <c r="A8632" s="45">
        <v>45332</v>
      </c>
      <c r="B8632" s="396" t="s">
        <v>12086</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13224</v>
      </c>
      <c r="E8633" s="43">
        <v>5000</v>
      </c>
      <c r="F8633" s="43"/>
      <c r="G8633" s="48">
        <f t="shared" si="218"/>
        <v>456545.31182795716</v>
      </c>
      <c r="H8633" s="389" t="s">
        <v>9567</v>
      </c>
    </row>
    <row r="8634" spans="1:14" x14ac:dyDescent="0.3">
      <c r="A8634" s="45">
        <v>45333</v>
      </c>
      <c r="B8634" s="396" t="s">
        <v>13226</v>
      </c>
      <c r="C8634" s="5" t="s">
        <v>10695</v>
      </c>
      <c r="D8634" s="5" t="s">
        <v>13225</v>
      </c>
      <c r="E8634" s="43">
        <v>1000</v>
      </c>
      <c r="F8634" s="43"/>
      <c r="G8634" s="48">
        <f t="shared" si="218"/>
        <v>455545.31182795716</v>
      </c>
      <c r="H8634" s="389" t="s">
        <v>9567</v>
      </c>
    </row>
    <row r="8635" spans="1:14" x14ac:dyDescent="0.3">
      <c r="A8635" s="45">
        <v>45333</v>
      </c>
      <c r="B8635" s="396"/>
      <c r="C8635" s="5" t="s">
        <v>5793</v>
      </c>
      <c r="D8635" s="5" t="s">
        <v>13227</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12086</v>
      </c>
      <c r="C8637" s="5" t="s">
        <v>5793</v>
      </c>
      <c r="D8637" s="5" t="s">
        <v>40</v>
      </c>
      <c r="E8637" s="43">
        <v>2000</v>
      </c>
      <c r="F8637" s="43"/>
      <c r="G8637" s="48">
        <f t="shared" si="218"/>
        <v>449345.31182795716</v>
      </c>
      <c r="H8637" s="389" t="s">
        <v>9567</v>
      </c>
      <c r="J8637" s="52">
        <f>J8636*8%</f>
        <v>737.6</v>
      </c>
    </row>
    <row r="8638" spans="1:14" x14ac:dyDescent="0.3">
      <c r="A8638" s="45">
        <v>45334</v>
      </c>
      <c r="B8638" s="396" t="s">
        <v>12086</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12054</v>
      </c>
      <c r="C8639" s="44" t="s">
        <v>11174</v>
      </c>
      <c r="D8639" s="124" t="s">
        <v>13229</v>
      </c>
      <c r="E8639" s="28">
        <v>35000</v>
      </c>
      <c r="F8639" s="28"/>
      <c r="G8639" s="48">
        <f t="shared" si="218"/>
        <v>413845.31182795716</v>
      </c>
      <c r="H8639" s="535" t="s">
        <v>9567</v>
      </c>
      <c r="I8639" s="155"/>
      <c r="J8639" s="155"/>
      <c r="K8639" s="155"/>
      <c r="N8639" s="155"/>
    </row>
    <row r="8640" spans="1:14" x14ac:dyDescent="0.3">
      <c r="A8640" s="45">
        <v>45334</v>
      </c>
      <c r="B8640" s="396" t="s">
        <v>13427</v>
      </c>
      <c r="C8640" s="5" t="s">
        <v>5793</v>
      </c>
      <c r="D8640" s="5" t="s">
        <v>13230</v>
      </c>
      <c r="E8640" s="43">
        <v>500</v>
      </c>
      <c r="F8640" s="43"/>
      <c r="G8640" s="48">
        <f t="shared" si="218"/>
        <v>413345.31182795716</v>
      </c>
      <c r="H8640" s="389" t="s">
        <v>9567</v>
      </c>
    </row>
    <row r="8641" spans="1:10" x14ac:dyDescent="0.3">
      <c r="A8641" s="45">
        <v>45334</v>
      </c>
      <c r="B8641" s="396" t="s">
        <v>12046</v>
      </c>
      <c r="C8641" s="5" t="s">
        <v>11174</v>
      </c>
      <c r="D8641" s="5" t="s">
        <v>13236</v>
      </c>
      <c r="E8641" s="43">
        <v>5000</v>
      </c>
      <c r="F8641" s="43"/>
      <c r="G8641" s="48">
        <f t="shared" si="218"/>
        <v>408345.31182795716</v>
      </c>
      <c r="H8641" s="389" t="s">
        <v>9567</v>
      </c>
      <c r="J8641" s="52">
        <v>300</v>
      </c>
    </row>
    <row r="8642" spans="1:10" x14ac:dyDescent="0.3">
      <c r="A8642" s="45">
        <v>45334</v>
      </c>
      <c r="B8642" s="396" t="s">
        <v>12046</v>
      </c>
      <c r="C8642" s="5" t="s">
        <v>84</v>
      </c>
      <c r="D8642" s="5" t="s">
        <v>13231</v>
      </c>
      <c r="E8642" s="43">
        <v>3000</v>
      </c>
      <c r="F8642" s="43"/>
      <c r="G8642" s="48">
        <f t="shared" si="218"/>
        <v>405345.31182795716</v>
      </c>
      <c r="H8642" s="389" t="s">
        <v>9567</v>
      </c>
      <c r="J8642" s="52">
        <v>300</v>
      </c>
    </row>
    <row r="8643" spans="1:10" x14ac:dyDescent="0.3">
      <c r="A8643" s="45">
        <v>45334</v>
      </c>
      <c r="B8643" s="396" t="s">
        <v>12046</v>
      </c>
      <c r="C8643" s="5" t="s">
        <v>26</v>
      </c>
      <c r="D8643" s="5" t="s">
        <v>13232</v>
      </c>
      <c r="E8643" s="43">
        <v>1500</v>
      </c>
      <c r="F8643" s="43"/>
      <c r="G8643" s="48">
        <f t="shared" si="218"/>
        <v>403845.31182795716</v>
      </c>
      <c r="H8643" s="389" t="s">
        <v>9567</v>
      </c>
      <c r="J8643" s="52">
        <v>250</v>
      </c>
    </row>
    <row r="8644" spans="1:10" x14ac:dyDescent="0.3">
      <c r="A8644" s="45">
        <v>45334</v>
      </c>
      <c r="B8644" s="396" t="s">
        <v>12133</v>
      </c>
      <c r="C8644" s="5" t="s">
        <v>13233</v>
      </c>
      <c r="D8644" s="5" t="s">
        <v>13234</v>
      </c>
      <c r="E8644" s="43">
        <v>20000</v>
      </c>
      <c r="F8644" s="43"/>
      <c r="G8644" s="48">
        <f t="shared" si="218"/>
        <v>383845.31182795716</v>
      </c>
      <c r="H8644" s="389" t="s">
        <v>9567</v>
      </c>
      <c r="J8644" s="52">
        <v>500</v>
      </c>
    </row>
    <row r="8645" spans="1:10" x14ac:dyDescent="0.3">
      <c r="A8645" s="45">
        <v>45334</v>
      </c>
      <c r="B8645" s="396" t="s">
        <v>13235</v>
      </c>
      <c r="C8645" s="5" t="s">
        <v>5793</v>
      </c>
      <c r="D8645" s="5" t="s">
        <v>40</v>
      </c>
      <c r="E8645" s="43">
        <v>200</v>
      </c>
      <c r="F8645" s="43"/>
      <c r="G8645" s="48">
        <f t="shared" si="218"/>
        <v>383645.31182795716</v>
      </c>
      <c r="H8645" s="389" t="s">
        <v>9567</v>
      </c>
      <c r="J8645" s="52">
        <v>300</v>
      </c>
    </row>
    <row r="8646" spans="1:10" x14ac:dyDescent="0.3">
      <c r="A8646" s="45">
        <v>45334</v>
      </c>
      <c r="B8646" s="396" t="s">
        <v>12796</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13238</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13241</v>
      </c>
      <c r="E8648" s="43">
        <v>2000</v>
      </c>
      <c r="F8648" s="43"/>
      <c r="G8648" s="48">
        <f t="shared" si="218"/>
        <v>373995.31182795716</v>
      </c>
      <c r="H8648" s="389" t="s">
        <v>9567</v>
      </c>
      <c r="J8648" s="52">
        <v>2000</v>
      </c>
    </row>
    <row r="8649" spans="1:10" x14ac:dyDescent="0.3">
      <c r="A8649" s="45">
        <v>45334</v>
      </c>
      <c r="B8649" s="396" t="s">
        <v>25</v>
      </c>
      <c r="C8649" s="5" t="s">
        <v>13228</v>
      </c>
      <c r="D8649" s="5" t="s">
        <v>13239</v>
      </c>
      <c r="E8649" s="43">
        <v>12840</v>
      </c>
      <c r="F8649" s="43"/>
      <c r="G8649" s="48">
        <f t="shared" si="218"/>
        <v>361155.31182795716</v>
      </c>
      <c r="H8649" s="389" t="s">
        <v>9567</v>
      </c>
      <c r="J8649" s="52">
        <v>2460</v>
      </c>
    </row>
    <row r="8650" spans="1:10" x14ac:dyDescent="0.3">
      <c r="A8650" s="45">
        <v>45335</v>
      </c>
      <c r="B8650" s="396" t="s">
        <v>12573</v>
      </c>
      <c r="C8650" s="5" t="s">
        <v>5793</v>
      </c>
      <c r="D8650" s="5" t="s">
        <v>13240</v>
      </c>
      <c r="E8650" s="43">
        <v>300</v>
      </c>
      <c r="F8650" s="43"/>
      <c r="G8650" s="48">
        <f t="shared" si="218"/>
        <v>360855.31182795716</v>
      </c>
      <c r="H8650" s="389" t="s">
        <v>9567</v>
      </c>
      <c r="J8650" s="52">
        <v>10380</v>
      </c>
    </row>
    <row r="8651" spans="1:10" x14ac:dyDescent="0.3">
      <c r="A8651" s="45">
        <v>45335</v>
      </c>
      <c r="B8651" s="396" t="s">
        <v>25</v>
      </c>
      <c r="C8651" s="5" t="s">
        <v>25</v>
      </c>
      <c r="D8651" s="5" t="s">
        <v>13242</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13241</v>
      </c>
      <c r="E8652" s="43">
        <v>4660</v>
      </c>
      <c r="F8652" s="43"/>
      <c r="G8652" s="48">
        <f t="shared" si="218"/>
        <v>351825.31182795716</v>
      </c>
      <c r="H8652" s="389" t="s">
        <v>9567</v>
      </c>
    </row>
    <row r="8653" spans="1:10" x14ac:dyDescent="0.3">
      <c r="A8653" s="45">
        <v>45335</v>
      </c>
      <c r="B8653" s="396" t="s">
        <v>25</v>
      </c>
      <c r="C8653" s="5" t="s">
        <v>4504</v>
      </c>
      <c r="D8653" s="5" t="s">
        <v>13243</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13244</v>
      </c>
      <c r="E8655" s="43">
        <v>15000</v>
      </c>
      <c r="F8655" s="43"/>
      <c r="G8655" s="48">
        <f t="shared" si="218"/>
        <v>326325.31182795716</v>
      </c>
      <c r="H8655" s="389" t="s">
        <v>9567</v>
      </c>
    </row>
    <row r="8656" spans="1:10" x14ac:dyDescent="0.3">
      <c r="A8656" s="45">
        <v>45335</v>
      </c>
      <c r="B8656" s="396" t="s">
        <v>13245</v>
      </c>
      <c r="C8656" s="5" t="s">
        <v>2059</v>
      </c>
      <c r="D8656" s="5" t="s">
        <v>13252</v>
      </c>
      <c r="E8656" s="43">
        <v>27500</v>
      </c>
      <c r="F8656" s="43"/>
      <c r="G8656" s="48">
        <f t="shared" si="218"/>
        <v>298825.31182795716</v>
      </c>
      <c r="H8656" s="389" t="s">
        <v>9567</v>
      </c>
    </row>
    <row r="8657" spans="1:9" x14ac:dyDescent="0.3">
      <c r="A8657" s="45">
        <v>45335</v>
      </c>
      <c r="B8657" s="396"/>
      <c r="C8657" s="5" t="s">
        <v>84</v>
      </c>
      <c r="D8657" s="5" t="s">
        <v>13246</v>
      </c>
      <c r="E8657" s="43">
        <v>2500</v>
      </c>
      <c r="F8657" s="43"/>
      <c r="G8657" s="48">
        <f t="shared" si="218"/>
        <v>296325.31182795716</v>
      </c>
      <c r="H8657" s="389" t="s">
        <v>9567</v>
      </c>
    </row>
    <row r="8658" spans="1:9" x14ac:dyDescent="0.3">
      <c r="A8658" s="45">
        <v>45335</v>
      </c>
      <c r="B8658" s="396" t="s">
        <v>13427</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11970</v>
      </c>
      <c r="E8659" s="43">
        <v>150</v>
      </c>
      <c r="F8659" s="43"/>
      <c r="G8659" s="48">
        <f t="shared" si="218"/>
        <v>295525.31182795716</v>
      </c>
      <c r="H8659" s="389" t="s">
        <v>9567</v>
      </c>
    </row>
    <row r="8660" spans="1:9" x14ac:dyDescent="0.3">
      <c r="A8660" s="45">
        <v>45335</v>
      </c>
      <c r="B8660" s="396" t="s">
        <v>13245</v>
      </c>
      <c r="C8660" s="5" t="s">
        <v>5793</v>
      </c>
      <c r="D8660" s="5" t="s">
        <v>13248</v>
      </c>
      <c r="E8660" s="43">
        <v>700</v>
      </c>
      <c r="F8660" s="43"/>
      <c r="G8660" s="48">
        <f t="shared" si="218"/>
        <v>294825.31182795716</v>
      </c>
      <c r="H8660" s="389" t="s">
        <v>9567</v>
      </c>
      <c r="I8660" s="52">
        <v>660</v>
      </c>
    </row>
    <row r="8661" spans="1:9" x14ac:dyDescent="0.3">
      <c r="A8661" s="45">
        <v>45336</v>
      </c>
      <c r="B8661" s="396" t="s">
        <v>12230</v>
      </c>
      <c r="C8661" s="5" t="s">
        <v>1616</v>
      </c>
      <c r="D8661" s="5" t="s">
        <v>13249</v>
      </c>
      <c r="E8661" s="62">
        <v>2400</v>
      </c>
      <c r="F8661" s="43"/>
      <c r="G8661" s="48">
        <f t="shared" si="218"/>
        <v>292425.31182795716</v>
      </c>
      <c r="H8661" s="389" t="s">
        <v>9567</v>
      </c>
    </row>
    <row r="8662" spans="1:9" x14ac:dyDescent="0.3">
      <c r="A8662" s="45">
        <v>45336</v>
      </c>
      <c r="B8662" s="396" t="s">
        <v>13427</v>
      </c>
      <c r="C8662" s="5" t="s">
        <v>3220</v>
      </c>
      <c r="D8662" s="5" t="s">
        <v>13250</v>
      </c>
      <c r="E8662" s="43">
        <v>20000</v>
      </c>
      <c r="F8662" s="43"/>
      <c r="G8662" s="48">
        <f t="shared" si="218"/>
        <v>272425.31182795716</v>
      </c>
      <c r="H8662" s="389" t="s">
        <v>9567</v>
      </c>
    </row>
    <row r="8663" spans="1:9" x14ac:dyDescent="0.3">
      <c r="A8663" s="45">
        <v>45336</v>
      </c>
      <c r="B8663" s="396" t="s">
        <v>12080</v>
      </c>
      <c r="C8663" s="5" t="s">
        <v>54</v>
      </c>
      <c r="D8663" s="5" t="s">
        <v>13251</v>
      </c>
      <c r="E8663" s="43">
        <v>105000</v>
      </c>
      <c r="F8663" s="43"/>
      <c r="G8663" s="48">
        <f t="shared" si="218"/>
        <v>167425.31182795716</v>
      </c>
      <c r="H8663" s="389" t="s">
        <v>9567</v>
      </c>
    </row>
    <row r="8664" spans="1:9" x14ac:dyDescent="0.3">
      <c r="A8664" s="45">
        <v>45336</v>
      </c>
      <c r="B8664" s="396" t="s">
        <v>12086</v>
      </c>
      <c r="C8664" s="5" t="s">
        <v>5793</v>
      </c>
      <c r="D8664" s="5" t="s">
        <v>40</v>
      </c>
      <c r="E8664" s="43">
        <v>600</v>
      </c>
      <c r="F8664" s="43"/>
      <c r="G8664" s="48">
        <f t="shared" si="218"/>
        <v>166825.31182795716</v>
      </c>
      <c r="H8664" s="389" t="s">
        <v>9567</v>
      </c>
    </row>
    <row r="8665" spans="1:9" x14ac:dyDescent="0.3">
      <c r="A8665" s="45">
        <v>45337</v>
      </c>
      <c r="B8665" s="396" t="s">
        <v>12133</v>
      </c>
      <c r="C8665" s="5" t="s">
        <v>12826</v>
      </c>
      <c r="D8665" s="5" t="s">
        <v>13253</v>
      </c>
      <c r="E8665" s="43">
        <v>10000</v>
      </c>
      <c r="F8665" s="43"/>
      <c r="G8665" s="48">
        <f t="shared" si="218"/>
        <v>156825.31182795716</v>
      </c>
      <c r="H8665" s="389" t="s">
        <v>9567</v>
      </c>
    </row>
    <row r="8666" spans="1:9" x14ac:dyDescent="0.3">
      <c r="A8666" s="45">
        <v>45337</v>
      </c>
      <c r="B8666" s="396" t="s">
        <v>12133</v>
      </c>
      <c r="C8666" s="5" t="s">
        <v>5162</v>
      </c>
      <c r="D8666" s="5" t="s">
        <v>3910</v>
      </c>
      <c r="E8666" s="43">
        <v>2000</v>
      </c>
      <c r="F8666" s="43"/>
      <c r="G8666" s="48">
        <f t="shared" si="218"/>
        <v>154825.31182795716</v>
      </c>
      <c r="H8666" s="389" t="s">
        <v>9567</v>
      </c>
    </row>
    <row r="8667" spans="1:9" x14ac:dyDescent="0.3">
      <c r="A8667" s="45">
        <v>45338</v>
      </c>
      <c r="B8667" s="396" t="s">
        <v>12133</v>
      </c>
      <c r="C8667" s="5" t="s">
        <v>9052</v>
      </c>
      <c r="D8667" s="5" t="s">
        <v>13254</v>
      </c>
      <c r="E8667" s="43">
        <v>4800</v>
      </c>
      <c r="F8667" s="43"/>
      <c r="G8667" s="48">
        <f t="shared" si="218"/>
        <v>150025.31182795716</v>
      </c>
      <c r="H8667" s="389" t="s">
        <v>9567</v>
      </c>
    </row>
    <row r="8668" spans="1:9" x14ac:dyDescent="0.3">
      <c r="A8668" s="45">
        <v>45338</v>
      </c>
      <c r="B8668" s="396" t="s">
        <v>12086</v>
      </c>
      <c r="C8668" s="5" t="s">
        <v>11174</v>
      </c>
      <c r="D8668" s="5" t="s">
        <v>13255</v>
      </c>
      <c r="E8668" s="43">
        <v>9000</v>
      </c>
      <c r="F8668" s="43"/>
      <c r="G8668" s="48">
        <f t="shared" si="218"/>
        <v>141025.31182795716</v>
      </c>
      <c r="H8668" s="389" t="s">
        <v>9567</v>
      </c>
    </row>
    <row r="8669" spans="1:9" x14ac:dyDescent="0.3">
      <c r="A8669" s="45">
        <v>45338</v>
      </c>
      <c r="B8669" s="396" t="s">
        <v>12133</v>
      </c>
      <c r="C8669" s="5" t="s">
        <v>5793</v>
      </c>
      <c r="D8669" s="5" t="s">
        <v>13256</v>
      </c>
      <c r="E8669" s="43">
        <v>4000</v>
      </c>
      <c r="F8669" s="43"/>
      <c r="G8669" s="48">
        <f t="shared" si="218"/>
        <v>137025.31182795716</v>
      </c>
      <c r="H8669" s="389" t="s">
        <v>9567</v>
      </c>
    </row>
    <row r="8670" spans="1:9" x14ac:dyDescent="0.3">
      <c r="A8670" s="45">
        <v>45338</v>
      </c>
      <c r="B8670" s="396" t="s">
        <v>13226</v>
      </c>
      <c r="C8670" s="5" t="s">
        <v>5288</v>
      </c>
      <c r="D8670" s="5" t="s">
        <v>13264</v>
      </c>
      <c r="E8670" s="43">
        <v>1000</v>
      </c>
      <c r="F8670" s="43"/>
      <c r="G8670" s="48">
        <f t="shared" si="218"/>
        <v>136025.31182795716</v>
      </c>
      <c r="H8670" s="389" t="s">
        <v>9567</v>
      </c>
    </row>
    <row r="8671" spans="1:9" x14ac:dyDescent="0.3">
      <c r="A8671" s="45">
        <v>45338</v>
      </c>
      <c r="B8671" s="396" t="s">
        <v>13131</v>
      </c>
      <c r="C8671" s="5" t="s">
        <v>13257</v>
      </c>
      <c r="D8671" s="5" t="s">
        <v>13258</v>
      </c>
      <c r="E8671" s="43">
        <v>9880</v>
      </c>
      <c r="F8671" s="43"/>
      <c r="G8671" s="48">
        <f t="shared" si="218"/>
        <v>126145.31182795716</v>
      </c>
      <c r="H8671" s="389" t="s">
        <v>9567</v>
      </c>
    </row>
    <row r="8672" spans="1:9" x14ac:dyDescent="0.3">
      <c r="A8672" s="45">
        <v>45338</v>
      </c>
      <c r="B8672" s="396" t="s">
        <v>25</v>
      </c>
      <c r="C8672" s="5" t="s">
        <v>25</v>
      </c>
      <c r="D8672" s="5" t="s">
        <v>13260</v>
      </c>
      <c r="E8672" s="43">
        <v>17700</v>
      </c>
      <c r="F8672" s="43"/>
      <c r="G8672" s="48">
        <f t="shared" si="218"/>
        <v>108445.31182795716</v>
      </c>
      <c r="H8672" s="389" t="s">
        <v>9567</v>
      </c>
    </row>
    <row r="8673" spans="1:14" x14ac:dyDescent="0.3">
      <c r="A8673" s="45">
        <v>45338</v>
      </c>
      <c r="B8673" s="396"/>
      <c r="C8673" s="5" t="s">
        <v>6430</v>
      </c>
      <c r="D8673" s="5" t="s">
        <v>13261</v>
      </c>
      <c r="E8673" s="43">
        <v>2000</v>
      </c>
      <c r="F8673" s="43"/>
      <c r="G8673" s="48">
        <f t="shared" si="218"/>
        <v>106445.31182795716</v>
      </c>
      <c r="H8673" s="389" t="s">
        <v>9567</v>
      </c>
    </row>
    <row r="8674" spans="1:14" x14ac:dyDescent="0.3">
      <c r="A8674" s="45">
        <v>45338</v>
      </c>
      <c r="B8674" s="396"/>
      <c r="C8674" s="5" t="s">
        <v>5793</v>
      </c>
      <c r="D8674" s="5" t="s">
        <v>13262</v>
      </c>
      <c r="E8674" s="43">
        <v>700</v>
      </c>
      <c r="F8674" s="43"/>
      <c r="G8674" s="48">
        <f t="shared" si="218"/>
        <v>105745.31182795716</v>
      </c>
      <c r="H8674" s="389" t="s">
        <v>9567</v>
      </c>
    </row>
    <row r="8675" spans="1:14" x14ac:dyDescent="0.3">
      <c r="A8675" s="45">
        <v>45338</v>
      </c>
      <c r="B8675" s="396" t="s">
        <v>12796</v>
      </c>
      <c r="C8675" s="5" t="s">
        <v>11174</v>
      </c>
      <c r="D8675" s="5" t="s">
        <v>13263</v>
      </c>
      <c r="E8675" s="43">
        <v>3000</v>
      </c>
      <c r="F8675" s="43"/>
      <c r="G8675" s="48">
        <f t="shared" si="218"/>
        <v>102745.31182795716</v>
      </c>
      <c r="H8675" s="389" t="s">
        <v>9567</v>
      </c>
    </row>
    <row r="8676" spans="1:14" x14ac:dyDescent="0.3">
      <c r="A8676" s="45">
        <v>45338</v>
      </c>
      <c r="B8676" s="396" t="s">
        <v>12086</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13273</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12055</v>
      </c>
      <c r="C8679" s="5" t="s">
        <v>54</v>
      </c>
      <c r="D8679" s="5" t="s">
        <v>13265</v>
      </c>
      <c r="E8679" s="43">
        <v>6050</v>
      </c>
      <c r="F8679" s="43"/>
      <c r="G8679" s="48">
        <f t="shared" ref="G8679:G8748" si="219">G8678+F8679-E8679</f>
        <v>87445.311827957164</v>
      </c>
      <c r="H8679" s="389" t="s">
        <v>9567</v>
      </c>
    </row>
    <row r="8680" spans="1:14" s="387" customFormat="1" ht="37.5" x14ac:dyDescent="0.3">
      <c r="A8680" s="45">
        <v>45339</v>
      </c>
      <c r="B8680" s="320" t="s">
        <v>12055</v>
      </c>
      <c r="C8680" s="44" t="s">
        <v>5793</v>
      </c>
      <c r="D8680" s="124" t="s">
        <v>13266</v>
      </c>
      <c r="E8680" s="28">
        <v>5000</v>
      </c>
      <c r="F8680" s="28"/>
      <c r="G8680" s="48">
        <f t="shared" si="219"/>
        <v>82445.311827957164</v>
      </c>
      <c r="H8680" s="389" t="s">
        <v>9567</v>
      </c>
      <c r="I8680" s="155"/>
      <c r="J8680" s="155"/>
      <c r="K8680" s="155"/>
      <c r="N8680" s="155"/>
    </row>
    <row r="8681" spans="1:14" x14ac:dyDescent="0.3">
      <c r="A8681" s="45">
        <v>45339</v>
      </c>
      <c r="B8681" s="320" t="s">
        <v>12055</v>
      </c>
      <c r="C8681" s="5" t="s">
        <v>30</v>
      </c>
      <c r="D8681" s="5" t="s">
        <v>12364</v>
      </c>
      <c r="E8681" s="43">
        <v>500</v>
      </c>
      <c r="F8681" s="43"/>
      <c r="G8681" s="48">
        <f t="shared" si="219"/>
        <v>81945.311827957164</v>
      </c>
      <c r="H8681" s="389" t="s">
        <v>9567</v>
      </c>
    </row>
    <row r="8682" spans="1:14" x14ac:dyDescent="0.3">
      <c r="A8682" s="45">
        <v>45339</v>
      </c>
      <c r="B8682" s="625" t="s">
        <v>12055</v>
      </c>
      <c r="C8682" s="509" t="s">
        <v>11174</v>
      </c>
      <c r="D8682" s="509" t="s">
        <v>13267</v>
      </c>
      <c r="E8682" s="511">
        <v>800</v>
      </c>
      <c r="F8682" s="43"/>
      <c r="G8682" s="48">
        <f t="shared" si="219"/>
        <v>81145.311827957164</v>
      </c>
      <c r="H8682" s="389" t="s">
        <v>9567</v>
      </c>
    </row>
    <row r="8683" spans="1:14" x14ac:dyDescent="0.3">
      <c r="A8683" s="45">
        <v>45339</v>
      </c>
      <c r="B8683" s="396" t="s">
        <v>13314</v>
      </c>
      <c r="C8683" s="5" t="s">
        <v>5288</v>
      </c>
      <c r="D8683" s="5" t="s">
        <v>13268</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13427</v>
      </c>
      <c r="C8685" s="5" t="s">
        <v>12561</v>
      </c>
      <c r="D8685" s="5" t="s">
        <v>13195</v>
      </c>
      <c r="E8685" s="43">
        <v>12000</v>
      </c>
      <c r="F8685" s="43"/>
      <c r="G8685" s="48">
        <f t="shared" si="219"/>
        <v>13145.311827957164</v>
      </c>
      <c r="H8685" s="389" t="s">
        <v>9567</v>
      </c>
    </row>
    <row r="8686" spans="1:14" x14ac:dyDescent="0.3">
      <c r="A8686" s="45">
        <v>45339</v>
      </c>
      <c r="B8686" s="565"/>
      <c r="C8686" s="480"/>
      <c r="D8686" s="491" t="s">
        <v>11014</v>
      </c>
      <c r="E8686" s="480"/>
      <c r="F8686" s="28">
        <v>50000</v>
      </c>
      <c r="G8686" s="48">
        <f t="shared" si="219"/>
        <v>63145.311827957164</v>
      </c>
      <c r="H8686" s="389" t="s">
        <v>9567</v>
      </c>
    </row>
    <row r="8687" spans="1:14" x14ac:dyDescent="0.3">
      <c r="A8687" s="45">
        <v>45339</v>
      </c>
      <c r="B8687" s="396" t="s">
        <v>13427</v>
      </c>
      <c r="C8687" s="5" t="s">
        <v>11174</v>
      </c>
      <c r="D8687" s="5" t="s">
        <v>13269</v>
      </c>
      <c r="E8687" s="43">
        <v>1130</v>
      </c>
      <c r="F8687" s="43"/>
      <c r="G8687" s="48">
        <f t="shared" si="219"/>
        <v>62015.311827957164</v>
      </c>
      <c r="H8687" s="389" t="s">
        <v>9567</v>
      </c>
    </row>
    <row r="8688" spans="1:14" x14ac:dyDescent="0.3">
      <c r="A8688" s="45">
        <v>45339</v>
      </c>
      <c r="B8688" s="396" t="s">
        <v>13131</v>
      </c>
      <c r="C8688" s="5" t="s">
        <v>13270</v>
      </c>
      <c r="D8688" s="5" t="s">
        <v>13271</v>
      </c>
      <c r="E8688" s="43">
        <v>12000</v>
      </c>
      <c r="F8688" s="43"/>
      <c r="G8688" s="48">
        <f t="shared" si="219"/>
        <v>50015.311827957164</v>
      </c>
      <c r="H8688" s="389" t="s">
        <v>9567</v>
      </c>
    </row>
    <row r="8689" spans="1:10" x14ac:dyDescent="0.3">
      <c r="A8689" s="45">
        <v>45339</v>
      </c>
      <c r="B8689" s="396" t="s">
        <v>13427</v>
      </c>
      <c r="C8689" s="5" t="s">
        <v>5793</v>
      </c>
      <c r="D8689" s="5" t="s">
        <v>40</v>
      </c>
      <c r="E8689" s="43">
        <v>2000</v>
      </c>
      <c r="F8689" s="43"/>
      <c r="G8689" s="48">
        <f t="shared" si="219"/>
        <v>48015.311827957164</v>
      </c>
      <c r="H8689" s="389" t="s">
        <v>9567</v>
      </c>
    </row>
    <row r="8690" spans="1:10" x14ac:dyDescent="0.3">
      <c r="A8690" s="45">
        <v>45339</v>
      </c>
      <c r="B8690" s="396" t="s">
        <v>13427</v>
      </c>
      <c r="C8690" s="5" t="s">
        <v>13270</v>
      </c>
      <c r="D8690" s="5" t="s">
        <v>13271</v>
      </c>
      <c r="E8690" s="43">
        <v>13000</v>
      </c>
      <c r="F8690" s="43"/>
      <c r="G8690" s="48">
        <f t="shared" si="219"/>
        <v>35015.311827957164</v>
      </c>
      <c r="H8690" s="389" t="s">
        <v>9567</v>
      </c>
    </row>
    <row r="8691" spans="1:10" x14ac:dyDescent="0.3">
      <c r="A8691" s="45">
        <v>45339</v>
      </c>
      <c r="B8691" s="396" t="s">
        <v>12796</v>
      </c>
      <c r="C8691" s="5" t="s">
        <v>5793</v>
      </c>
      <c r="D8691" s="5" t="s">
        <v>13272</v>
      </c>
      <c r="E8691" s="43">
        <v>3000</v>
      </c>
      <c r="F8691" s="43"/>
      <c r="G8691" s="48">
        <f t="shared" si="219"/>
        <v>32015.311827957164</v>
      </c>
      <c r="H8691" s="389" t="s">
        <v>9567</v>
      </c>
    </row>
    <row r="8692" spans="1:10" x14ac:dyDescent="0.3">
      <c r="A8692" s="45">
        <v>45339</v>
      </c>
      <c r="B8692" s="396" t="s">
        <v>12796</v>
      </c>
      <c r="C8692" s="5" t="s">
        <v>5793</v>
      </c>
      <c r="D8692" s="5" t="s">
        <v>12794</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12230</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11743</v>
      </c>
      <c r="C8696" s="5" t="s">
        <v>5793</v>
      </c>
      <c r="D8696" s="5" t="s">
        <v>40</v>
      </c>
      <c r="E8696" s="43">
        <v>1200</v>
      </c>
      <c r="F8696" s="43"/>
      <c r="G8696" s="48">
        <f t="shared" si="219"/>
        <v>13930.311827957164</v>
      </c>
      <c r="H8696" s="389" t="s">
        <v>9567</v>
      </c>
      <c r="J8696" s="52">
        <v>350</v>
      </c>
    </row>
    <row r="8697" spans="1:10" x14ac:dyDescent="0.3">
      <c r="A8697" s="45">
        <v>45341</v>
      </c>
      <c r="B8697" s="396" t="s">
        <v>12133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11743</v>
      </c>
      <c r="C8698" s="5" t="s">
        <v>26</v>
      </c>
      <c r="D8698" s="5" t="s">
        <v>13274</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12086</v>
      </c>
      <c r="C8700" s="5" t="s">
        <v>11174</v>
      </c>
      <c r="D8700" s="5" t="s">
        <v>13277</v>
      </c>
      <c r="E8700" s="43">
        <v>700</v>
      </c>
      <c r="F8700" s="43"/>
      <c r="G8700" s="48">
        <f t="shared" si="219"/>
        <v>30.311827957164496</v>
      </c>
      <c r="H8700" s="389" t="s">
        <v>9567</v>
      </c>
    </row>
    <row r="8701" spans="1:10" x14ac:dyDescent="0.3">
      <c r="A8701" s="45">
        <v>45342</v>
      </c>
      <c r="B8701" s="565"/>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12086</v>
      </c>
      <c r="C8703" s="5" t="s">
        <v>5793</v>
      </c>
      <c r="D8703" s="5" t="s">
        <v>40</v>
      </c>
      <c r="E8703" s="43">
        <v>2000</v>
      </c>
      <c r="F8703" s="43"/>
      <c r="G8703" s="48">
        <f t="shared" si="219"/>
        <v>97030.311827957164</v>
      </c>
      <c r="H8703" s="389" t="s">
        <v>9567</v>
      </c>
    </row>
    <row r="8704" spans="1:10" x14ac:dyDescent="0.3">
      <c r="A8704" s="45">
        <v>45342</v>
      </c>
      <c r="B8704" s="396" t="s">
        <v>13131</v>
      </c>
      <c r="C8704" s="5" t="s">
        <v>26</v>
      </c>
      <c r="D8704" s="5" t="s">
        <v>13278</v>
      </c>
      <c r="E8704" s="43">
        <v>6000</v>
      </c>
      <c r="F8704" s="43"/>
      <c r="G8704" s="48">
        <f t="shared" si="219"/>
        <v>91030.311827957164</v>
      </c>
      <c r="H8704" s="389" t="s">
        <v>9567</v>
      </c>
    </row>
    <row r="8705" spans="1:16" x14ac:dyDescent="0.3">
      <c r="A8705" s="45">
        <v>45342</v>
      </c>
      <c r="B8705" s="396"/>
      <c r="C8705" s="5" t="s">
        <v>25</v>
      </c>
      <c r="D8705" s="5" t="s">
        <v>13279</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11743</v>
      </c>
      <c r="C8707" s="5" t="s">
        <v>26</v>
      </c>
      <c r="D8707" s="5" t="s">
        <v>13274</v>
      </c>
      <c r="E8707" s="43">
        <v>3000</v>
      </c>
      <c r="F8707" s="43"/>
      <c r="G8707" s="48">
        <f t="shared" si="219"/>
        <v>78030.311827957164</v>
      </c>
      <c r="H8707" s="389" t="s">
        <v>9567</v>
      </c>
      <c r="L8707" s="52">
        <v>30000</v>
      </c>
      <c r="M8707" s="52"/>
      <c r="P8707" s="52"/>
    </row>
    <row r="8708" spans="1:16" x14ac:dyDescent="0.3">
      <c r="A8708" s="45">
        <v>45342</v>
      </c>
      <c r="B8708" s="396" t="s">
        <v>13131</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13238</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13282</v>
      </c>
      <c r="E8710" s="43">
        <v>3000</v>
      </c>
      <c r="F8710" s="43"/>
      <c r="G8710" s="48">
        <f t="shared" si="219"/>
        <v>73630.311827957164</v>
      </c>
      <c r="H8710" s="389" t="s">
        <v>9567</v>
      </c>
      <c r="L8710" s="52">
        <v>69000</v>
      </c>
      <c r="M8710" s="52"/>
      <c r="P8710" s="52"/>
    </row>
    <row r="8711" spans="1:16" x14ac:dyDescent="0.3">
      <c r="A8711" s="45">
        <v>45343</v>
      </c>
      <c r="B8711" s="396" t="s">
        <v>12133</v>
      </c>
      <c r="C8711" s="5" t="s">
        <v>11174</v>
      </c>
      <c r="D8711" s="5" t="s">
        <v>13283</v>
      </c>
      <c r="E8711" s="43">
        <v>7300</v>
      </c>
      <c r="F8711" s="43"/>
      <c r="G8711" s="48">
        <f t="shared" si="219"/>
        <v>66330.311827957164</v>
      </c>
      <c r="H8711" s="389" t="s">
        <v>9567</v>
      </c>
      <c r="L8711" s="52">
        <v>2320000</v>
      </c>
      <c r="M8711" s="52"/>
      <c r="P8711" s="52"/>
    </row>
    <row r="8712" spans="1:16" x14ac:dyDescent="0.3">
      <c r="A8712" s="45">
        <v>45343</v>
      </c>
      <c r="B8712" s="396" t="s">
        <v>13427</v>
      </c>
      <c r="C8712" s="5" t="s">
        <v>11174</v>
      </c>
      <c r="D8712" s="5" t="s">
        <v>13284</v>
      </c>
      <c r="E8712" s="43">
        <v>1100</v>
      </c>
      <c r="F8712" s="43"/>
      <c r="G8712" s="48">
        <f t="shared" si="219"/>
        <v>65230.311827957164</v>
      </c>
      <c r="H8712" s="389" t="s">
        <v>9567</v>
      </c>
      <c r="L8712" s="52">
        <v>500000</v>
      </c>
      <c r="M8712" s="52"/>
      <c r="P8712" s="52"/>
    </row>
    <row r="8713" spans="1:16" x14ac:dyDescent="0.3">
      <c r="A8713" s="45">
        <v>45343</v>
      </c>
      <c r="B8713" s="396" t="s">
        <v>12086</v>
      </c>
      <c r="C8713" s="5" t="s">
        <v>26</v>
      </c>
      <c r="D8713" s="5" t="s">
        <v>11536</v>
      </c>
      <c r="E8713" s="43">
        <v>1000</v>
      </c>
      <c r="F8713" s="43"/>
      <c r="G8713" s="48">
        <f t="shared" si="219"/>
        <v>64230.311827957164</v>
      </c>
      <c r="H8713" s="389" t="s">
        <v>9567</v>
      </c>
      <c r="L8713" s="52">
        <v>429000</v>
      </c>
      <c r="M8713" s="52"/>
      <c r="P8713" s="52"/>
    </row>
    <row r="8714" spans="1:16" x14ac:dyDescent="0.3">
      <c r="A8714" s="45">
        <v>45343</v>
      </c>
      <c r="B8714" s="396" t="s">
        <v>13131</v>
      </c>
      <c r="C8714" s="5" t="s">
        <v>5793</v>
      </c>
      <c r="D8714" s="5" t="s">
        <v>13285</v>
      </c>
      <c r="E8714" s="43">
        <v>500</v>
      </c>
      <c r="F8714" s="43"/>
      <c r="G8714" s="48">
        <f t="shared" si="219"/>
        <v>63730.311827957164</v>
      </c>
      <c r="H8714" s="389" t="s">
        <v>9567</v>
      </c>
      <c r="I8714" s="52">
        <v>7300</v>
      </c>
      <c r="L8714" s="52">
        <v>230400</v>
      </c>
      <c r="M8714" s="52"/>
      <c r="P8714" s="52"/>
    </row>
    <row r="8715" spans="1:16" x14ac:dyDescent="0.3">
      <c r="A8715" s="45">
        <v>45343</v>
      </c>
      <c r="B8715" s="396" t="s">
        <v>13131</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13279</v>
      </c>
      <c r="E8716" s="43">
        <v>3000</v>
      </c>
      <c r="F8716" s="43"/>
      <c r="G8716" s="48">
        <f t="shared" si="219"/>
        <v>58930.311827957164</v>
      </c>
      <c r="H8716" s="389" t="s">
        <v>9567</v>
      </c>
      <c r="I8716" s="52">
        <v>400</v>
      </c>
      <c r="L8716" s="52">
        <v>380000</v>
      </c>
      <c r="M8716" s="52"/>
      <c r="P8716" s="52"/>
    </row>
    <row r="8717" spans="1:16" x14ac:dyDescent="0.3">
      <c r="A8717" s="45">
        <v>45344</v>
      </c>
      <c r="B8717" s="396" t="s">
        <v>12054</v>
      </c>
      <c r="C8717" s="5" t="s">
        <v>57</v>
      </c>
      <c r="D8717" s="5" t="s">
        <v>13287</v>
      </c>
      <c r="E8717" s="43">
        <v>50000</v>
      </c>
      <c r="F8717" s="43"/>
      <c r="G8717" s="48">
        <f t="shared" si="219"/>
        <v>8930.3118279571645</v>
      </c>
      <c r="H8717" s="389" t="s">
        <v>9567</v>
      </c>
      <c r="I8717" s="52">
        <v>130</v>
      </c>
      <c r="L8717" s="52">
        <v>545000</v>
      </c>
      <c r="M8717" s="52"/>
      <c r="P8717" s="52"/>
    </row>
    <row r="8718" spans="1:16" x14ac:dyDescent="0.3">
      <c r="A8718" s="45">
        <v>45344</v>
      </c>
      <c r="B8718" s="396" t="s">
        <v>13427</v>
      </c>
      <c r="C8718" s="509" t="s">
        <v>11174</v>
      </c>
      <c r="D8718" s="509" t="s">
        <v>13288</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5"/>
      <c r="C8719" s="480"/>
      <c r="D8719" s="491" t="s">
        <v>11014</v>
      </c>
      <c r="E8719" s="480"/>
      <c r="F8719" s="28">
        <v>100000</v>
      </c>
      <c r="G8719" s="48">
        <f t="shared" si="219"/>
        <v>103730.31182795716</v>
      </c>
      <c r="H8719" s="389" t="s">
        <v>9567</v>
      </c>
    </row>
    <row r="8720" spans="1:16" x14ac:dyDescent="0.3">
      <c r="A8720" s="45">
        <v>45344</v>
      </c>
      <c r="B8720" s="396"/>
      <c r="C8720" s="5" t="s">
        <v>84</v>
      </c>
      <c r="D8720" s="5" t="s">
        <v>13289</v>
      </c>
      <c r="E8720" s="43">
        <v>10000</v>
      </c>
      <c r="F8720" s="43"/>
      <c r="G8720" s="48">
        <f t="shared" si="219"/>
        <v>93730.311827957164</v>
      </c>
      <c r="H8720" s="389" t="s">
        <v>9567</v>
      </c>
      <c r="L8720" s="52">
        <v>750000</v>
      </c>
      <c r="M8720" s="52"/>
      <c r="P8720" s="52"/>
    </row>
    <row r="8721" spans="1:16" x14ac:dyDescent="0.3">
      <c r="A8721" s="45">
        <v>45344</v>
      </c>
      <c r="B8721" s="396" t="s">
        <v>12611</v>
      </c>
      <c r="C8721" s="5" t="s">
        <v>84</v>
      </c>
      <c r="D8721" s="5" t="s">
        <v>13291</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13427</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13292</v>
      </c>
      <c r="E8724" s="43">
        <v>1000</v>
      </c>
      <c r="F8724" s="43"/>
      <c r="G8724" s="48">
        <f t="shared" si="219"/>
        <v>71400.311827957164</v>
      </c>
      <c r="H8724" s="389" t="s">
        <v>9567</v>
      </c>
      <c r="L8724" s="52">
        <v>50000</v>
      </c>
      <c r="M8724" s="52"/>
      <c r="P8724" s="52"/>
    </row>
    <row r="8725" spans="1:16" x14ac:dyDescent="0.3">
      <c r="A8725" s="45">
        <v>45345</v>
      </c>
      <c r="B8725" s="396" t="s">
        <v>12230</v>
      </c>
      <c r="C8725" s="5" t="s">
        <v>1074</v>
      </c>
      <c r="D8725" s="5" t="s">
        <v>12215</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12215</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13279</v>
      </c>
      <c r="E8728" s="43">
        <v>3500</v>
      </c>
      <c r="F8728" s="43"/>
      <c r="G8728" s="48">
        <f t="shared" si="219"/>
        <v>1738.3118279571645</v>
      </c>
      <c r="H8728" s="389" t="s">
        <v>9567</v>
      </c>
    </row>
    <row r="8729" spans="1:16" x14ac:dyDescent="0.3">
      <c r="A8729" s="45">
        <v>45345</v>
      </c>
      <c r="B8729" s="396" t="s">
        <v>12086</v>
      </c>
      <c r="C8729" s="5" t="s">
        <v>30</v>
      </c>
      <c r="D8729" s="5" t="s">
        <v>10629</v>
      </c>
      <c r="E8729" s="43">
        <v>400</v>
      </c>
      <c r="F8729" s="43"/>
      <c r="G8729" s="48">
        <f t="shared" si="219"/>
        <v>1338.3118279571645</v>
      </c>
      <c r="H8729" s="389" t="s">
        <v>9567</v>
      </c>
    </row>
    <row r="8730" spans="1:16" x14ac:dyDescent="0.3">
      <c r="A8730" s="45">
        <v>45348</v>
      </c>
      <c r="B8730" s="565"/>
      <c r="C8730" s="480"/>
      <c r="D8730" s="491" t="s">
        <v>11014</v>
      </c>
      <c r="E8730" s="480"/>
      <c r="F8730" s="28">
        <v>50000</v>
      </c>
      <c r="G8730" s="48">
        <f t="shared" si="219"/>
        <v>51338.311827957164</v>
      </c>
      <c r="H8730" s="389" t="s">
        <v>9567</v>
      </c>
    </row>
    <row r="8731" spans="1:16" x14ac:dyDescent="0.3">
      <c r="A8731" s="45">
        <v>45348</v>
      </c>
      <c r="B8731" s="396" t="s">
        <v>12055</v>
      </c>
      <c r="C8731" s="5" t="s">
        <v>26</v>
      </c>
      <c r="D8731" s="5" t="s">
        <v>13303</v>
      </c>
      <c r="E8731" s="43">
        <v>11000</v>
      </c>
      <c r="F8731" s="43"/>
      <c r="G8731" s="48">
        <f t="shared" si="219"/>
        <v>40338.311827957164</v>
      </c>
      <c r="H8731" s="389" t="s">
        <v>9567</v>
      </c>
    </row>
    <row r="8732" spans="1:16" x14ac:dyDescent="0.3">
      <c r="A8732" s="45">
        <v>45348</v>
      </c>
      <c r="B8732" s="396" t="s">
        <v>12054</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11743</v>
      </c>
      <c r="C8734" s="5" t="s">
        <v>11174</v>
      </c>
      <c r="D8734" s="5" t="s">
        <v>13304</v>
      </c>
      <c r="E8734" s="43">
        <v>1350</v>
      </c>
      <c r="F8734" s="43"/>
      <c r="G8734" s="48">
        <f t="shared" si="219"/>
        <v>28988.311827957164</v>
      </c>
      <c r="H8734" s="389" t="s">
        <v>9567</v>
      </c>
      <c r="K8734" s="52">
        <f>K8732-K8733</f>
        <v>1235557.96</v>
      </c>
    </row>
    <row r="8735" spans="1:16" x14ac:dyDescent="0.3">
      <c r="A8735" s="45">
        <v>45348</v>
      </c>
      <c r="B8735" s="396" t="s">
        <v>12796</v>
      </c>
      <c r="C8735" s="5" t="s">
        <v>11174</v>
      </c>
      <c r="D8735" s="5" t="s">
        <v>12280</v>
      </c>
      <c r="E8735" s="43">
        <v>3450</v>
      </c>
      <c r="F8735" s="43"/>
      <c r="G8735" s="48">
        <f t="shared" si="219"/>
        <v>25538.311827957164</v>
      </c>
      <c r="H8735" s="389" t="s">
        <v>9567</v>
      </c>
    </row>
    <row r="8736" spans="1:16" x14ac:dyDescent="0.3">
      <c r="A8736" s="45">
        <v>45348</v>
      </c>
      <c r="B8736" s="396" t="s">
        <v>12086</v>
      </c>
      <c r="C8736" s="5" t="s">
        <v>11174</v>
      </c>
      <c r="D8736" s="5" t="s">
        <v>13305</v>
      </c>
      <c r="E8736" s="43">
        <v>1950</v>
      </c>
      <c r="F8736" s="43"/>
      <c r="G8736" s="48">
        <f t="shared" si="219"/>
        <v>23588.311827957164</v>
      </c>
      <c r="H8736" s="389" t="s">
        <v>9567</v>
      </c>
    </row>
    <row r="8737" spans="1:10" x14ac:dyDescent="0.3">
      <c r="A8737" s="45">
        <v>45348</v>
      </c>
      <c r="B8737" s="396"/>
      <c r="C8737" s="5" t="s">
        <v>25</v>
      </c>
      <c r="D8737" s="5" t="s">
        <v>13279</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12133</v>
      </c>
      <c r="C8739" s="5" t="s">
        <v>12561</v>
      </c>
      <c r="D8739" s="5" t="s">
        <v>13308</v>
      </c>
      <c r="E8739" s="43">
        <v>6500</v>
      </c>
      <c r="F8739" s="43"/>
      <c r="G8739" s="48">
        <f t="shared" si="219"/>
        <v>3988.3118279571645</v>
      </c>
      <c r="H8739" s="389" t="s">
        <v>9567</v>
      </c>
    </row>
    <row r="8740" spans="1:10" x14ac:dyDescent="0.3">
      <c r="A8740" s="45">
        <v>45349</v>
      </c>
      <c r="B8740" s="396" t="s">
        <v>12133</v>
      </c>
      <c r="C8740" s="5" t="s">
        <v>84</v>
      </c>
      <c r="D8740" s="5" t="s">
        <v>13309</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13279</v>
      </c>
      <c r="E8742" s="43">
        <v>1000</v>
      </c>
      <c r="F8742" s="43"/>
      <c r="G8742" s="48">
        <f t="shared" si="219"/>
        <v>238.3118279571645</v>
      </c>
      <c r="H8742" s="389" t="s">
        <v>9567</v>
      </c>
    </row>
    <row r="8743" spans="1:10" x14ac:dyDescent="0.3">
      <c r="A8743" s="45">
        <v>45351</v>
      </c>
      <c r="B8743" s="565"/>
      <c r="C8743" s="480"/>
      <c r="D8743" s="491" t="s">
        <v>13315</v>
      </c>
      <c r="E8743" s="480"/>
      <c r="F8743" s="28">
        <v>300000</v>
      </c>
      <c r="G8743" s="48">
        <f t="shared" si="219"/>
        <v>300238.31182795716</v>
      </c>
      <c r="H8743" s="389" t="s">
        <v>9567</v>
      </c>
    </row>
    <row r="8744" spans="1:10" x14ac:dyDescent="0.3">
      <c r="A8744" s="45">
        <v>45351</v>
      </c>
      <c r="B8744" s="396" t="s">
        <v>12133</v>
      </c>
      <c r="C8744" s="5" t="s">
        <v>68</v>
      </c>
      <c r="D8744" s="186" t="s">
        <v>13316</v>
      </c>
      <c r="E8744" s="43">
        <v>1000</v>
      </c>
      <c r="F8744" s="43"/>
      <c r="G8744" s="48">
        <f t="shared" si="219"/>
        <v>299238.31182795716</v>
      </c>
      <c r="H8744" s="389" t="s">
        <v>9567</v>
      </c>
    </row>
    <row r="8745" spans="1:10" x14ac:dyDescent="0.3">
      <c r="A8745" s="45">
        <v>45351</v>
      </c>
      <c r="B8745" s="396" t="s">
        <v>25</v>
      </c>
      <c r="C8745" s="5" t="s">
        <v>25</v>
      </c>
      <c r="D8745" s="5" t="s">
        <v>13279</v>
      </c>
      <c r="E8745" s="43">
        <v>7000</v>
      </c>
      <c r="F8745" s="43"/>
      <c r="G8745" s="48">
        <f t="shared" si="219"/>
        <v>292238.31182795716</v>
      </c>
      <c r="H8745" s="389" t="s">
        <v>9567</v>
      </c>
    </row>
    <row r="8746" spans="1:10" x14ac:dyDescent="0.3">
      <c r="A8746" s="45">
        <v>45351</v>
      </c>
      <c r="B8746" s="396" t="s">
        <v>12133</v>
      </c>
      <c r="C8746" s="5" t="s">
        <v>5793</v>
      </c>
      <c r="D8746" s="5" t="s">
        <v>40</v>
      </c>
      <c r="E8746" s="43">
        <v>3000</v>
      </c>
      <c r="F8746" s="43"/>
      <c r="G8746" s="48">
        <f t="shared" si="219"/>
        <v>289238.31182795716</v>
      </c>
      <c r="H8746" s="389" t="s">
        <v>9567</v>
      </c>
    </row>
    <row r="8747" spans="1:10" x14ac:dyDescent="0.3">
      <c r="A8747" s="45">
        <v>45351</v>
      </c>
      <c r="B8747" s="396" t="s">
        <v>13245</v>
      </c>
      <c r="C8747" s="5" t="s">
        <v>26</v>
      </c>
      <c r="D8747" s="5" t="s">
        <v>13317</v>
      </c>
      <c r="E8747" s="43">
        <v>450</v>
      </c>
      <c r="F8747" s="43"/>
      <c r="G8747" s="48">
        <f t="shared" si="219"/>
        <v>288788.31182795716</v>
      </c>
      <c r="H8747" s="389" t="s">
        <v>9567</v>
      </c>
    </row>
    <row r="8748" spans="1:10" x14ac:dyDescent="0.3">
      <c r="A8748" s="45">
        <v>45351</v>
      </c>
      <c r="B8748" s="396" t="s">
        <v>12086</v>
      </c>
      <c r="C8748" s="5" t="s">
        <v>11174</v>
      </c>
      <c r="D8748" s="5" t="s">
        <v>13318</v>
      </c>
      <c r="E8748" s="43">
        <v>17400</v>
      </c>
      <c r="F8748" s="43"/>
      <c r="G8748" s="48">
        <f t="shared" si="219"/>
        <v>271388.31182795716</v>
      </c>
      <c r="H8748" s="389" t="s">
        <v>9567</v>
      </c>
    </row>
    <row r="8749" spans="1:10" x14ac:dyDescent="0.3">
      <c r="A8749" s="45">
        <v>45351</v>
      </c>
      <c r="B8749" s="396" t="s">
        <v>10319</v>
      </c>
      <c r="C8749" s="5" t="s">
        <v>11174</v>
      </c>
      <c r="D8749" s="5" t="s">
        <v>13319</v>
      </c>
      <c r="E8749" s="43">
        <v>9500</v>
      </c>
      <c r="F8749" s="43"/>
      <c r="G8749" s="48">
        <f t="shared" ref="G8749:G8771" si="221">G8748+F8749-E8749</f>
        <v>261888.31182795716</v>
      </c>
      <c r="H8749" s="389" t="s">
        <v>9567</v>
      </c>
    </row>
    <row r="8750" spans="1:10" x14ac:dyDescent="0.3">
      <c r="A8750" s="45">
        <v>45351</v>
      </c>
      <c r="B8750" s="396" t="s">
        <v>12086</v>
      </c>
      <c r="C8750" s="5" t="s">
        <v>30</v>
      </c>
      <c r="D8750" s="5" t="s">
        <v>13320</v>
      </c>
      <c r="E8750" s="43">
        <v>1000</v>
      </c>
      <c r="F8750" s="43"/>
      <c r="G8750" s="48">
        <f t="shared" si="221"/>
        <v>260888.31182795716</v>
      </c>
      <c r="H8750" s="389" t="s">
        <v>9567</v>
      </c>
    </row>
    <row r="8751" spans="1:10" x14ac:dyDescent="0.3">
      <c r="A8751" s="45">
        <v>45351</v>
      </c>
      <c r="B8751" s="396" t="s">
        <v>13321</v>
      </c>
      <c r="C8751" s="5" t="s">
        <v>13322</v>
      </c>
      <c r="D8751" s="5" t="s">
        <v>13323</v>
      </c>
      <c r="E8751" s="43">
        <v>50000</v>
      </c>
      <c r="F8751" s="43"/>
      <c r="G8751" s="48">
        <f t="shared" si="221"/>
        <v>210888.31182795716</v>
      </c>
      <c r="H8751" s="389" t="s">
        <v>9567</v>
      </c>
    </row>
    <row r="8752" spans="1:10" x14ac:dyDescent="0.3">
      <c r="A8752" s="45">
        <v>45351</v>
      </c>
      <c r="B8752" s="396" t="s">
        <v>13321</v>
      </c>
      <c r="C8752" s="5" t="s">
        <v>26</v>
      </c>
      <c r="D8752" s="5" t="s">
        <v>13324</v>
      </c>
      <c r="E8752" s="43">
        <v>10000</v>
      </c>
      <c r="F8752" s="43"/>
      <c r="G8752" s="48">
        <f t="shared" si="221"/>
        <v>200888.31182795716</v>
      </c>
      <c r="H8752" s="389" t="s">
        <v>9567</v>
      </c>
    </row>
    <row r="8753" spans="1:11" x14ac:dyDescent="0.3">
      <c r="A8753" s="45">
        <v>45351</v>
      </c>
      <c r="B8753" s="396" t="s">
        <v>13321</v>
      </c>
      <c r="C8753" s="5" t="s">
        <v>30</v>
      </c>
      <c r="D8753" s="5" t="s">
        <v>13325</v>
      </c>
      <c r="E8753" s="43">
        <v>5000</v>
      </c>
      <c r="F8753" s="43"/>
      <c r="G8753" s="48">
        <f t="shared" si="221"/>
        <v>195888.31182795716</v>
      </c>
      <c r="H8753" s="389" t="s">
        <v>9567</v>
      </c>
    </row>
    <row r="8754" spans="1:11" x14ac:dyDescent="0.3">
      <c r="A8754" s="45">
        <v>45351</v>
      </c>
      <c r="B8754" s="396" t="s">
        <v>12796</v>
      </c>
      <c r="C8754" s="5" t="s">
        <v>26</v>
      </c>
      <c r="D8754" s="5" t="s">
        <v>13326</v>
      </c>
      <c r="E8754" s="43">
        <v>1000</v>
      </c>
      <c r="F8754" s="43"/>
      <c r="G8754" s="48">
        <f t="shared" si="221"/>
        <v>194888.31182795716</v>
      </c>
      <c r="H8754" s="389" t="s">
        <v>9567</v>
      </c>
    </row>
    <row r="8755" spans="1:11" x14ac:dyDescent="0.3">
      <c r="A8755" s="45">
        <v>45351</v>
      </c>
      <c r="B8755" s="396" t="s">
        <v>12796</v>
      </c>
      <c r="C8755" s="5" t="s">
        <v>5793</v>
      </c>
      <c r="D8755" s="5" t="s">
        <v>40</v>
      </c>
      <c r="E8755" s="43">
        <v>270</v>
      </c>
      <c r="F8755" s="43"/>
      <c r="G8755" s="48">
        <f t="shared" si="221"/>
        <v>194618.31182795716</v>
      </c>
      <c r="H8755" s="389" t="s">
        <v>9567</v>
      </c>
    </row>
    <row r="8756" spans="1:11" x14ac:dyDescent="0.3">
      <c r="A8756" s="45">
        <v>45351</v>
      </c>
      <c r="B8756" s="396" t="s">
        <v>12133</v>
      </c>
      <c r="C8756" s="5" t="s">
        <v>13233</v>
      </c>
      <c r="D8756" s="5" t="s">
        <v>294</v>
      </c>
      <c r="E8756" s="43">
        <v>10000</v>
      </c>
      <c r="F8756" s="43"/>
      <c r="G8756" s="48">
        <f t="shared" si="221"/>
        <v>184618.31182795716</v>
      </c>
      <c r="H8756" s="389" t="s">
        <v>9567</v>
      </c>
    </row>
    <row r="8757" spans="1:11" x14ac:dyDescent="0.3">
      <c r="A8757" s="45">
        <v>45351</v>
      </c>
      <c r="B8757" s="396" t="s">
        <v>12133</v>
      </c>
      <c r="C8757" s="5" t="s">
        <v>5162</v>
      </c>
      <c r="D8757" s="5" t="s">
        <v>13327</v>
      </c>
      <c r="E8757" s="43">
        <v>3000</v>
      </c>
      <c r="F8757" s="43"/>
      <c r="G8757" s="48">
        <f t="shared" si="221"/>
        <v>181618.31182795716</v>
      </c>
      <c r="H8757" s="389" t="s">
        <v>9567</v>
      </c>
      <c r="K8757" s="238"/>
    </row>
    <row r="8758" spans="1:11" x14ac:dyDescent="0.3">
      <c r="A8758" s="45">
        <v>45351</v>
      </c>
      <c r="B8758" s="396"/>
      <c r="C8758" s="5" t="s">
        <v>84</v>
      </c>
      <c r="D8758" s="5" t="s">
        <v>13328</v>
      </c>
      <c r="E8758" s="43">
        <v>8000</v>
      </c>
      <c r="F8758" s="43"/>
      <c r="G8758" s="48">
        <f t="shared" si="221"/>
        <v>173618.31182795716</v>
      </c>
      <c r="H8758" s="389" t="s">
        <v>9567</v>
      </c>
      <c r="K8758" s="628"/>
    </row>
    <row r="8759" spans="1:11" x14ac:dyDescent="0.3">
      <c r="A8759" s="45">
        <v>45351</v>
      </c>
      <c r="B8759" s="396" t="s">
        <v>25</v>
      </c>
      <c r="C8759" s="5" t="s">
        <v>4400</v>
      </c>
      <c r="D8759" s="5" t="s">
        <v>13329</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13279</v>
      </c>
      <c r="E8761" s="43">
        <v>6000</v>
      </c>
      <c r="F8761" s="43"/>
      <c r="G8761" s="48">
        <f t="shared" si="221"/>
        <v>160288.31182795716</v>
      </c>
      <c r="H8761" s="389" t="s">
        <v>9567</v>
      </c>
    </row>
    <row r="8762" spans="1:11" x14ac:dyDescent="0.3">
      <c r="A8762" s="45">
        <v>45353</v>
      </c>
      <c r="B8762" s="396" t="s">
        <v>13321</v>
      </c>
      <c r="C8762" s="5" t="s">
        <v>14</v>
      </c>
      <c r="D8762" s="5" t="s">
        <v>294</v>
      </c>
      <c r="E8762" s="43">
        <v>10000</v>
      </c>
      <c r="F8762" s="43"/>
      <c r="G8762" s="48">
        <f t="shared" si="221"/>
        <v>150288.31182795716</v>
      </c>
      <c r="H8762" s="389" t="s">
        <v>9567</v>
      </c>
    </row>
    <row r="8763" spans="1:11" x14ac:dyDescent="0.3">
      <c r="A8763" s="45">
        <v>45353</v>
      </c>
      <c r="B8763" s="396" t="s">
        <v>13321</v>
      </c>
      <c r="C8763" s="5" t="s">
        <v>57</v>
      </c>
      <c r="D8763" s="5" t="s">
        <v>5813</v>
      </c>
      <c r="E8763" s="43">
        <v>100000</v>
      </c>
      <c r="F8763" s="43"/>
      <c r="G8763" s="48">
        <f t="shared" si="221"/>
        <v>50288.311827957164</v>
      </c>
      <c r="H8763" s="389" t="s">
        <v>9567</v>
      </c>
    </row>
    <row r="8764" spans="1:11" x14ac:dyDescent="0.3">
      <c r="A8764" s="45">
        <v>45353</v>
      </c>
      <c r="B8764" s="396" t="s">
        <v>13427</v>
      </c>
      <c r="C8764" s="509" t="s">
        <v>11174</v>
      </c>
      <c r="D8764" s="509" t="s">
        <v>13288</v>
      </c>
      <c r="E8764" s="511">
        <v>17000</v>
      </c>
      <c r="F8764" s="43"/>
      <c r="G8764" s="48">
        <f t="shared" si="221"/>
        <v>33288.311827957164</v>
      </c>
      <c r="H8764" s="389" t="s">
        <v>9567</v>
      </c>
    </row>
    <row r="8765" spans="1:11" x14ac:dyDescent="0.3">
      <c r="A8765" s="45">
        <v>45353</v>
      </c>
      <c r="B8765" s="396" t="s">
        <v>12045</v>
      </c>
      <c r="C8765" s="5" t="s">
        <v>5793</v>
      </c>
      <c r="D8765" s="5" t="s">
        <v>8924</v>
      </c>
      <c r="E8765" s="43">
        <v>400</v>
      </c>
      <c r="F8765" s="43"/>
      <c r="G8765" s="48">
        <f t="shared" si="221"/>
        <v>32888.311827957164</v>
      </c>
      <c r="H8765" s="389" t="s">
        <v>9567</v>
      </c>
    </row>
    <row r="8766" spans="1:11" x14ac:dyDescent="0.3">
      <c r="A8766" s="45">
        <v>45353</v>
      </c>
      <c r="B8766" s="396" t="s">
        <v>12045</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13332</v>
      </c>
      <c r="E8767" s="43">
        <v>5000</v>
      </c>
      <c r="F8767" s="43"/>
      <c r="G8767" s="48">
        <f t="shared" si="221"/>
        <v>27688.311827957164</v>
      </c>
      <c r="H8767" s="389" t="s">
        <v>9567</v>
      </c>
    </row>
    <row r="8768" spans="1:11" x14ac:dyDescent="0.3">
      <c r="A8768" s="45">
        <v>45353</v>
      </c>
      <c r="B8768" s="396" t="s">
        <v>12611</v>
      </c>
      <c r="C8768" s="5" t="s">
        <v>6430</v>
      </c>
      <c r="D8768" s="5" t="s">
        <v>13333</v>
      </c>
      <c r="E8768" s="43">
        <v>8000</v>
      </c>
      <c r="F8768" s="43"/>
      <c r="G8768" s="48">
        <f t="shared" si="221"/>
        <v>19688.311827957164</v>
      </c>
      <c r="H8768" s="389" t="s">
        <v>9567</v>
      </c>
    </row>
    <row r="8769" spans="1:15" x14ac:dyDescent="0.3">
      <c r="A8769" s="45">
        <v>45353</v>
      </c>
      <c r="B8769" s="396" t="s">
        <v>12133</v>
      </c>
      <c r="C8769" s="5" t="s">
        <v>5162</v>
      </c>
      <c r="D8769" s="5" t="s">
        <v>5813</v>
      </c>
      <c r="E8769" s="43">
        <v>4000</v>
      </c>
      <c r="F8769" s="43"/>
      <c r="G8769" s="48">
        <f t="shared" si="221"/>
        <v>15688.311827957164</v>
      </c>
      <c r="H8769" s="389" t="s">
        <v>9567</v>
      </c>
    </row>
    <row r="8770" spans="1:15" x14ac:dyDescent="0.3">
      <c r="A8770" s="45">
        <v>45353</v>
      </c>
      <c r="B8770" s="396" t="s">
        <v>12133</v>
      </c>
      <c r="C8770" s="5" t="s">
        <v>84</v>
      </c>
      <c r="D8770" s="5" t="s">
        <v>13334</v>
      </c>
      <c r="E8770" s="43">
        <v>2000</v>
      </c>
      <c r="F8770" s="43"/>
      <c r="G8770" s="48">
        <f t="shared" si="221"/>
        <v>13688.311827957164</v>
      </c>
      <c r="H8770" s="389" t="s">
        <v>9567</v>
      </c>
    </row>
    <row r="8771" spans="1:15" x14ac:dyDescent="0.3">
      <c r="A8771" s="45">
        <v>45353</v>
      </c>
      <c r="B8771" s="396" t="s">
        <v>25</v>
      </c>
      <c r="C8771" s="5" t="s">
        <v>13335</v>
      </c>
      <c r="D8771" s="5" t="s">
        <v>13336</v>
      </c>
      <c r="E8771" s="43">
        <v>3000</v>
      </c>
      <c r="F8771" s="43"/>
      <c r="G8771" s="48">
        <f t="shared" si="221"/>
        <v>10688.311827957164</v>
      </c>
      <c r="H8771" s="389" t="s">
        <v>9567</v>
      </c>
    </row>
    <row r="8772" spans="1:15" x14ac:dyDescent="0.3">
      <c r="A8772" s="45">
        <v>45353</v>
      </c>
      <c r="B8772" s="396" t="s">
        <v>12133</v>
      </c>
      <c r="C8772" s="5" t="s">
        <v>5793</v>
      </c>
      <c r="D8772" s="5" t="s">
        <v>40</v>
      </c>
      <c r="E8772" s="43">
        <v>1200</v>
      </c>
      <c r="F8772" s="43"/>
      <c r="G8772" s="48">
        <f t="shared" ref="G8772:G8811" si="222">G8771+F8772-E8772</f>
        <v>9488.3118279571645</v>
      </c>
      <c r="H8772" s="389" t="s">
        <v>9567</v>
      </c>
    </row>
    <row r="8773" spans="1:15" x14ac:dyDescent="0.3">
      <c r="A8773" s="45">
        <v>45355</v>
      </c>
      <c r="B8773" s="396" t="s">
        <v>12230</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13279</v>
      </c>
      <c r="E8776" s="43">
        <v>3000</v>
      </c>
      <c r="F8776" s="43"/>
      <c r="G8776" s="48">
        <f t="shared" si="222"/>
        <v>4203.3118279571645</v>
      </c>
      <c r="H8776" s="389" t="s">
        <v>9567</v>
      </c>
    </row>
    <row r="8777" spans="1:15" x14ac:dyDescent="0.3">
      <c r="A8777" s="45">
        <v>45355</v>
      </c>
      <c r="B8777" s="565"/>
      <c r="C8777" s="480"/>
      <c r="D8777" s="491" t="s">
        <v>13315</v>
      </c>
      <c r="E8777" s="480"/>
      <c r="F8777" s="28">
        <v>100000</v>
      </c>
      <c r="G8777" s="48">
        <f t="shared" si="222"/>
        <v>104203.31182795716</v>
      </c>
      <c r="H8777" s="389" t="s">
        <v>9567</v>
      </c>
    </row>
    <row r="8778" spans="1:15" x14ac:dyDescent="0.3">
      <c r="A8778" s="45">
        <v>45355</v>
      </c>
      <c r="B8778" s="396" t="s">
        <v>12133</v>
      </c>
      <c r="C8778" s="5" t="s">
        <v>9287</v>
      </c>
      <c r="D8778" s="5" t="s">
        <v>294</v>
      </c>
      <c r="E8778" s="43">
        <v>10000</v>
      </c>
      <c r="F8778" s="43"/>
      <c r="G8778" s="48">
        <f t="shared" si="222"/>
        <v>94203.311827957164</v>
      </c>
      <c r="H8778" s="389" t="s">
        <v>9567</v>
      </c>
    </row>
    <row r="8779" spans="1:15" x14ac:dyDescent="0.3">
      <c r="A8779" s="45">
        <v>45355</v>
      </c>
      <c r="B8779" s="396" t="s">
        <v>12796</v>
      </c>
      <c r="C8779" s="5" t="s">
        <v>11174</v>
      </c>
      <c r="D8779" s="5" t="s">
        <v>13338</v>
      </c>
      <c r="E8779" s="43">
        <v>10000</v>
      </c>
      <c r="F8779" s="43"/>
      <c r="G8779" s="48">
        <f t="shared" si="222"/>
        <v>84203.311827957164</v>
      </c>
      <c r="H8779" s="389" t="s">
        <v>9567</v>
      </c>
    </row>
    <row r="8780" spans="1:15" x14ac:dyDescent="0.3">
      <c r="A8780" s="45">
        <v>45355</v>
      </c>
      <c r="B8780" s="396" t="s">
        <v>12796</v>
      </c>
      <c r="C8780" s="5" t="s">
        <v>9451</v>
      </c>
      <c r="D8780" s="5" t="s">
        <v>13339</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13340</v>
      </c>
      <c r="D8782" s="5" t="s">
        <v>294</v>
      </c>
      <c r="E8782" s="43">
        <v>7000</v>
      </c>
      <c r="F8782" s="43"/>
      <c r="G8782" s="48">
        <f t="shared" si="222"/>
        <v>66203.311827957164</v>
      </c>
      <c r="H8782" s="389" t="s">
        <v>9567</v>
      </c>
    </row>
    <row r="8783" spans="1:15" ht="21" x14ac:dyDescent="0.3">
      <c r="A8783" s="45">
        <v>45355</v>
      </c>
      <c r="B8783" s="565"/>
      <c r="C8783" s="480"/>
      <c r="D8783" s="491" t="s">
        <v>13315</v>
      </c>
      <c r="E8783" s="480"/>
      <c r="F8783" s="28">
        <v>1000000</v>
      </c>
      <c r="G8783" s="48">
        <f t="shared" si="222"/>
        <v>1066203.3118279572</v>
      </c>
      <c r="H8783" s="389" t="s">
        <v>9567</v>
      </c>
      <c r="M8783" s="937" t="s">
        <v>13344</v>
      </c>
      <c r="N8783" s="938"/>
      <c r="O8783" s="629"/>
    </row>
    <row r="8784" spans="1:15" x14ac:dyDescent="0.3">
      <c r="A8784" s="45">
        <v>45355</v>
      </c>
      <c r="B8784" s="394" t="s">
        <v>12133</v>
      </c>
      <c r="C8784" s="186" t="s">
        <v>54</v>
      </c>
      <c r="D8784" s="186" t="s">
        <v>12753</v>
      </c>
      <c r="E8784" s="187">
        <v>46250</v>
      </c>
      <c r="F8784" s="43"/>
      <c r="G8784" s="48">
        <f t="shared" si="222"/>
        <v>1019953.3118279572</v>
      </c>
      <c r="H8784" s="389" t="s">
        <v>9567</v>
      </c>
      <c r="M8784" s="43">
        <v>468000</v>
      </c>
      <c r="N8784" s="5" t="s">
        <v>13342</v>
      </c>
      <c r="O8784" s="5"/>
    </row>
    <row r="8785" spans="1:15" x14ac:dyDescent="0.3">
      <c r="A8785" s="45">
        <v>45355</v>
      </c>
      <c r="B8785" s="396" t="s">
        <v>25</v>
      </c>
      <c r="C8785" s="5" t="s">
        <v>25</v>
      </c>
      <c r="D8785" s="5" t="s">
        <v>13167</v>
      </c>
      <c r="E8785" s="43">
        <v>1000</v>
      </c>
      <c r="F8785" s="43"/>
      <c r="G8785" s="48">
        <f t="shared" si="222"/>
        <v>1018953.3118279572</v>
      </c>
      <c r="H8785" s="389" t="s">
        <v>9567</v>
      </c>
      <c r="M8785" s="43"/>
      <c r="N8785" s="5"/>
      <c r="O8785" s="5"/>
    </row>
    <row r="8786" spans="1:15" x14ac:dyDescent="0.3">
      <c r="A8786" s="45">
        <v>45355</v>
      </c>
      <c r="B8786" s="396" t="s">
        <v>13321</v>
      </c>
      <c r="C8786" s="5" t="s">
        <v>57</v>
      </c>
      <c r="D8786" s="5" t="s">
        <v>3910</v>
      </c>
      <c r="E8786" s="43">
        <v>150000</v>
      </c>
      <c r="F8786" s="43"/>
      <c r="G8786" s="48">
        <f t="shared" si="222"/>
        <v>868953.31182795716</v>
      </c>
      <c r="H8786" s="389" t="s">
        <v>9567</v>
      </c>
      <c r="M8786" s="43">
        <v>535500</v>
      </c>
      <c r="N8786" s="5" t="s">
        <v>13343</v>
      </c>
      <c r="O8786" s="5"/>
    </row>
    <row r="8787" spans="1:15" x14ac:dyDescent="0.3">
      <c r="A8787" s="45">
        <v>45355</v>
      </c>
      <c r="B8787" s="394" t="s">
        <v>12135</v>
      </c>
      <c r="C8787" s="186" t="s">
        <v>54</v>
      </c>
      <c r="D8787" s="186" t="s">
        <v>13166</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13427</v>
      </c>
      <c r="C8789" s="186" t="s">
        <v>54</v>
      </c>
      <c r="D8789" s="186" t="s">
        <v>12755</v>
      </c>
      <c r="E8789" s="187">
        <v>50430</v>
      </c>
      <c r="F8789" s="43"/>
      <c r="G8789" s="48">
        <f t="shared" si="222"/>
        <v>515473.31182795716</v>
      </c>
      <c r="H8789" s="389" t="s">
        <v>9567</v>
      </c>
      <c r="M8789" s="93"/>
    </row>
    <row r="8790" spans="1:15" x14ac:dyDescent="0.3">
      <c r="A8790" s="45">
        <v>45356</v>
      </c>
      <c r="B8790" s="396" t="s">
        <v>12321</v>
      </c>
      <c r="C8790" s="5" t="s">
        <v>11174</v>
      </c>
      <c r="D8790" s="5" t="s">
        <v>13341</v>
      </c>
      <c r="E8790" s="43">
        <v>4800</v>
      </c>
      <c r="F8790" s="43"/>
      <c r="G8790" s="48">
        <f t="shared" si="222"/>
        <v>510673.31182795716</v>
      </c>
      <c r="H8790" s="389" t="s">
        <v>9567</v>
      </c>
    </row>
    <row r="8791" spans="1:15" x14ac:dyDescent="0.3">
      <c r="A8791" s="45">
        <v>45356</v>
      </c>
      <c r="B8791" s="394" t="s">
        <v>12080</v>
      </c>
      <c r="C8791" s="186" t="s">
        <v>54</v>
      </c>
      <c r="D8791" s="186" t="s">
        <v>12746</v>
      </c>
      <c r="E8791" s="187">
        <v>164698.27586206899</v>
      </c>
      <c r="F8791" s="43"/>
      <c r="G8791" s="48">
        <f t="shared" si="222"/>
        <v>345975.03596588818</v>
      </c>
      <c r="H8791" s="389" t="s">
        <v>9567</v>
      </c>
    </row>
    <row r="8792" spans="1:15" x14ac:dyDescent="0.3">
      <c r="A8792" s="45">
        <v>45356</v>
      </c>
      <c r="B8792" s="396" t="s">
        <v>12086</v>
      </c>
      <c r="C8792" s="5" t="s">
        <v>30</v>
      </c>
      <c r="D8792" s="5" t="s">
        <v>10637</v>
      </c>
      <c r="E8792" s="43">
        <v>500</v>
      </c>
      <c r="F8792" s="43"/>
      <c r="G8792" s="48">
        <f t="shared" si="222"/>
        <v>345475.03596588818</v>
      </c>
      <c r="H8792" s="389" t="s">
        <v>9567</v>
      </c>
    </row>
    <row r="8793" spans="1:15" x14ac:dyDescent="0.3">
      <c r="A8793" s="45">
        <v>45356</v>
      </c>
      <c r="B8793" s="396"/>
      <c r="C8793" s="5" t="s">
        <v>25</v>
      </c>
      <c r="D8793" s="5" t="s">
        <v>13279</v>
      </c>
      <c r="E8793" s="43">
        <v>4000</v>
      </c>
      <c r="F8793" s="43"/>
      <c r="G8793" s="48">
        <f t="shared" si="222"/>
        <v>341475.03596588818</v>
      </c>
      <c r="H8793" s="389" t="s">
        <v>9567</v>
      </c>
    </row>
    <row r="8794" spans="1:15" x14ac:dyDescent="0.3">
      <c r="A8794" s="45">
        <v>45356</v>
      </c>
      <c r="B8794" s="394" t="s">
        <v>12796</v>
      </c>
      <c r="C8794" s="186" t="s">
        <v>54</v>
      </c>
      <c r="D8794" s="186" t="s">
        <v>13180</v>
      </c>
      <c r="E8794" s="187">
        <v>70000</v>
      </c>
      <c r="F8794" s="43"/>
      <c r="G8794" s="48">
        <f t="shared" si="222"/>
        <v>271475.03596588818</v>
      </c>
      <c r="H8794" s="389" t="s">
        <v>9567</v>
      </c>
    </row>
    <row r="8795" spans="1:15" x14ac:dyDescent="0.3">
      <c r="A8795" s="45">
        <v>45356</v>
      </c>
      <c r="B8795" s="396"/>
      <c r="C8795" s="5" t="s">
        <v>5162</v>
      </c>
      <c r="D8795" s="5" t="s">
        <v>13345</v>
      </c>
      <c r="E8795" s="43">
        <v>5000</v>
      </c>
      <c r="F8795" s="43"/>
      <c r="G8795" s="48">
        <f t="shared" si="222"/>
        <v>266475.03596588818</v>
      </c>
      <c r="H8795" s="389" t="s">
        <v>9567</v>
      </c>
    </row>
    <row r="8796" spans="1:15" x14ac:dyDescent="0.3">
      <c r="A8796" s="45">
        <v>45356</v>
      </c>
      <c r="B8796" s="396" t="s">
        <v>12611</v>
      </c>
      <c r="C8796" s="5" t="s">
        <v>11174</v>
      </c>
      <c r="D8796" s="5" t="s">
        <v>13357</v>
      </c>
      <c r="E8796" s="43">
        <v>2400</v>
      </c>
      <c r="F8796" s="43"/>
      <c r="G8796" s="48">
        <f t="shared" si="222"/>
        <v>264075.03596588818</v>
      </c>
      <c r="H8796" s="389" t="s">
        <v>9567</v>
      </c>
    </row>
    <row r="8797" spans="1:15" x14ac:dyDescent="0.3">
      <c r="A8797" s="45">
        <v>45356</v>
      </c>
      <c r="B8797" s="396" t="s">
        <v>13131</v>
      </c>
      <c r="C8797" s="5" t="s">
        <v>9643</v>
      </c>
      <c r="D8797" s="5" t="s">
        <v>294</v>
      </c>
      <c r="E8797" s="43">
        <v>22000</v>
      </c>
      <c r="F8797" s="43"/>
      <c r="G8797" s="48">
        <f t="shared" si="222"/>
        <v>242075.03596588818</v>
      </c>
      <c r="H8797" s="389" t="s">
        <v>9567</v>
      </c>
    </row>
    <row r="8798" spans="1:15" x14ac:dyDescent="0.3">
      <c r="A8798" s="45">
        <v>45356</v>
      </c>
      <c r="B8798" s="565"/>
      <c r="C8798" s="480"/>
      <c r="D8798" s="491" t="s">
        <v>13349</v>
      </c>
      <c r="E8798" s="480"/>
      <c r="F8798" s="28">
        <v>100000</v>
      </c>
      <c r="G8798" s="48">
        <f t="shared" si="222"/>
        <v>342075.03596588818</v>
      </c>
      <c r="H8798" s="389" t="s">
        <v>9567</v>
      </c>
    </row>
    <row r="8799" spans="1:15" x14ac:dyDescent="0.3">
      <c r="A8799" s="45">
        <v>45356</v>
      </c>
      <c r="B8799" s="394" t="s">
        <v>12055</v>
      </c>
      <c r="C8799" s="186" t="s">
        <v>54</v>
      </c>
      <c r="D8799" s="186" t="s">
        <v>6236</v>
      </c>
      <c r="E8799" s="187">
        <v>131915.94827586209</v>
      </c>
      <c r="F8799" s="43"/>
      <c r="G8799" s="48">
        <f t="shared" si="222"/>
        <v>210159.08769002609</v>
      </c>
      <c r="H8799" s="389" t="s">
        <v>9567</v>
      </c>
    </row>
    <row r="8800" spans="1:15" x14ac:dyDescent="0.3">
      <c r="A8800" s="45">
        <v>45356</v>
      </c>
      <c r="B8800" s="394" t="s">
        <v>12135</v>
      </c>
      <c r="C8800" s="186" t="s">
        <v>54</v>
      </c>
      <c r="D8800" s="186" t="s">
        <v>13347</v>
      </c>
      <c r="E8800" s="187">
        <v>88680</v>
      </c>
      <c r="F8800" s="43"/>
      <c r="G8800" s="48">
        <f t="shared" si="222"/>
        <v>121479.08769002609</v>
      </c>
      <c r="H8800" s="389" t="s">
        <v>9567</v>
      </c>
    </row>
    <row r="8801" spans="1:15" x14ac:dyDescent="0.3">
      <c r="A8801" s="45">
        <v>45356</v>
      </c>
      <c r="B8801" s="394" t="s">
        <v>13321</v>
      </c>
      <c r="C8801" s="186" t="s">
        <v>54</v>
      </c>
      <c r="D8801" s="186" t="s">
        <v>13348</v>
      </c>
      <c r="E8801" s="187">
        <v>71890</v>
      </c>
      <c r="F8801" s="43"/>
      <c r="G8801" s="48">
        <f t="shared" si="222"/>
        <v>49589.087690026092</v>
      </c>
      <c r="H8801" s="389" t="s">
        <v>9567</v>
      </c>
    </row>
    <row r="8802" spans="1:15" x14ac:dyDescent="0.3">
      <c r="A8802" s="45">
        <v>45356</v>
      </c>
      <c r="B8802" s="394" t="s">
        <v>12086</v>
      </c>
      <c r="C8802" s="186" t="s">
        <v>54</v>
      </c>
      <c r="D8802" s="186" t="s">
        <v>12752</v>
      </c>
      <c r="E8802" s="187">
        <v>17930</v>
      </c>
      <c r="F8802" s="43"/>
      <c r="G8802" s="48">
        <f t="shared" si="222"/>
        <v>31659.087690026092</v>
      </c>
      <c r="H8802" s="389" t="s">
        <v>9567</v>
      </c>
    </row>
    <row r="8803" spans="1:15" x14ac:dyDescent="0.3">
      <c r="A8803" s="45">
        <v>45356</v>
      </c>
      <c r="B8803" s="396" t="s">
        <v>12080</v>
      </c>
      <c r="C8803" s="5" t="s">
        <v>26</v>
      </c>
      <c r="D8803" s="5" t="s">
        <v>5915</v>
      </c>
      <c r="E8803" s="43">
        <v>3000</v>
      </c>
      <c r="F8803" s="43"/>
      <c r="G8803" s="48">
        <f t="shared" si="222"/>
        <v>28659.087690026092</v>
      </c>
      <c r="H8803" s="389" t="s">
        <v>9567</v>
      </c>
    </row>
    <row r="8804" spans="1:15" x14ac:dyDescent="0.3">
      <c r="A8804" s="45">
        <v>45356</v>
      </c>
      <c r="B8804" s="510" t="s">
        <v>12080</v>
      </c>
      <c r="C8804" s="509" t="s">
        <v>11174</v>
      </c>
      <c r="D8804" s="509" t="s">
        <v>13350</v>
      </c>
      <c r="E8804" s="511">
        <v>5000</v>
      </c>
      <c r="F8804" s="43"/>
      <c r="G8804" s="48">
        <f t="shared" si="222"/>
        <v>23659.087690026092</v>
      </c>
      <c r="H8804" s="389" t="s">
        <v>9567</v>
      </c>
    </row>
    <row r="8805" spans="1:15" ht="21" x14ac:dyDescent="0.3">
      <c r="A8805" s="45">
        <v>45356</v>
      </c>
      <c r="B8805" s="565"/>
      <c r="C8805" s="480"/>
      <c r="D8805" s="491" t="s">
        <v>13315</v>
      </c>
      <c r="E8805" s="480"/>
      <c r="F8805" s="28">
        <v>500000</v>
      </c>
      <c r="G8805" s="48">
        <f t="shared" si="222"/>
        <v>523659.08769002609</v>
      </c>
      <c r="H8805" s="389" t="s">
        <v>9567</v>
      </c>
      <c r="I8805" s="583" t="s">
        <v>12514</v>
      </c>
      <c r="J8805" s="187" t="e">
        <f>#REF!</f>
        <v>#REF!</v>
      </c>
      <c r="M8805" s="937" t="s">
        <v>13344</v>
      </c>
      <c r="N8805" s="938"/>
      <c r="O8805" s="629"/>
    </row>
    <row r="8806" spans="1:15" x14ac:dyDescent="0.3">
      <c r="A8806" s="45">
        <v>45356</v>
      </c>
      <c r="B8806" s="394" t="s">
        <v>12086</v>
      </c>
      <c r="C8806" s="186" t="s">
        <v>54</v>
      </c>
      <c r="D8806" s="186" t="s">
        <v>6245</v>
      </c>
      <c r="E8806" s="187">
        <v>83000</v>
      </c>
      <c r="F8806" s="43"/>
      <c r="G8806" s="48">
        <f t="shared" si="222"/>
        <v>440659.08769002609</v>
      </c>
      <c r="H8806" s="389" t="s">
        <v>9567</v>
      </c>
      <c r="I8806" s="583" t="s">
        <v>55</v>
      </c>
      <c r="J8806" s="187">
        <f ca="1">SUMIF(C8780:E8861,"salary",E8780:E8861)</f>
        <v>2272167.7586206896</v>
      </c>
    </row>
    <row r="8807" spans="1:15" x14ac:dyDescent="0.3">
      <c r="A8807" s="45">
        <v>45356</v>
      </c>
      <c r="B8807" s="396"/>
      <c r="C8807" s="5" t="s">
        <v>5288</v>
      </c>
      <c r="D8807" s="5" t="s">
        <v>13351</v>
      </c>
      <c r="E8807" s="43">
        <v>5000</v>
      </c>
      <c r="F8807" s="43"/>
      <c r="G8807" s="48">
        <f t="shared" si="222"/>
        <v>435659.08769002609</v>
      </c>
      <c r="H8807" s="389" t="s">
        <v>9567</v>
      </c>
      <c r="I8807" s="583" t="s">
        <v>12233</v>
      </c>
      <c r="J8807" s="187" t="e">
        <f ca="1">J8805-J8806</f>
        <v>#REF!</v>
      </c>
    </row>
    <row r="8808" spans="1:15" x14ac:dyDescent="0.3">
      <c r="A8808" s="45">
        <v>45356</v>
      </c>
      <c r="B8808" s="394" t="s">
        <v>12133</v>
      </c>
      <c r="C8808" s="186" t="s">
        <v>54</v>
      </c>
      <c r="D8808" s="186" t="s">
        <v>11891</v>
      </c>
      <c r="E8808" s="187">
        <v>20700</v>
      </c>
      <c r="F8808" s="43"/>
      <c r="G8808" s="48">
        <f t="shared" si="222"/>
        <v>414959.08769002609</v>
      </c>
      <c r="H8808" s="389" t="s">
        <v>9567</v>
      </c>
    </row>
    <row r="8809" spans="1:15" x14ac:dyDescent="0.3">
      <c r="A8809" s="45">
        <v>45357</v>
      </c>
      <c r="B8809" s="396"/>
      <c r="C8809" s="5" t="s">
        <v>25</v>
      </c>
      <c r="D8809" s="5" t="s">
        <v>13279</v>
      </c>
      <c r="E8809" s="43">
        <v>5000</v>
      </c>
      <c r="F8809" s="43"/>
      <c r="G8809" s="48">
        <f t="shared" si="222"/>
        <v>409959.08769002609</v>
      </c>
      <c r="H8809" s="389" t="s">
        <v>9567</v>
      </c>
    </row>
    <row r="8810" spans="1:15" x14ac:dyDescent="0.3">
      <c r="A8810" s="45">
        <v>45357</v>
      </c>
      <c r="B8810" s="394" t="s">
        <v>12133</v>
      </c>
      <c r="C8810" s="186" t="s">
        <v>54</v>
      </c>
      <c r="D8810" s="186" t="s">
        <v>13352</v>
      </c>
      <c r="E8810" s="187">
        <v>39100</v>
      </c>
      <c r="F8810" s="43"/>
      <c r="G8810" s="48">
        <f t="shared" si="222"/>
        <v>370859.08769002609</v>
      </c>
      <c r="H8810" s="389" t="s">
        <v>9567</v>
      </c>
    </row>
    <row r="8811" spans="1:15" x14ac:dyDescent="0.3">
      <c r="A8811" s="45">
        <v>45357</v>
      </c>
      <c r="B8811" s="394" t="s">
        <v>12133</v>
      </c>
      <c r="C8811" s="186" t="s">
        <v>54</v>
      </c>
      <c r="D8811" s="186" t="s">
        <v>13353</v>
      </c>
      <c r="E8811" s="187">
        <v>34300</v>
      </c>
      <c r="F8811" s="43"/>
      <c r="G8811" s="48">
        <f t="shared" si="222"/>
        <v>336559.08769002609</v>
      </c>
      <c r="H8811" s="389" t="s">
        <v>9567</v>
      </c>
    </row>
    <row r="8812" spans="1:15" x14ac:dyDescent="0.3">
      <c r="A8812" s="45">
        <v>45357</v>
      </c>
      <c r="B8812" s="396" t="s">
        <v>12086</v>
      </c>
      <c r="C8812" s="5" t="s">
        <v>11174</v>
      </c>
      <c r="D8812" s="5" t="s">
        <v>13354</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13355</v>
      </c>
      <c r="E8813" s="511">
        <v>5000</v>
      </c>
      <c r="F8813" s="43"/>
      <c r="G8813" s="48">
        <f t="shared" si="223"/>
        <v>316059.08769002609</v>
      </c>
      <c r="H8813" s="389" t="s">
        <v>9567</v>
      </c>
    </row>
    <row r="8814" spans="1:15" x14ac:dyDescent="0.3">
      <c r="A8814" s="45">
        <v>45357</v>
      </c>
      <c r="B8814" s="394" t="s">
        <v>12079</v>
      </c>
      <c r="C8814" s="186" t="s">
        <v>54</v>
      </c>
      <c r="D8814" s="186" t="s">
        <v>13178</v>
      </c>
      <c r="E8814" s="187">
        <v>140338.36206896551</v>
      </c>
      <c r="F8814" s="43"/>
      <c r="G8814" s="48">
        <f t="shared" si="223"/>
        <v>175720.72562106058</v>
      </c>
      <c r="H8814" s="389" t="s">
        <v>9567</v>
      </c>
    </row>
    <row r="8815" spans="1:15" x14ac:dyDescent="0.3">
      <c r="A8815" s="45">
        <v>45357</v>
      </c>
      <c r="B8815" s="394" t="s">
        <v>12086</v>
      </c>
      <c r="C8815" s="186" t="s">
        <v>54</v>
      </c>
      <c r="D8815" s="186" t="s">
        <v>12996</v>
      </c>
      <c r="E8815" s="187">
        <v>57930</v>
      </c>
      <c r="F8815" s="43"/>
      <c r="G8815" s="48">
        <f t="shared" si="223"/>
        <v>117790.72562106058</v>
      </c>
      <c r="H8815" s="389" t="s">
        <v>9567</v>
      </c>
    </row>
    <row r="8816" spans="1:15" x14ac:dyDescent="0.3">
      <c r="A8816" s="45">
        <v>45357</v>
      </c>
      <c r="B8816" s="394" t="s">
        <v>12086</v>
      </c>
      <c r="C8816" s="186" t="s">
        <v>54</v>
      </c>
      <c r="D8816" s="186" t="s">
        <v>12779</v>
      </c>
      <c r="E8816" s="187">
        <v>28500</v>
      </c>
      <c r="F8816" s="43"/>
      <c r="G8816" s="48">
        <f t="shared" si="223"/>
        <v>89290.725621060585</v>
      </c>
      <c r="H8816" s="389" t="s">
        <v>9567</v>
      </c>
    </row>
    <row r="8817" spans="1:12" x14ac:dyDescent="0.3">
      <c r="A8817" s="45">
        <v>45357</v>
      </c>
      <c r="B8817" s="396" t="s">
        <v>25</v>
      </c>
      <c r="C8817" s="5" t="s">
        <v>13238</v>
      </c>
      <c r="D8817" s="5" t="s">
        <v>40</v>
      </c>
      <c r="E8817" s="43">
        <v>6000</v>
      </c>
      <c r="F8817" s="43"/>
      <c r="G8817" s="48">
        <f t="shared" si="223"/>
        <v>83290.725621060585</v>
      </c>
      <c r="H8817" s="389" t="s">
        <v>9567</v>
      </c>
    </row>
    <row r="8818" spans="1:12" x14ac:dyDescent="0.3">
      <c r="A8818" s="45">
        <v>45357</v>
      </c>
      <c r="B8818" s="394" t="s">
        <v>12796</v>
      </c>
      <c r="C8818" s="186" t="s">
        <v>54</v>
      </c>
      <c r="D8818" s="186" t="s">
        <v>13181</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12133</v>
      </c>
      <c r="C8820" s="5" t="s">
        <v>5793</v>
      </c>
      <c r="D8820" s="5" t="s">
        <v>40</v>
      </c>
      <c r="E8820" s="43">
        <v>1400</v>
      </c>
      <c r="F8820" s="43"/>
      <c r="G8820" s="48">
        <f t="shared" si="223"/>
        <v>20190.725621060585</v>
      </c>
      <c r="H8820" s="389" t="s">
        <v>9567</v>
      </c>
    </row>
    <row r="8821" spans="1:12" x14ac:dyDescent="0.3">
      <c r="A8821" s="45">
        <v>45357</v>
      </c>
      <c r="B8821" s="396" t="s">
        <v>12133</v>
      </c>
      <c r="C8821" s="5" t="s">
        <v>11174</v>
      </c>
      <c r="D8821" s="5" t="s">
        <v>13358</v>
      </c>
      <c r="E8821" s="43">
        <v>950</v>
      </c>
      <c r="F8821" s="43"/>
      <c r="G8821" s="48">
        <f t="shared" si="223"/>
        <v>19240.725621060585</v>
      </c>
      <c r="H8821" s="389" t="s">
        <v>9567</v>
      </c>
    </row>
    <row r="8822" spans="1:12" x14ac:dyDescent="0.3">
      <c r="A8822" s="45">
        <v>45357</v>
      </c>
      <c r="B8822" s="396" t="s">
        <v>12133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12215</v>
      </c>
      <c r="E8823" s="43">
        <v>12067</v>
      </c>
      <c r="F8823" s="43"/>
      <c r="G8823" s="48">
        <f t="shared" si="223"/>
        <v>2173.7256210605847</v>
      </c>
      <c r="H8823" s="389" t="s">
        <v>9567</v>
      </c>
      <c r="L8823" s="4">
        <v>62000</v>
      </c>
    </row>
    <row r="8824" spans="1:12" x14ac:dyDescent="0.3">
      <c r="A8824" s="45">
        <v>45358</v>
      </c>
      <c r="B8824" s="396" t="s">
        <v>12086</v>
      </c>
      <c r="C8824" s="5" t="s">
        <v>30</v>
      </c>
      <c r="D8824" s="5" t="s">
        <v>13361</v>
      </c>
      <c r="E8824" s="43">
        <v>650</v>
      </c>
      <c r="F8824" s="43"/>
      <c r="G8824" s="48">
        <f t="shared" si="223"/>
        <v>1523.7256210605847</v>
      </c>
      <c r="H8824" s="389" t="s">
        <v>9567</v>
      </c>
      <c r="L8824" s="4">
        <v>6000</v>
      </c>
    </row>
    <row r="8825" spans="1:12" x14ac:dyDescent="0.3">
      <c r="A8825" s="45">
        <v>45358</v>
      </c>
      <c r="B8825" s="565"/>
      <c r="C8825" s="480"/>
      <c r="D8825" s="491" t="s">
        <v>13315</v>
      </c>
      <c r="E8825" s="480"/>
      <c r="F8825" s="28">
        <v>1000000</v>
      </c>
      <c r="G8825" s="48">
        <f t="shared" si="223"/>
        <v>1001523.7256210606</v>
      </c>
      <c r="H8825" s="389" t="s">
        <v>9567</v>
      </c>
      <c r="L8825" s="4">
        <f>SUM(L8823:L8824)</f>
        <v>68000</v>
      </c>
    </row>
    <row r="8826" spans="1:12" x14ac:dyDescent="0.3">
      <c r="A8826" s="45">
        <v>45358</v>
      </c>
      <c r="B8826" s="394" t="s">
        <v>12086</v>
      </c>
      <c r="C8826" s="186" t="s">
        <v>54</v>
      </c>
      <c r="D8826" s="186" t="s">
        <v>12520</v>
      </c>
      <c r="E8826" s="187">
        <v>40650</v>
      </c>
      <c r="F8826" s="43"/>
      <c r="G8826" s="48">
        <f t="shared" si="223"/>
        <v>960873.72562106058</v>
      </c>
      <c r="H8826" s="389" t="s">
        <v>9567</v>
      </c>
    </row>
    <row r="8827" spans="1:12" x14ac:dyDescent="0.3">
      <c r="A8827" s="45">
        <v>45358</v>
      </c>
      <c r="B8827" s="394" t="s">
        <v>12055</v>
      </c>
      <c r="C8827" s="186" t="s">
        <v>54</v>
      </c>
      <c r="D8827" s="186" t="s">
        <v>13362</v>
      </c>
      <c r="E8827" s="187">
        <v>28000</v>
      </c>
      <c r="F8827" s="43"/>
      <c r="G8827" s="48">
        <f t="shared" si="223"/>
        <v>932873.72562106058</v>
      </c>
      <c r="H8827" s="389" t="s">
        <v>9567</v>
      </c>
    </row>
    <row r="8828" spans="1:12" x14ac:dyDescent="0.3">
      <c r="A8828" s="45">
        <v>45358</v>
      </c>
      <c r="B8828" s="394" t="s">
        <v>13427</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13363</v>
      </c>
      <c r="E8829" s="43">
        <v>50000</v>
      </c>
      <c r="F8829" s="43"/>
      <c r="G8829" s="48">
        <f t="shared" si="223"/>
        <v>831123.72562106058</v>
      </c>
      <c r="H8829" s="389" t="s">
        <v>9567</v>
      </c>
    </row>
    <row r="8830" spans="1:12" x14ac:dyDescent="0.3">
      <c r="A8830" s="45">
        <v>45358</v>
      </c>
      <c r="B8830" s="394" t="s">
        <v>12796</v>
      </c>
      <c r="C8830" s="186" t="s">
        <v>54</v>
      </c>
      <c r="D8830" s="186" t="s">
        <v>13364</v>
      </c>
      <c r="E8830" s="187">
        <v>64150</v>
      </c>
      <c r="F8830" s="43"/>
      <c r="G8830" s="48">
        <f t="shared" si="223"/>
        <v>766973.72562106058</v>
      </c>
      <c r="H8830" s="389" t="s">
        <v>9567</v>
      </c>
      <c r="J8830" s="52">
        <v>43200</v>
      </c>
    </row>
    <row r="8831" spans="1:12" x14ac:dyDescent="0.3">
      <c r="A8831" s="45">
        <v>45358</v>
      </c>
      <c r="B8831" s="396" t="s">
        <v>13427</v>
      </c>
      <c r="C8831" s="5" t="s">
        <v>12826</v>
      </c>
      <c r="D8831" s="5" t="s">
        <v>13359</v>
      </c>
      <c r="E8831" s="43">
        <v>20000</v>
      </c>
      <c r="F8831" s="43"/>
      <c r="G8831" s="48">
        <f t="shared" si="223"/>
        <v>746973.72562106058</v>
      </c>
      <c r="H8831" s="389" t="s">
        <v>9567</v>
      </c>
      <c r="J8831" s="52">
        <v>21280</v>
      </c>
    </row>
    <row r="8832" spans="1:12" x14ac:dyDescent="0.3">
      <c r="A8832" s="45">
        <v>45358</v>
      </c>
      <c r="B8832" s="396" t="s">
        <v>12133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13279</v>
      </c>
      <c r="E8833" s="43">
        <v>4000</v>
      </c>
      <c r="F8833" s="43"/>
      <c r="G8833" s="48">
        <f t="shared" si="223"/>
        <v>742173.72562106058</v>
      </c>
      <c r="H8833" s="389" t="s">
        <v>9567</v>
      </c>
      <c r="J8833" s="52">
        <v>114300</v>
      </c>
    </row>
    <row r="8834" spans="1:12" x14ac:dyDescent="0.3">
      <c r="A8834" s="45">
        <v>45359</v>
      </c>
      <c r="B8834" s="394" t="s">
        <v>12611</v>
      </c>
      <c r="C8834" s="186" t="s">
        <v>54</v>
      </c>
      <c r="D8834" s="186" t="s">
        <v>13164</v>
      </c>
      <c r="E8834" s="187">
        <v>678905.17241379316</v>
      </c>
      <c r="F8834" s="43"/>
      <c r="G8834" s="48">
        <f t="shared" si="223"/>
        <v>63268.553207267425</v>
      </c>
      <c r="H8834" s="389" t="s">
        <v>9567</v>
      </c>
      <c r="J8834" s="52">
        <f>SUM(J8830:J8833)</f>
        <v>182980</v>
      </c>
    </row>
    <row r="8835" spans="1:12" x14ac:dyDescent="0.3">
      <c r="A8835" s="45">
        <v>45359</v>
      </c>
      <c r="B8835" s="565"/>
      <c r="C8835" s="480"/>
      <c r="D8835" s="491" t="s">
        <v>13371</v>
      </c>
      <c r="E8835" s="480"/>
      <c r="F8835" s="28">
        <v>200000</v>
      </c>
      <c r="G8835" s="48">
        <f t="shared" si="223"/>
        <v>263268.55320726743</v>
      </c>
      <c r="H8835" s="389" t="s">
        <v>9567</v>
      </c>
    </row>
    <row r="8836" spans="1:12" x14ac:dyDescent="0.3">
      <c r="A8836" s="45">
        <v>45359</v>
      </c>
      <c r="B8836" s="396" t="s">
        <v>13365</v>
      </c>
      <c r="C8836" s="5" t="s">
        <v>11174</v>
      </c>
      <c r="D8836" s="5" t="s">
        <v>13366</v>
      </c>
      <c r="E8836" s="43">
        <v>182980</v>
      </c>
      <c r="F8836" s="43"/>
      <c r="G8836" s="48">
        <f t="shared" si="223"/>
        <v>80288.553207267425</v>
      </c>
      <c r="H8836" s="389" t="s">
        <v>9567</v>
      </c>
    </row>
    <row r="8837" spans="1:12" x14ac:dyDescent="0.3">
      <c r="A8837" s="45">
        <v>45359</v>
      </c>
      <c r="B8837" s="396" t="s">
        <v>13365</v>
      </c>
      <c r="C8837" s="5" t="s">
        <v>5793</v>
      </c>
      <c r="D8837" s="5" t="s">
        <v>40</v>
      </c>
      <c r="E8837" s="43">
        <v>500</v>
      </c>
      <c r="F8837" s="43"/>
      <c r="G8837" s="48">
        <f t="shared" si="223"/>
        <v>79788.553207267425</v>
      </c>
      <c r="H8837" s="389" t="s">
        <v>9567</v>
      </c>
    </row>
    <row r="8838" spans="1:12" x14ac:dyDescent="0.3">
      <c r="A8838" s="45">
        <v>45359</v>
      </c>
      <c r="B8838" s="396" t="s">
        <v>13365</v>
      </c>
      <c r="C8838" s="5" t="s">
        <v>30</v>
      </c>
      <c r="D8838" s="5" t="s">
        <v>10637</v>
      </c>
      <c r="E8838" s="43">
        <v>500</v>
      </c>
      <c r="F8838" s="43"/>
      <c r="G8838" s="48">
        <f t="shared" si="223"/>
        <v>79288.553207267425</v>
      </c>
      <c r="H8838" s="389" t="s">
        <v>9567</v>
      </c>
    </row>
    <row r="8839" spans="1:12" x14ac:dyDescent="0.3">
      <c r="A8839" s="45">
        <v>45359</v>
      </c>
      <c r="B8839" s="396" t="s">
        <v>13365</v>
      </c>
      <c r="C8839" s="5" t="s">
        <v>12782</v>
      </c>
      <c r="D8839" s="5" t="s">
        <v>13376</v>
      </c>
      <c r="E8839" s="43">
        <v>10000</v>
      </c>
      <c r="F8839" s="43"/>
      <c r="G8839" s="48">
        <f t="shared" si="223"/>
        <v>69288.553207267425</v>
      </c>
      <c r="H8839" s="389" t="s">
        <v>9567</v>
      </c>
    </row>
    <row r="8840" spans="1:12" x14ac:dyDescent="0.3">
      <c r="A8840" s="45">
        <v>45359</v>
      </c>
      <c r="B8840" s="396" t="s">
        <v>13365</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13279</v>
      </c>
      <c r="E8841" s="43">
        <v>3000</v>
      </c>
      <c r="F8841" s="43"/>
      <c r="G8841" s="48">
        <f t="shared" si="223"/>
        <v>64788.553207267425</v>
      </c>
      <c r="H8841" s="389" t="s">
        <v>9567</v>
      </c>
      <c r="J8841" s="52">
        <f>J8840+J8834</f>
        <v>183980</v>
      </c>
    </row>
    <row r="8842" spans="1:12" x14ac:dyDescent="0.3">
      <c r="A8842" s="45">
        <v>45360</v>
      </c>
      <c r="B8842" s="396" t="s">
        <v>13427</v>
      </c>
      <c r="C8842" s="5" t="s">
        <v>3220</v>
      </c>
      <c r="D8842" s="5" t="s">
        <v>294</v>
      </c>
      <c r="E8842" s="43">
        <v>8500</v>
      </c>
      <c r="F8842" s="43"/>
      <c r="G8842" s="48">
        <f t="shared" si="223"/>
        <v>56288.553207267425</v>
      </c>
      <c r="H8842" s="389" t="s">
        <v>9567</v>
      </c>
      <c r="J8842" s="52">
        <v>10000</v>
      </c>
    </row>
    <row r="8843" spans="1:12" x14ac:dyDescent="0.3">
      <c r="A8843" s="45">
        <v>45360</v>
      </c>
      <c r="B8843" s="396" t="s">
        <v>12133</v>
      </c>
      <c r="C8843" s="5" t="s">
        <v>11174</v>
      </c>
      <c r="D8843" s="5" t="s">
        <v>13369</v>
      </c>
      <c r="E8843" s="43">
        <v>1050</v>
      </c>
      <c r="F8843" s="43"/>
      <c r="G8843" s="48">
        <f t="shared" si="223"/>
        <v>55238.553207267425</v>
      </c>
      <c r="H8843" s="389" t="s">
        <v>9567</v>
      </c>
      <c r="J8843" s="52">
        <f>J8842+J8841</f>
        <v>193980</v>
      </c>
    </row>
    <row r="8844" spans="1:12" x14ac:dyDescent="0.3">
      <c r="A8844" s="45">
        <v>45360</v>
      </c>
      <c r="B8844" s="396" t="s">
        <v>12133</v>
      </c>
      <c r="C8844" s="5" t="s">
        <v>25</v>
      </c>
      <c r="D8844" s="5" t="s">
        <v>13370</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12055</v>
      </c>
      <c r="C8846" s="5" t="s">
        <v>5793</v>
      </c>
      <c r="D8846" s="5" t="s">
        <v>13375</v>
      </c>
      <c r="E8846" s="43">
        <v>3000</v>
      </c>
      <c r="F8846" s="43"/>
      <c r="G8846" s="48">
        <f t="shared" si="223"/>
        <v>238.55320726742502</v>
      </c>
      <c r="H8846" s="389" t="s">
        <v>9567</v>
      </c>
    </row>
    <row r="8847" spans="1:12" x14ac:dyDescent="0.3">
      <c r="A8847" s="45">
        <v>45362</v>
      </c>
      <c r="B8847" s="565"/>
      <c r="C8847" s="480"/>
      <c r="D8847" s="491" t="s">
        <v>4364</v>
      </c>
      <c r="E8847" s="480"/>
      <c r="F8847" s="28">
        <v>150000</v>
      </c>
      <c r="G8847" s="48">
        <f t="shared" si="223"/>
        <v>150238.55320726743</v>
      </c>
      <c r="H8847" s="389" t="s">
        <v>9567</v>
      </c>
    </row>
    <row r="8848" spans="1:12" x14ac:dyDescent="0.3">
      <c r="A8848" s="45">
        <v>45362</v>
      </c>
      <c r="B8848" s="396" t="s">
        <v>12796</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13279</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13321</v>
      </c>
      <c r="C8850" s="5" t="s">
        <v>5793</v>
      </c>
      <c r="D8850" s="5" t="s">
        <v>13384</v>
      </c>
      <c r="E8850" s="65">
        <v>500</v>
      </c>
      <c r="F8850" s="43"/>
      <c r="G8850" s="48">
        <f t="shared" si="223"/>
        <v>145738.55320726743</v>
      </c>
      <c r="H8850" s="389" t="s">
        <v>9567</v>
      </c>
      <c r="I8850" s="52">
        <v>2000</v>
      </c>
      <c r="J8850" s="52">
        <f>J8848-J8849</f>
        <v>535500</v>
      </c>
    </row>
    <row r="8851" spans="1:12" x14ac:dyDescent="0.3">
      <c r="A8851" s="45">
        <v>45362</v>
      </c>
      <c r="B8851" s="396" t="s">
        <v>13385</v>
      </c>
      <c r="C8851" s="5" t="s">
        <v>5793</v>
      </c>
      <c r="D8851" s="5" t="s">
        <v>13384</v>
      </c>
      <c r="E8851" s="65">
        <v>550</v>
      </c>
      <c r="F8851" s="43"/>
      <c r="G8851" s="48">
        <f t="shared" si="223"/>
        <v>145188.55320726743</v>
      </c>
      <c r="H8851" s="389" t="s">
        <v>9567</v>
      </c>
    </row>
    <row r="8852" spans="1:12" x14ac:dyDescent="0.3">
      <c r="A8852" s="45">
        <v>45362</v>
      </c>
      <c r="B8852" s="396" t="s">
        <v>12796</v>
      </c>
      <c r="C8852" s="5" t="s">
        <v>11174</v>
      </c>
      <c r="D8852" s="5" t="s">
        <v>10822</v>
      </c>
      <c r="E8852" s="65">
        <v>2500</v>
      </c>
      <c r="F8852" s="43"/>
      <c r="G8852" s="48">
        <f t="shared" si="223"/>
        <v>142688.55320726743</v>
      </c>
      <c r="H8852" s="389" t="s">
        <v>9567</v>
      </c>
    </row>
    <row r="8853" spans="1:12" x14ac:dyDescent="0.3">
      <c r="A8853" s="45">
        <v>45362</v>
      </c>
      <c r="B8853" s="396" t="s">
        <v>12796</v>
      </c>
      <c r="C8853" s="5" t="s">
        <v>5793</v>
      </c>
      <c r="D8853" s="5" t="s">
        <v>13386</v>
      </c>
      <c r="E8853" s="65">
        <v>1500</v>
      </c>
      <c r="F8853" s="43"/>
      <c r="G8853" s="48">
        <f t="shared" si="223"/>
        <v>141188.55320726743</v>
      </c>
      <c r="H8853" s="389" t="s">
        <v>9567</v>
      </c>
    </row>
    <row r="8854" spans="1:12" x14ac:dyDescent="0.3">
      <c r="A8854" s="45">
        <v>45362</v>
      </c>
      <c r="B8854" s="396" t="s">
        <v>12135</v>
      </c>
      <c r="C8854" s="5" t="s">
        <v>11174</v>
      </c>
      <c r="D8854" s="5" t="s">
        <v>13387</v>
      </c>
      <c r="E8854" s="65">
        <v>2000</v>
      </c>
      <c r="F8854" s="43"/>
      <c r="G8854" s="48">
        <f t="shared" si="223"/>
        <v>139188.55320726743</v>
      </c>
      <c r="H8854" s="389" t="s">
        <v>9567</v>
      </c>
    </row>
    <row r="8855" spans="1:12" x14ac:dyDescent="0.3">
      <c r="A8855" s="45">
        <v>45362</v>
      </c>
      <c r="B8855" s="396" t="s">
        <v>25</v>
      </c>
      <c r="C8855" s="5" t="s">
        <v>25</v>
      </c>
      <c r="D8855" s="5" t="s">
        <v>13378</v>
      </c>
      <c r="E8855" s="43">
        <v>8000</v>
      </c>
      <c r="F8855" s="43"/>
      <c r="G8855" s="48">
        <f t="shared" si="223"/>
        <v>131188.55320726743</v>
      </c>
      <c r="H8855" s="389" t="s">
        <v>9567</v>
      </c>
      <c r="I8855" s="52">
        <v>2500</v>
      </c>
      <c r="K8855" s="238">
        <v>11.6</v>
      </c>
      <c r="L8855" s="4">
        <v>6</v>
      </c>
    </row>
    <row r="8856" spans="1:12" x14ac:dyDescent="0.3">
      <c r="A8856" s="45">
        <v>45362</v>
      </c>
      <c r="B8856" s="396" t="s">
        <v>13379</v>
      </c>
      <c r="C8856" s="5" t="s">
        <v>9758</v>
      </c>
      <c r="D8856" s="5" t="s">
        <v>13380</v>
      </c>
      <c r="E8856" s="43">
        <v>5000</v>
      </c>
      <c r="F8856" s="43"/>
      <c r="G8856" s="48">
        <f t="shared" si="223"/>
        <v>126188.55320726743</v>
      </c>
      <c r="H8856" s="389" t="s">
        <v>9567</v>
      </c>
      <c r="I8856" s="52">
        <v>500</v>
      </c>
      <c r="L8856" s="631">
        <f>24-K8855-L8855-8</f>
        <v>-1.5999999999999996</v>
      </c>
    </row>
    <row r="8857" spans="1:12" x14ac:dyDescent="0.3">
      <c r="A8857" s="45">
        <v>45363</v>
      </c>
      <c r="B8857" s="396" t="s">
        <v>12796</v>
      </c>
      <c r="C8857" s="5" t="s">
        <v>5793</v>
      </c>
      <c r="D8857" s="5" t="s">
        <v>40</v>
      </c>
      <c r="E8857" s="43">
        <v>2000</v>
      </c>
      <c r="F8857" s="43"/>
      <c r="G8857" s="48">
        <f t="shared" si="223"/>
        <v>124188.55320726743</v>
      </c>
      <c r="H8857" s="389" t="s">
        <v>9567</v>
      </c>
      <c r="I8857" s="52">
        <v>250</v>
      </c>
    </row>
    <row r="8858" spans="1:12" x14ac:dyDescent="0.3">
      <c r="A8858" s="45">
        <v>45363</v>
      </c>
      <c r="B8858" s="396" t="s">
        <v>12133</v>
      </c>
      <c r="C8858" s="5" t="s">
        <v>5793</v>
      </c>
      <c r="D8858" s="5" t="s">
        <v>40</v>
      </c>
      <c r="E8858" s="43">
        <v>1500</v>
      </c>
      <c r="F8858" s="43"/>
      <c r="G8858" s="48">
        <f t="shared" si="223"/>
        <v>122688.55320726743</v>
      </c>
      <c r="H8858" s="389" t="s">
        <v>9567</v>
      </c>
      <c r="I8858" s="52">
        <v>300</v>
      </c>
    </row>
    <row r="8859" spans="1:12" x14ac:dyDescent="0.3">
      <c r="A8859" s="45">
        <v>45363</v>
      </c>
      <c r="B8859" s="396" t="s">
        <v>12133</v>
      </c>
      <c r="C8859" s="5" t="s">
        <v>11174</v>
      </c>
      <c r="D8859" s="5" t="s">
        <v>13390</v>
      </c>
      <c r="E8859" s="43">
        <v>18000</v>
      </c>
      <c r="F8859" s="43"/>
      <c r="G8859" s="48">
        <f t="shared" si="223"/>
        <v>104688.55320726743</v>
      </c>
      <c r="H8859" s="389" t="s">
        <v>9567</v>
      </c>
      <c r="I8859" s="52">
        <f>SUM(I8849:I8858)</f>
        <v>7050</v>
      </c>
      <c r="K8859" s="632"/>
      <c r="L8859" s="633"/>
    </row>
    <row r="8860" spans="1:12" x14ac:dyDescent="0.3">
      <c r="A8860" s="45">
        <v>45364</v>
      </c>
      <c r="B8860" s="396" t="s">
        <v>12796</v>
      </c>
      <c r="C8860" s="5" t="s">
        <v>9451</v>
      </c>
      <c r="D8860" s="5" t="s">
        <v>13391</v>
      </c>
      <c r="E8860" s="43">
        <v>2400</v>
      </c>
      <c r="F8860" s="43"/>
      <c r="G8860" s="48">
        <f t="shared" si="223"/>
        <v>102288.55320726743</v>
      </c>
      <c r="H8860" s="389" t="s">
        <v>9567</v>
      </c>
      <c r="J8860" s="52">
        <f>E8854+E8853+E8852+E8851+E8850</f>
        <v>7050</v>
      </c>
      <c r="L8860" s="631"/>
    </row>
    <row r="8861" spans="1:12" x14ac:dyDescent="0.3">
      <c r="A8861" s="45">
        <v>45364</v>
      </c>
      <c r="B8861" s="396" t="s">
        <v>12611</v>
      </c>
      <c r="C8861" s="5" t="s">
        <v>5793</v>
      </c>
      <c r="D8861" s="5" t="s">
        <v>40</v>
      </c>
      <c r="E8861" s="43">
        <v>2000</v>
      </c>
      <c r="F8861" s="43"/>
      <c r="G8861" s="48">
        <f t="shared" si="223"/>
        <v>100288.55320726743</v>
      </c>
      <c r="H8861" s="389" t="s">
        <v>9567</v>
      </c>
      <c r="K8861" s="353"/>
      <c r="L8861" s="633"/>
    </row>
    <row r="8862" spans="1:12" x14ac:dyDescent="0.3">
      <c r="A8862" s="45">
        <v>45364</v>
      </c>
      <c r="B8862" s="396" t="s">
        <v>25</v>
      </c>
      <c r="C8862" s="5" t="s">
        <v>11143</v>
      </c>
      <c r="D8862" s="5" t="s">
        <v>294</v>
      </c>
      <c r="E8862" s="43">
        <v>5000</v>
      </c>
      <c r="F8862" s="43"/>
      <c r="G8862" s="48">
        <f t="shared" si="223"/>
        <v>95288.553207267425</v>
      </c>
      <c r="H8862" s="389" t="s">
        <v>9567</v>
      </c>
      <c r="L8862" s="633"/>
    </row>
    <row r="8863" spans="1:12" x14ac:dyDescent="0.3">
      <c r="A8863" s="45">
        <v>45364</v>
      </c>
      <c r="B8863" s="396" t="s">
        <v>12079</v>
      </c>
      <c r="C8863" s="5" t="s">
        <v>84</v>
      </c>
      <c r="D8863" s="5" t="s">
        <v>13397</v>
      </c>
      <c r="E8863" s="43">
        <v>25000</v>
      </c>
      <c r="F8863" s="43"/>
      <c r="G8863" s="48">
        <f t="shared" si="223"/>
        <v>70288.553207267425</v>
      </c>
      <c r="H8863" s="389" t="s">
        <v>9567</v>
      </c>
      <c r="L8863" s="633"/>
    </row>
    <row r="8864" spans="1:12" x14ac:dyDescent="0.3">
      <c r="A8864" s="45">
        <v>45364</v>
      </c>
      <c r="B8864" s="396" t="s">
        <v>12611</v>
      </c>
      <c r="C8864" s="5" t="s">
        <v>64</v>
      </c>
      <c r="D8864" s="5" t="s">
        <v>13393</v>
      </c>
      <c r="E8864" s="43">
        <v>4860</v>
      </c>
      <c r="F8864" s="43"/>
      <c r="G8864" s="48">
        <f t="shared" si="223"/>
        <v>65428.553207267425</v>
      </c>
      <c r="H8864" s="389" t="s">
        <v>9567</v>
      </c>
      <c r="L8864" s="633"/>
    </row>
    <row r="8865" spans="1:12" x14ac:dyDescent="0.3">
      <c r="A8865" s="45">
        <v>45364</v>
      </c>
      <c r="B8865" s="396" t="s">
        <v>12611</v>
      </c>
      <c r="C8865" s="5" t="s">
        <v>6430</v>
      </c>
      <c r="D8865" s="5" t="s">
        <v>13394</v>
      </c>
      <c r="E8865" s="43">
        <v>2000</v>
      </c>
      <c r="F8865" s="43"/>
      <c r="G8865" s="48">
        <f t="shared" si="223"/>
        <v>63428.553207267425</v>
      </c>
      <c r="H8865" s="389" t="s">
        <v>9567</v>
      </c>
      <c r="J8865" s="52" t="s">
        <v>13388</v>
      </c>
    </row>
    <row r="8866" spans="1:12" x14ac:dyDescent="0.3">
      <c r="A8866" s="45">
        <v>45364</v>
      </c>
      <c r="B8866" s="394" t="s">
        <v>12611</v>
      </c>
      <c r="C8866" s="186" t="s">
        <v>54</v>
      </c>
      <c r="D8866" s="186" t="s">
        <v>13395</v>
      </c>
      <c r="E8866" s="187">
        <v>3500</v>
      </c>
      <c r="F8866" s="43"/>
      <c r="G8866" s="48">
        <f t="shared" si="223"/>
        <v>59928.553207267425</v>
      </c>
      <c r="H8866" s="389" t="s">
        <v>9567</v>
      </c>
    </row>
    <row r="8867" spans="1:12" x14ac:dyDescent="0.3">
      <c r="A8867" s="45">
        <v>45364</v>
      </c>
      <c r="B8867" s="394" t="s">
        <v>12611</v>
      </c>
      <c r="C8867" s="186" t="s">
        <v>54</v>
      </c>
      <c r="D8867" s="186" t="s">
        <v>13396</v>
      </c>
      <c r="E8867" s="187">
        <v>32500</v>
      </c>
      <c r="F8867" s="43"/>
      <c r="G8867" s="48">
        <f t="shared" si="223"/>
        <v>27428.553207267425</v>
      </c>
      <c r="H8867" s="389" t="s">
        <v>9567</v>
      </c>
      <c r="J8867" s="52" t="s">
        <v>13389</v>
      </c>
    </row>
    <row r="8868" spans="1:12" x14ac:dyDescent="0.3">
      <c r="A8868" s="45">
        <v>45364</v>
      </c>
      <c r="B8868" s="396" t="s">
        <v>12230</v>
      </c>
      <c r="C8868" s="5" t="s">
        <v>1616</v>
      </c>
      <c r="D8868" s="5" t="s">
        <v>13398</v>
      </c>
      <c r="E8868" s="43">
        <v>900</v>
      </c>
      <c r="F8868" s="43"/>
      <c r="G8868" s="48">
        <f t="shared" si="223"/>
        <v>26528.553207267425</v>
      </c>
      <c r="H8868" s="389" t="s">
        <v>9567</v>
      </c>
      <c r="L8868" s="4" t="e">
        <f>#REF!*8%</f>
        <v>#REF!</v>
      </c>
    </row>
    <row r="8869" spans="1:12" x14ac:dyDescent="0.3">
      <c r="A8869" s="45">
        <v>45364</v>
      </c>
      <c r="B8869" s="396" t="s">
        <v>25</v>
      </c>
      <c r="C8869" s="5" t="s">
        <v>25</v>
      </c>
      <c r="D8869" s="5" t="s">
        <v>13279</v>
      </c>
      <c r="E8869" s="43">
        <v>1000</v>
      </c>
      <c r="F8869" s="43"/>
      <c r="G8869" s="48">
        <f t="shared" si="223"/>
        <v>25528.553207267425</v>
      </c>
      <c r="H8869" s="389" t="s">
        <v>9567</v>
      </c>
      <c r="L8869" s="4" t="e">
        <f>#REF!-L8868</f>
        <v>#REF!</v>
      </c>
    </row>
    <row r="8870" spans="1:12" x14ac:dyDescent="0.3">
      <c r="A8870" s="45">
        <v>45365</v>
      </c>
      <c r="B8870" s="396" t="s">
        <v>12796</v>
      </c>
      <c r="C8870" s="5" t="s">
        <v>11174</v>
      </c>
      <c r="D8870" s="5" t="s">
        <v>13400</v>
      </c>
      <c r="E8870" s="43">
        <v>1800</v>
      </c>
      <c r="F8870" s="43"/>
      <c r="G8870" s="48">
        <f t="shared" si="223"/>
        <v>23728.553207267425</v>
      </c>
      <c r="H8870" s="389" t="s">
        <v>9567</v>
      </c>
      <c r="I8870" s="52">
        <v>11983</v>
      </c>
      <c r="L8870" s="4">
        <v>1613998</v>
      </c>
    </row>
    <row r="8871" spans="1:12" x14ac:dyDescent="0.3">
      <c r="A8871" s="45">
        <v>45365</v>
      </c>
      <c r="B8871" s="396" t="s">
        <v>12796</v>
      </c>
      <c r="C8871" s="5" t="s">
        <v>11174</v>
      </c>
      <c r="D8871" s="5" t="s">
        <v>13401</v>
      </c>
      <c r="E8871" s="65">
        <v>1250</v>
      </c>
      <c r="F8871" s="43"/>
      <c r="G8871" s="48">
        <f t="shared" si="223"/>
        <v>22478.553207267425</v>
      </c>
      <c r="H8871" s="389" t="s">
        <v>9567</v>
      </c>
      <c r="I8871" s="52">
        <f>I8870*18%</f>
        <v>2156.94</v>
      </c>
      <c r="L8871" s="4" t="e">
        <f>L8870+L8869</f>
        <v>#REF!</v>
      </c>
    </row>
    <row r="8872" spans="1:12" x14ac:dyDescent="0.3">
      <c r="A8872" s="45">
        <v>45365</v>
      </c>
      <c r="B8872" s="565"/>
      <c r="C8872" s="480"/>
      <c r="D8872" s="491" t="s">
        <v>4364</v>
      </c>
      <c r="E8872" s="480"/>
      <c r="F8872" s="28">
        <v>160000</v>
      </c>
      <c r="G8872" s="48">
        <f t="shared" si="223"/>
        <v>182478.55320726743</v>
      </c>
      <c r="H8872" s="389" t="s">
        <v>9567</v>
      </c>
    </row>
    <row r="8873" spans="1:12" x14ac:dyDescent="0.3">
      <c r="A8873" s="45">
        <v>45365</v>
      </c>
      <c r="B8873" s="396" t="s">
        <v>12230</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12796</v>
      </c>
      <c r="C8875" s="5" t="s">
        <v>5793</v>
      </c>
      <c r="D8875" s="5" t="s">
        <v>40</v>
      </c>
      <c r="E8875" s="43">
        <v>3000</v>
      </c>
      <c r="F8875" s="43"/>
      <c r="G8875" s="48">
        <f t="shared" si="223"/>
        <v>167353.55320726743</v>
      </c>
      <c r="H8875" s="389" t="s">
        <v>9567</v>
      </c>
    </row>
    <row r="8876" spans="1:12" x14ac:dyDescent="0.3">
      <c r="A8876" s="45">
        <v>45365</v>
      </c>
      <c r="B8876" s="396" t="s">
        <v>12796</v>
      </c>
      <c r="C8876" s="5" t="s">
        <v>5793</v>
      </c>
      <c r="D8876" s="5" t="s">
        <v>13402</v>
      </c>
      <c r="E8876" s="43">
        <v>250</v>
      </c>
      <c r="F8876" s="43"/>
      <c r="G8876" s="48">
        <f t="shared" ref="G8876:G8943" si="224">G8875+F8876-E8876</f>
        <v>167103.55320726743</v>
      </c>
      <c r="H8876" s="389" t="s">
        <v>9567</v>
      </c>
    </row>
    <row r="8877" spans="1:12" x14ac:dyDescent="0.3">
      <c r="A8877" s="45">
        <v>45365</v>
      </c>
      <c r="B8877" s="396" t="s">
        <v>12086</v>
      </c>
      <c r="C8877" s="5" t="s">
        <v>5793</v>
      </c>
      <c r="D8877" s="5" t="s">
        <v>13403</v>
      </c>
      <c r="E8877" s="43">
        <v>300</v>
      </c>
      <c r="F8877" s="43"/>
      <c r="G8877" s="48">
        <f t="shared" si="224"/>
        <v>166803.55320726743</v>
      </c>
      <c r="H8877" s="389" t="s">
        <v>9567</v>
      </c>
    </row>
    <row r="8878" spans="1:12" x14ac:dyDescent="0.3">
      <c r="A8878" s="45">
        <v>45365</v>
      </c>
      <c r="B8878" s="396" t="s">
        <v>12796</v>
      </c>
      <c r="C8878" s="5" t="s">
        <v>30</v>
      </c>
      <c r="D8878" s="5" t="s">
        <v>13404</v>
      </c>
      <c r="E8878" s="43">
        <v>1000</v>
      </c>
      <c r="F8878" s="43"/>
      <c r="G8878" s="48">
        <f t="shared" si="224"/>
        <v>165803.55320726743</v>
      </c>
      <c r="H8878" s="389" t="s">
        <v>9567</v>
      </c>
    </row>
    <row r="8879" spans="1:12" x14ac:dyDescent="0.3">
      <c r="A8879" s="45">
        <v>45365</v>
      </c>
      <c r="B8879" s="396" t="s">
        <v>25</v>
      </c>
      <c r="C8879" s="5" t="s">
        <v>25</v>
      </c>
      <c r="D8879" s="5" t="s">
        <v>13279</v>
      </c>
      <c r="E8879" s="43">
        <v>1000</v>
      </c>
      <c r="F8879" s="43"/>
      <c r="G8879" s="48">
        <f t="shared" si="224"/>
        <v>164803.55320726743</v>
      </c>
      <c r="H8879" s="389" t="s">
        <v>9567</v>
      </c>
    </row>
    <row r="8880" spans="1:12" x14ac:dyDescent="0.3">
      <c r="A8880" s="45">
        <v>45365</v>
      </c>
      <c r="B8880" s="396" t="s">
        <v>12796</v>
      </c>
      <c r="C8880" s="5" t="s">
        <v>5793</v>
      </c>
      <c r="D8880" s="5" t="s">
        <v>40</v>
      </c>
      <c r="E8880" s="43">
        <v>250</v>
      </c>
      <c r="F8880" s="43"/>
      <c r="G8880" s="48">
        <f t="shared" si="224"/>
        <v>164553.55320726743</v>
      </c>
      <c r="H8880" s="389" t="s">
        <v>9567</v>
      </c>
    </row>
    <row r="8881" spans="1:8" x14ac:dyDescent="0.3">
      <c r="A8881" s="45">
        <v>45366</v>
      </c>
      <c r="B8881" s="396" t="s">
        <v>12796</v>
      </c>
      <c r="C8881" s="5" t="s">
        <v>11174</v>
      </c>
      <c r="D8881" s="5" t="s">
        <v>13405</v>
      </c>
      <c r="E8881" s="43">
        <v>15600</v>
      </c>
      <c r="F8881" s="43"/>
      <c r="G8881" s="48">
        <f t="shared" si="224"/>
        <v>148953.55320726743</v>
      </c>
      <c r="H8881" s="389" t="s">
        <v>9567</v>
      </c>
    </row>
    <row r="8882" spans="1:8" x14ac:dyDescent="0.3">
      <c r="A8882" s="45">
        <v>45366</v>
      </c>
      <c r="B8882" s="396" t="s">
        <v>12086</v>
      </c>
      <c r="C8882" s="5" t="s">
        <v>11174</v>
      </c>
      <c r="D8882" s="5" t="s">
        <v>13406</v>
      </c>
      <c r="E8882" s="43">
        <v>1000</v>
      </c>
      <c r="F8882" s="43"/>
      <c r="G8882" s="48">
        <f t="shared" si="224"/>
        <v>147953.55320726743</v>
      </c>
      <c r="H8882" s="389" t="s">
        <v>9567</v>
      </c>
    </row>
    <row r="8883" spans="1:8" x14ac:dyDescent="0.3">
      <c r="A8883" s="45">
        <v>45366</v>
      </c>
      <c r="B8883" s="396" t="s">
        <v>12796</v>
      </c>
      <c r="C8883" s="5" t="s">
        <v>11174</v>
      </c>
      <c r="D8883" s="5" t="s">
        <v>13407</v>
      </c>
      <c r="E8883" s="43">
        <v>7500</v>
      </c>
      <c r="F8883" s="43"/>
      <c r="G8883" s="48">
        <f t="shared" si="224"/>
        <v>140453.55320726743</v>
      </c>
      <c r="H8883" s="389" t="s">
        <v>9567</v>
      </c>
    </row>
    <row r="8884" spans="1:8" x14ac:dyDescent="0.3">
      <c r="A8884" s="45">
        <v>45366</v>
      </c>
      <c r="B8884" s="396" t="s">
        <v>12796</v>
      </c>
      <c r="C8884" s="5" t="s">
        <v>11174</v>
      </c>
      <c r="D8884" s="5" t="s">
        <v>13408</v>
      </c>
      <c r="E8884" s="43">
        <v>540</v>
      </c>
      <c r="F8884" s="43"/>
      <c r="G8884" s="48">
        <f t="shared" si="224"/>
        <v>139913.55320726743</v>
      </c>
      <c r="H8884" s="389" t="s">
        <v>9567</v>
      </c>
    </row>
    <row r="8885" spans="1:8" x14ac:dyDescent="0.3">
      <c r="A8885" s="45">
        <v>45366</v>
      </c>
      <c r="B8885" s="396" t="s">
        <v>12046</v>
      </c>
      <c r="C8885" s="5" t="s">
        <v>26</v>
      </c>
      <c r="D8885" s="5" t="s">
        <v>13232</v>
      </c>
      <c r="E8885" s="43">
        <v>1500</v>
      </c>
      <c r="F8885" s="43"/>
      <c r="G8885" s="48">
        <f t="shared" si="224"/>
        <v>138413.55320726743</v>
      </c>
      <c r="H8885" s="389" t="s">
        <v>9567</v>
      </c>
    </row>
    <row r="8886" spans="1:8" x14ac:dyDescent="0.3">
      <c r="A8886" s="45">
        <v>45366</v>
      </c>
      <c r="B8886" s="396" t="s">
        <v>12046</v>
      </c>
      <c r="C8886" s="5" t="s">
        <v>5162</v>
      </c>
      <c r="D8886" s="5" t="s">
        <v>5813</v>
      </c>
      <c r="E8886" s="43">
        <v>5000</v>
      </c>
      <c r="F8886" s="43"/>
      <c r="G8886" s="48">
        <f t="shared" si="224"/>
        <v>133413.55320726743</v>
      </c>
      <c r="H8886" s="389" t="s">
        <v>9567</v>
      </c>
    </row>
    <row r="8887" spans="1:8" x14ac:dyDescent="0.3">
      <c r="A8887" s="45">
        <v>45367</v>
      </c>
      <c r="B8887" s="396" t="s">
        <v>12796</v>
      </c>
      <c r="C8887" s="5" t="s">
        <v>11174</v>
      </c>
      <c r="D8887" s="5" t="s">
        <v>12280</v>
      </c>
      <c r="E8887" s="43">
        <v>5560</v>
      </c>
      <c r="F8887" s="43"/>
      <c r="G8887" s="48">
        <f t="shared" si="224"/>
        <v>127853.55320726743</v>
      </c>
      <c r="H8887" s="389" t="s">
        <v>9567</v>
      </c>
    </row>
    <row r="8888" spans="1:8" x14ac:dyDescent="0.3">
      <c r="A8888" s="45">
        <v>45367</v>
      </c>
      <c r="B8888" s="396" t="s">
        <v>12796</v>
      </c>
      <c r="C8888" s="5" t="s">
        <v>5793</v>
      </c>
      <c r="D8888" s="5" t="s">
        <v>40</v>
      </c>
      <c r="E8888" s="43">
        <v>350</v>
      </c>
      <c r="F8888" s="43"/>
      <c r="G8888" s="48">
        <f t="shared" si="224"/>
        <v>127503.55320726743</v>
      </c>
      <c r="H8888" s="389" t="s">
        <v>9567</v>
      </c>
    </row>
    <row r="8889" spans="1:8" x14ac:dyDescent="0.3">
      <c r="A8889" s="45">
        <v>45367</v>
      </c>
      <c r="B8889" s="396" t="s">
        <v>12611</v>
      </c>
      <c r="C8889" s="5" t="s">
        <v>7366</v>
      </c>
      <c r="D8889" s="5" t="s">
        <v>13412</v>
      </c>
      <c r="E8889" s="43">
        <v>12400</v>
      </c>
      <c r="F8889" s="43"/>
      <c r="G8889" s="48">
        <f t="shared" si="224"/>
        <v>115103.55320726743</v>
      </c>
      <c r="H8889" s="389" t="s">
        <v>9567</v>
      </c>
    </row>
    <row r="8890" spans="1:8" x14ac:dyDescent="0.3">
      <c r="A8890" s="45">
        <v>45367</v>
      </c>
      <c r="B8890" s="396" t="s">
        <v>12086</v>
      </c>
      <c r="C8890" s="5" t="s">
        <v>11174</v>
      </c>
      <c r="D8890" s="5" t="s">
        <v>13413</v>
      </c>
      <c r="E8890" s="43">
        <v>950</v>
      </c>
      <c r="F8890" s="43"/>
      <c r="G8890" s="48">
        <f t="shared" si="224"/>
        <v>114153.55320726743</v>
      </c>
      <c r="H8890" s="389" t="s">
        <v>9567</v>
      </c>
    </row>
    <row r="8891" spans="1:8" x14ac:dyDescent="0.3">
      <c r="A8891" s="45">
        <v>45367</v>
      </c>
      <c r="B8891" s="396" t="s">
        <v>10319</v>
      </c>
      <c r="C8891" s="5" t="s">
        <v>7737</v>
      </c>
      <c r="D8891" s="5" t="s">
        <v>13414</v>
      </c>
      <c r="E8891" s="43">
        <v>9500</v>
      </c>
      <c r="F8891" s="43"/>
      <c r="G8891" s="48">
        <f t="shared" si="224"/>
        <v>104653.55320726743</v>
      </c>
      <c r="H8891" s="389" t="s">
        <v>9567</v>
      </c>
    </row>
    <row r="8892" spans="1:8" x14ac:dyDescent="0.3">
      <c r="A8892" s="45">
        <v>45367</v>
      </c>
      <c r="B8892" s="396" t="s">
        <v>12086</v>
      </c>
      <c r="C8892" s="5" t="s">
        <v>5793</v>
      </c>
      <c r="D8892" s="5" t="s">
        <v>40</v>
      </c>
      <c r="E8892" s="43">
        <v>500</v>
      </c>
      <c r="F8892" s="43"/>
      <c r="G8892" s="48">
        <f t="shared" si="224"/>
        <v>104153.55320726743</v>
      </c>
      <c r="H8892" s="389" t="s">
        <v>9567</v>
      </c>
    </row>
    <row r="8893" spans="1:8" x14ac:dyDescent="0.3">
      <c r="A8893" s="45">
        <v>45369</v>
      </c>
      <c r="B8893" s="396" t="s">
        <v>12230</v>
      </c>
      <c r="C8893" s="5" t="s">
        <v>5288</v>
      </c>
      <c r="D8893" s="5" t="s">
        <v>13418</v>
      </c>
      <c r="E8893" s="43">
        <v>7000</v>
      </c>
      <c r="F8893" s="43"/>
      <c r="G8893" s="48">
        <f t="shared" si="224"/>
        <v>97153.553207267425</v>
      </c>
      <c r="H8893" s="389" t="s">
        <v>9567</v>
      </c>
    </row>
    <row r="8894" spans="1:8" x14ac:dyDescent="0.3">
      <c r="A8894" s="45">
        <v>45369</v>
      </c>
      <c r="B8894" s="396" t="s">
        <v>12080</v>
      </c>
      <c r="C8894" s="5" t="s">
        <v>7418</v>
      </c>
      <c r="D8894" s="5" t="s">
        <v>13419</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13427</v>
      </c>
      <c r="C8896" s="5" t="s">
        <v>13420</v>
      </c>
      <c r="D8896" s="5" t="s">
        <v>13421</v>
      </c>
      <c r="E8896" s="43">
        <v>5000</v>
      </c>
      <c r="F8896" s="43"/>
      <c r="G8896" s="48">
        <f t="shared" si="224"/>
        <v>80596.553207267425</v>
      </c>
      <c r="H8896" s="389" t="s">
        <v>9567</v>
      </c>
    </row>
    <row r="8897" spans="1:11" x14ac:dyDescent="0.3">
      <c r="A8897" s="45">
        <v>45370</v>
      </c>
      <c r="B8897" s="396" t="s">
        <v>13427</v>
      </c>
      <c r="C8897" s="5" t="s">
        <v>5793</v>
      </c>
      <c r="D8897" s="5" t="s">
        <v>40</v>
      </c>
      <c r="E8897" s="43">
        <v>200</v>
      </c>
      <c r="F8897" s="43"/>
      <c r="G8897" s="48">
        <f t="shared" si="224"/>
        <v>80396.553207267425</v>
      </c>
      <c r="H8897" s="389" t="s">
        <v>9567</v>
      </c>
    </row>
    <row r="8898" spans="1:11" x14ac:dyDescent="0.3">
      <c r="A8898" s="45">
        <v>45371</v>
      </c>
      <c r="B8898" s="396" t="s">
        <v>12611</v>
      </c>
      <c r="C8898" s="5" t="s">
        <v>11174</v>
      </c>
      <c r="D8898" s="5" t="s">
        <v>13423</v>
      </c>
      <c r="E8898" s="43">
        <v>11435</v>
      </c>
      <c r="F8898" s="43"/>
      <c r="G8898" s="48">
        <f t="shared" si="224"/>
        <v>68961.553207267425</v>
      </c>
      <c r="H8898" s="389" t="s">
        <v>9567</v>
      </c>
    </row>
    <row r="8899" spans="1:11" x14ac:dyDescent="0.3">
      <c r="A8899" s="45">
        <v>45371</v>
      </c>
      <c r="B8899" s="396" t="s">
        <v>13427</v>
      </c>
      <c r="C8899" s="5" t="s">
        <v>3220</v>
      </c>
      <c r="D8899" s="5" t="s">
        <v>582</v>
      </c>
      <c r="E8899" s="43">
        <v>20000</v>
      </c>
      <c r="F8899" s="43"/>
      <c r="G8899" s="48">
        <f t="shared" si="224"/>
        <v>48961.553207267425</v>
      </c>
      <c r="H8899" s="389" t="s">
        <v>9567</v>
      </c>
    </row>
    <row r="8900" spans="1:11" x14ac:dyDescent="0.3">
      <c r="A8900" s="45">
        <v>45371</v>
      </c>
      <c r="B8900" s="396" t="s">
        <v>12796</v>
      </c>
      <c r="C8900" s="5" t="s">
        <v>30</v>
      </c>
      <c r="D8900" s="5" t="s">
        <v>10637</v>
      </c>
      <c r="E8900" s="43">
        <v>1000</v>
      </c>
      <c r="F8900" s="43"/>
      <c r="G8900" s="48">
        <f t="shared" si="224"/>
        <v>47961.553207267425</v>
      </c>
      <c r="H8900" s="389" t="s">
        <v>9567</v>
      </c>
    </row>
    <row r="8901" spans="1:11" x14ac:dyDescent="0.3">
      <c r="A8901" s="45">
        <v>45371</v>
      </c>
      <c r="B8901" s="396" t="s">
        <v>12611</v>
      </c>
      <c r="C8901" s="5" t="s">
        <v>5793</v>
      </c>
      <c r="D8901" s="5" t="s">
        <v>40</v>
      </c>
      <c r="E8901" s="43">
        <v>1400</v>
      </c>
      <c r="F8901" s="43"/>
      <c r="G8901" s="48">
        <f t="shared" si="224"/>
        <v>46561.553207267425</v>
      </c>
      <c r="H8901" s="389" t="s">
        <v>9567</v>
      </c>
    </row>
    <row r="8902" spans="1:11" x14ac:dyDescent="0.3">
      <c r="A8902" s="45">
        <v>45371</v>
      </c>
      <c r="B8902" s="396" t="s">
        <v>12133</v>
      </c>
      <c r="C8902" s="5" t="s">
        <v>5793</v>
      </c>
      <c r="D8902" s="5" t="s">
        <v>40</v>
      </c>
      <c r="E8902" s="43">
        <v>700</v>
      </c>
      <c r="F8902" s="43"/>
      <c r="G8902" s="48">
        <f t="shared" si="224"/>
        <v>45861.553207267425</v>
      </c>
      <c r="H8902" s="389" t="s">
        <v>9567</v>
      </c>
    </row>
    <row r="8903" spans="1:11" x14ac:dyDescent="0.3">
      <c r="A8903" s="45">
        <v>45371</v>
      </c>
      <c r="B8903" s="396" t="s">
        <v>12046</v>
      </c>
      <c r="C8903" s="5" t="s">
        <v>11174</v>
      </c>
      <c r="D8903" s="5" t="s">
        <v>13424</v>
      </c>
      <c r="E8903" s="43">
        <v>1000</v>
      </c>
      <c r="F8903" s="43"/>
      <c r="G8903" s="48">
        <f t="shared" si="224"/>
        <v>44861.553207267425</v>
      </c>
      <c r="H8903" s="389" t="s">
        <v>9567</v>
      </c>
      <c r="K8903" s="52">
        <v>5000</v>
      </c>
    </row>
    <row r="8904" spans="1:11" x14ac:dyDescent="0.3">
      <c r="A8904" s="45">
        <v>45371</v>
      </c>
      <c r="B8904" s="396" t="s">
        <v>12046</v>
      </c>
      <c r="C8904" s="5" t="s">
        <v>5793</v>
      </c>
      <c r="D8904" s="5" t="s">
        <v>40</v>
      </c>
      <c r="E8904" s="43">
        <v>700</v>
      </c>
      <c r="F8904" s="43"/>
      <c r="G8904" s="48">
        <f t="shared" si="224"/>
        <v>44161.553207267425</v>
      </c>
      <c r="H8904" s="389" t="s">
        <v>9567</v>
      </c>
      <c r="K8904" s="52">
        <v>2000</v>
      </c>
    </row>
    <row r="8905" spans="1:11" x14ac:dyDescent="0.3">
      <c r="A8905" s="45">
        <v>45371</v>
      </c>
      <c r="B8905" s="396" t="s">
        <v>12796</v>
      </c>
      <c r="C8905" s="5" t="s">
        <v>13425</v>
      </c>
      <c r="D8905" s="5" t="s">
        <v>13426</v>
      </c>
      <c r="E8905" s="43">
        <v>540</v>
      </c>
      <c r="F8905" s="43"/>
      <c r="G8905" s="48">
        <f t="shared" si="224"/>
        <v>43621.553207267425</v>
      </c>
      <c r="H8905" s="389" t="s">
        <v>9567</v>
      </c>
      <c r="K8905" s="52">
        <v>200000</v>
      </c>
    </row>
    <row r="8906" spans="1:11" x14ac:dyDescent="0.3">
      <c r="A8906" s="45">
        <v>45371</v>
      </c>
      <c r="B8906" s="396" t="s">
        <v>12133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12133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12796</v>
      </c>
      <c r="C8911" s="5" t="s">
        <v>11174</v>
      </c>
      <c r="D8911" s="5" t="s">
        <v>13429</v>
      </c>
      <c r="E8911" s="43">
        <v>3000</v>
      </c>
      <c r="F8911" s="43"/>
      <c r="G8911" s="48">
        <f t="shared" si="224"/>
        <v>31621.553207267425</v>
      </c>
      <c r="H8911" s="389" t="s">
        <v>9567</v>
      </c>
      <c r="K8911" s="52">
        <v>10000</v>
      </c>
    </row>
    <row r="8912" spans="1:11" x14ac:dyDescent="0.3">
      <c r="A8912" s="45">
        <v>45372</v>
      </c>
      <c r="B8912" s="396" t="s">
        <v>12133</v>
      </c>
      <c r="C8912" s="5" t="s">
        <v>84</v>
      </c>
      <c r="D8912" s="5" t="s">
        <v>13428</v>
      </c>
      <c r="E8912" s="43">
        <v>3000</v>
      </c>
      <c r="F8912" s="43"/>
      <c r="G8912" s="48">
        <f t="shared" si="224"/>
        <v>28621.553207267425</v>
      </c>
      <c r="H8912" s="389" t="s">
        <v>9567</v>
      </c>
      <c r="K8912" s="52">
        <v>5000</v>
      </c>
    </row>
    <row r="8913" spans="1:11" x14ac:dyDescent="0.3">
      <c r="A8913" s="45">
        <v>45372</v>
      </c>
      <c r="B8913" s="396" t="s">
        <v>12796</v>
      </c>
      <c r="C8913" s="5" t="s">
        <v>9794</v>
      </c>
      <c r="D8913" s="5" t="s">
        <v>9795</v>
      </c>
      <c r="E8913" s="43">
        <v>2000</v>
      </c>
      <c r="F8913" s="43"/>
      <c r="G8913" s="48">
        <f t="shared" si="224"/>
        <v>26621.553207267425</v>
      </c>
      <c r="H8913" s="389" t="s">
        <v>9567</v>
      </c>
      <c r="K8913" s="52">
        <v>125000</v>
      </c>
    </row>
    <row r="8914" spans="1:11" x14ac:dyDescent="0.3">
      <c r="A8914" s="45">
        <v>45372</v>
      </c>
      <c r="B8914" s="396" t="s">
        <v>12133</v>
      </c>
      <c r="C8914" s="5" t="s">
        <v>84</v>
      </c>
      <c r="D8914" s="5" t="s">
        <v>13430</v>
      </c>
      <c r="E8914" s="43">
        <v>10000</v>
      </c>
      <c r="F8914" s="43"/>
      <c r="G8914" s="48">
        <f t="shared" si="224"/>
        <v>16621.553207267425</v>
      </c>
      <c r="H8914" s="389" t="s">
        <v>9567</v>
      </c>
      <c r="K8914" s="52">
        <f>SUM(K8903:K8913)</f>
        <v>476000</v>
      </c>
    </row>
    <row r="8915" spans="1:11" x14ac:dyDescent="0.3">
      <c r="A8915" s="45">
        <v>45372</v>
      </c>
      <c r="B8915" s="396" t="s">
        <v>12133</v>
      </c>
      <c r="C8915" s="5" t="s">
        <v>84</v>
      </c>
      <c r="D8915" s="5" t="s">
        <v>13431</v>
      </c>
      <c r="E8915" s="43">
        <v>4000</v>
      </c>
      <c r="F8915" s="43"/>
      <c r="G8915" s="48">
        <f t="shared" si="224"/>
        <v>12621.553207267425</v>
      </c>
      <c r="H8915" s="389" t="s">
        <v>9567</v>
      </c>
      <c r="K8915" s="52">
        <f>500000-K8914</f>
        <v>24000</v>
      </c>
    </row>
    <row r="8916" spans="1:11" x14ac:dyDescent="0.3">
      <c r="A8916" s="45">
        <v>45372</v>
      </c>
      <c r="B8916" s="396" t="s">
        <v>12045</v>
      </c>
      <c r="C8916" s="5" t="s">
        <v>11174</v>
      </c>
      <c r="D8916" s="5" t="s">
        <v>13432</v>
      </c>
      <c r="E8916" s="43">
        <v>8000</v>
      </c>
      <c r="F8916" s="43"/>
      <c r="G8916" s="48">
        <f t="shared" si="224"/>
        <v>4621.553207267425</v>
      </c>
      <c r="H8916" s="389" t="s">
        <v>9567</v>
      </c>
    </row>
    <row r="8917" spans="1:11" x14ac:dyDescent="0.3">
      <c r="A8917" s="45">
        <v>45373</v>
      </c>
      <c r="B8917" s="565"/>
      <c r="C8917" s="480"/>
      <c r="D8917" s="491" t="s">
        <v>4364</v>
      </c>
      <c r="E8917" s="480"/>
      <c r="F8917" s="28">
        <v>45000</v>
      </c>
      <c r="G8917" s="48">
        <f t="shared" si="224"/>
        <v>49621.553207267425</v>
      </c>
      <c r="H8917" s="389" t="s">
        <v>9567</v>
      </c>
    </row>
    <row r="8918" spans="1:11" x14ac:dyDescent="0.3">
      <c r="A8918" s="45">
        <v>45373</v>
      </c>
      <c r="B8918" s="396" t="s">
        <v>13427</v>
      </c>
      <c r="C8918" s="5" t="s">
        <v>12826</v>
      </c>
      <c r="D8918" s="5" t="s">
        <v>582</v>
      </c>
      <c r="E8918" s="43">
        <v>10000</v>
      </c>
      <c r="F8918" s="43"/>
      <c r="G8918" s="48">
        <f t="shared" si="224"/>
        <v>39621.553207267425</v>
      </c>
      <c r="H8918" s="389" t="s">
        <v>9567</v>
      </c>
    </row>
    <row r="8919" spans="1:11" x14ac:dyDescent="0.3">
      <c r="A8919" s="45">
        <v>45376</v>
      </c>
      <c r="B8919" s="396" t="s">
        <v>12796</v>
      </c>
      <c r="C8919" s="5" t="s">
        <v>26</v>
      </c>
      <c r="D8919" s="5" t="s">
        <v>13433</v>
      </c>
      <c r="E8919" s="43">
        <v>1500</v>
      </c>
      <c r="F8919" s="43"/>
      <c r="G8919" s="48">
        <f t="shared" si="224"/>
        <v>38121.553207267425</v>
      </c>
      <c r="H8919" s="389" t="s">
        <v>9567</v>
      </c>
    </row>
    <row r="8920" spans="1:11" x14ac:dyDescent="0.3">
      <c r="A8920" s="45">
        <v>45376</v>
      </c>
      <c r="B8920" s="396" t="s">
        <v>12611</v>
      </c>
      <c r="C8920" s="5" t="s">
        <v>6430</v>
      </c>
      <c r="D8920" s="5" t="s">
        <v>13434</v>
      </c>
      <c r="E8920" s="43">
        <v>2000</v>
      </c>
      <c r="F8920" s="43"/>
      <c r="G8920" s="48">
        <f t="shared" si="224"/>
        <v>36121.553207267425</v>
      </c>
      <c r="H8920" s="389" t="s">
        <v>9567</v>
      </c>
    </row>
    <row r="8921" spans="1:11" x14ac:dyDescent="0.3">
      <c r="A8921" s="45">
        <v>45376</v>
      </c>
      <c r="B8921" s="396" t="s">
        <v>25</v>
      </c>
      <c r="C8921" s="5" t="s">
        <v>25</v>
      </c>
      <c r="D8921" s="5" t="s">
        <v>13440</v>
      </c>
      <c r="E8921" s="43">
        <v>31500</v>
      </c>
      <c r="F8921" s="43"/>
      <c r="G8921" s="48">
        <f t="shared" si="224"/>
        <v>4621.553207267425</v>
      </c>
      <c r="H8921" s="389" t="s">
        <v>9567</v>
      </c>
    </row>
    <row r="8922" spans="1:11" x14ac:dyDescent="0.3">
      <c r="A8922" s="45">
        <v>45384</v>
      </c>
      <c r="B8922" s="565"/>
      <c r="C8922" s="480"/>
      <c r="D8922" s="491" t="s">
        <v>13473</v>
      </c>
      <c r="E8922" s="480"/>
      <c r="F8922" s="28">
        <v>500000</v>
      </c>
      <c r="G8922" s="48">
        <f t="shared" si="224"/>
        <v>504621.55320726743</v>
      </c>
      <c r="H8922" s="389" t="s">
        <v>9567</v>
      </c>
    </row>
    <row r="8923" spans="1:11" x14ac:dyDescent="0.3">
      <c r="A8923" s="45">
        <v>45384</v>
      </c>
      <c r="B8923" s="394" t="s">
        <v>12796</v>
      </c>
      <c r="C8923" s="186" t="s">
        <v>54</v>
      </c>
      <c r="D8923" s="186" t="s">
        <v>6245</v>
      </c>
      <c r="E8923" s="187">
        <v>80160</v>
      </c>
      <c r="F8923" s="43"/>
      <c r="G8923" s="48">
        <f t="shared" si="224"/>
        <v>424461.55320726743</v>
      </c>
      <c r="H8923" s="389" t="s">
        <v>9567</v>
      </c>
    </row>
    <row r="8924" spans="1:11" x14ac:dyDescent="0.3">
      <c r="A8924" s="45">
        <v>45384</v>
      </c>
      <c r="B8924" s="394" t="s">
        <v>13454</v>
      </c>
      <c r="C8924" s="186" t="s">
        <v>54</v>
      </c>
      <c r="D8924" s="186" t="s">
        <v>12752</v>
      </c>
      <c r="E8924" s="187">
        <v>23130</v>
      </c>
      <c r="F8924" s="43"/>
      <c r="G8924" s="48">
        <f t="shared" si="224"/>
        <v>401331.55320726743</v>
      </c>
      <c r="H8924" s="389" t="s">
        <v>9567</v>
      </c>
    </row>
    <row r="8925" spans="1:11" x14ac:dyDescent="0.3">
      <c r="A8925" s="45">
        <v>45384</v>
      </c>
      <c r="B8925" s="396" t="s">
        <v>12055</v>
      </c>
      <c r="C8925" s="5" t="s">
        <v>11174</v>
      </c>
      <c r="D8925" s="5" t="s">
        <v>13455</v>
      </c>
      <c r="E8925" s="43">
        <v>1700</v>
      </c>
      <c r="F8925" s="43"/>
      <c r="G8925" s="48">
        <f t="shared" si="224"/>
        <v>399631.55320726743</v>
      </c>
      <c r="H8925" s="389" t="s">
        <v>9567</v>
      </c>
    </row>
    <row r="8926" spans="1:11" x14ac:dyDescent="0.3">
      <c r="A8926" s="45">
        <v>45384</v>
      </c>
      <c r="B8926" s="396" t="s">
        <v>25</v>
      </c>
      <c r="C8926" s="5" t="s">
        <v>25</v>
      </c>
      <c r="D8926" s="5" t="s">
        <v>13279</v>
      </c>
      <c r="E8926" s="43">
        <v>3000</v>
      </c>
      <c r="F8926" s="43"/>
      <c r="G8926" s="48">
        <f t="shared" si="224"/>
        <v>396631.55320726743</v>
      </c>
      <c r="H8926" s="389" t="s">
        <v>9567</v>
      </c>
    </row>
    <row r="8927" spans="1:11" x14ac:dyDescent="0.3">
      <c r="A8927" s="45">
        <v>45384</v>
      </c>
      <c r="B8927" s="396" t="s">
        <v>13385</v>
      </c>
      <c r="C8927" s="5" t="s">
        <v>9758</v>
      </c>
      <c r="D8927" s="5" t="s">
        <v>13187</v>
      </c>
      <c r="E8927" s="43">
        <v>5000</v>
      </c>
      <c r="F8927" s="43"/>
      <c r="G8927" s="48">
        <f t="shared" si="224"/>
        <v>391631.55320726743</v>
      </c>
      <c r="H8927" s="389" t="s">
        <v>9567</v>
      </c>
    </row>
    <row r="8928" spans="1:11" x14ac:dyDescent="0.3">
      <c r="A8928" s="45">
        <v>45384</v>
      </c>
      <c r="B8928" s="396"/>
      <c r="C8928" s="5" t="s">
        <v>1074</v>
      </c>
      <c r="D8928" s="5" t="s">
        <v>13460</v>
      </c>
      <c r="E8928" s="43">
        <v>900</v>
      </c>
      <c r="F8928" s="43"/>
      <c r="G8928" s="48">
        <f t="shared" si="224"/>
        <v>390731.55320726743</v>
      </c>
      <c r="H8928" s="389" t="s">
        <v>9567</v>
      </c>
    </row>
    <row r="8929" spans="1:8" x14ac:dyDescent="0.3">
      <c r="A8929" s="45">
        <v>45384</v>
      </c>
      <c r="B8929" s="396" t="s">
        <v>12230</v>
      </c>
      <c r="C8929" s="5" t="s">
        <v>1074</v>
      </c>
      <c r="D8929" s="5" t="s">
        <v>4601</v>
      </c>
      <c r="E8929" s="43">
        <v>1330</v>
      </c>
      <c r="F8929" s="43"/>
      <c r="G8929" s="48">
        <f t="shared" si="224"/>
        <v>389401.55320726743</v>
      </c>
      <c r="H8929" s="389" t="s">
        <v>9567</v>
      </c>
    </row>
    <row r="8930" spans="1:8" x14ac:dyDescent="0.3">
      <c r="A8930" s="45">
        <v>45384</v>
      </c>
      <c r="B8930" s="396" t="s">
        <v>12796</v>
      </c>
      <c r="C8930" s="5" t="s">
        <v>13461</v>
      </c>
      <c r="D8930" s="5" t="s">
        <v>13462</v>
      </c>
      <c r="E8930" s="43">
        <v>35000</v>
      </c>
      <c r="F8930" s="43"/>
      <c r="G8930" s="48">
        <f t="shared" si="224"/>
        <v>354401.55320726743</v>
      </c>
      <c r="H8930" s="389" t="s">
        <v>9567</v>
      </c>
    </row>
    <row r="8931" spans="1:8" x14ac:dyDescent="0.3">
      <c r="A8931" s="45">
        <v>45384</v>
      </c>
      <c r="B8931" s="396" t="s">
        <v>25</v>
      </c>
      <c r="C8931" s="5" t="s">
        <v>13463</v>
      </c>
      <c r="D8931" s="5" t="s">
        <v>13464</v>
      </c>
      <c r="E8931" s="43">
        <v>20000</v>
      </c>
      <c r="F8931" s="43"/>
      <c r="G8931" s="48">
        <f t="shared" si="224"/>
        <v>334401.55320726743</v>
      </c>
      <c r="H8931" s="389" t="s">
        <v>9567</v>
      </c>
    </row>
    <row r="8932" spans="1:8" x14ac:dyDescent="0.3">
      <c r="A8932" s="45">
        <v>45384</v>
      </c>
      <c r="B8932" s="396" t="s">
        <v>12796</v>
      </c>
      <c r="C8932" s="5" t="s">
        <v>5793</v>
      </c>
      <c r="D8932" s="5" t="s">
        <v>13466</v>
      </c>
      <c r="E8932" s="43">
        <v>4500</v>
      </c>
      <c r="F8932" s="43"/>
      <c r="G8932" s="48">
        <f t="shared" si="224"/>
        <v>329901.55320726743</v>
      </c>
      <c r="H8932" s="389" t="s">
        <v>9567</v>
      </c>
    </row>
    <row r="8933" spans="1:8" x14ac:dyDescent="0.3">
      <c r="A8933" s="45">
        <v>45384</v>
      </c>
      <c r="B8933" s="396" t="s">
        <v>13458</v>
      </c>
      <c r="C8933" s="5" t="s">
        <v>9758</v>
      </c>
      <c r="D8933" s="5" t="s">
        <v>13187</v>
      </c>
      <c r="E8933" s="43">
        <v>5000</v>
      </c>
      <c r="F8933" s="43"/>
      <c r="G8933" s="48">
        <f t="shared" si="224"/>
        <v>324901.55320726743</v>
      </c>
      <c r="H8933" s="389" t="s">
        <v>9567</v>
      </c>
    </row>
    <row r="8934" spans="1:8" x14ac:dyDescent="0.3">
      <c r="A8934" s="45">
        <v>45384</v>
      </c>
      <c r="B8934" s="396" t="s">
        <v>13454</v>
      </c>
      <c r="C8934" s="5" t="s">
        <v>11174</v>
      </c>
      <c r="D8934" s="5" t="s">
        <v>12633</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13454</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5"/>
      <c r="C8938" s="480"/>
      <c r="D8938" s="491" t="s">
        <v>12269</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13475</v>
      </c>
      <c r="D8940" s="186" t="s">
        <v>13480</v>
      </c>
      <c r="E8940" s="187">
        <v>889250</v>
      </c>
      <c r="F8940" s="43"/>
      <c r="G8940" s="48">
        <f t="shared" si="224"/>
        <v>104851.55320726754</v>
      </c>
      <c r="H8940" s="389" t="s">
        <v>9567</v>
      </c>
    </row>
    <row r="8941" spans="1:8" x14ac:dyDescent="0.3">
      <c r="A8941" s="45">
        <v>45384</v>
      </c>
      <c r="B8941" s="396" t="s">
        <v>12796</v>
      </c>
      <c r="C8941" s="5" t="s">
        <v>5793</v>
      </c>
      <c r="D8941" s="5" t="s">
        <v>40</v>
      </c>
      <c r="E8941" s="43">
        <v>900</v>
      </c>
      <c r="F8941" s="43"/>
      <c r="G8941" s="48">
        <f t="shared" si="224"/>
        <v>103951.55320726754</v>
      </c>
      <c r="H8941" s="389" t="s">
        <v>9567</v>
      </c>
    </row>
    <row r="8942" spans="1:8" x14ac:dyDescent="0.3">
      <c r="A8942" s="45">
        <v>45384</v>
      </c>
      <c r="B8942" s="396" t="s">
        <v>12611</v>
      </c>
      <c r="C8942" s="5" t="s">
        <v>13467</v>
      </c>
      <c r="D8942" s="5" t="s">
        <v>13468</v>
      </c>
      <c r="E8942" s="43">
        <v>15000</v>
      </c>
      <c r="F8942" s="43"/>
      <c r="G8942" s="48">
        <f t="shared" si="224"/>
        <v>88951.553207267541</v>
      </c>
      <c r="H8942" s="389" t="s">
        <v>9567</v>
      </c>
    </row>
    <row r="8943" spans="1:8" x14ac:dyDescent="0.3">
      <c r="A8943" s="45">
        <v>45384</v>
      </c>
      <c r="B8943" s="394" t="s">
        <v>12133</v>
      </c>
      <c r="C8943" s="186" t="s">
        <v>54</v>
      </c>
      <c r="D8943" s="186" t="s">
        <v>12753</v>
      </c>
      <c r="E8943" s="187">
        <v>44050</v>
      </c>
      <c r="F8943" s="43"/>
      <c r="G8943" s="48">
        <f t="shared" si="224"/>
        <v>44901.553207267541</v>
      </c>
      <c r="H8943" s="389" t="s">
        <v>9567</v>
      </c>
    </row>
    <row r="8944" spans="1:8" x14ac:dyDescent="0.3">
      <c r="A8944" s="45">
        <v>45384</v>
      </c>
      <c r="B8944" s="396" t="s">
        <v>12796</v>
      </c>
      <c r="C8944" s="5" t="s">
        <v>26</v>
      </c>
      <c r="D8944" s="5" t="s">
        <v>13472</v>
      </c>
      <c r="E8944" s="43">
        <v>2000</v>
      </c>
      <c r="F8944" s="43"/>
      <c r="G8944" s="48">
        <f t="shared" ref="G8944:G9007" si="225">G8943+F8944-E8944</f>
        <v>42901.553207267541</v>
      </c>
      <c r="H8944" s="389" t="s">
        <v>9567</v>
      </c>
    </row>
    <row r="8945" spans="1:12" x14ac:dyDescent="0.3">
      <c r="A8945" s="45">
        <v>45385</v>
      </c>
      <c r="B8945" s="565"/>
      <c r="C8945" s="480"/>
      <c r="D8945" s="491" t="s">
        <v>4364</v>
      </c>
      <c r="E8945" s="480"/>
      <c r="F8945" s="43">
        <v>500000</v>
      </c>
      <c r="G8945" s="48">
        <f t="shared" si="225"/>
        <v>542901.55320726754</v>
      </c>
      <c r="H8945" s="389" t="s">
        <v>9567</v>
      </c>
    </row>
    <row r="8946" spans="1:12" x14ac:dyDescent="0.3">
      <c r="A8946" s="45">
        <v>45385</v>
      </c>
      <c r="B8946" s="565"/>
      <c r="C8946" s="480"/>
      <c r="D8946" s="491" t="s">
        <v>12269</v>
      </c>
      <c r="E8946" s="480"/>
      <c r="F8946" s="28">
        <v>800000</v>
      </c>
      <c r="G8946" s="48">
        <f t="shared" si="225"/>
        <v>1342901.5532072675</v>
      </c>
      <c r="H8946" s="389" t="s">
        <v>9567</v>
      </c>
    </row>
    <row r="8947" spans="1:12" x14ac:dyDescent="0.3">
      <c r="A8947" s="45">
        <v>45385</v>
      </c>
      <c r="B8947" s="394" t="s">
        <v>12080</v>
      </c>
      <c r="C8947" s="186" t="s">
        <v>54</v>
      </c>
      <c r="D8947" s="186" t="s">
        <v>12746</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12080</v>
      </c>
      <c r="C8949" s="5" t="s">
        <v>26</v>
      </c>
      <c r="D8949" s="5" t="s">
        <v>5915</v>
      </c>
      <c r="E8949" s="43">
        <v>3000</v>
      </c>
      <c r="F8949" s="43"/>
      <c r="G8949" s="48">
        <f t="shared" si="225"/>
        <v>1152701.5532072675</v>
      </c>
      <c r="H8949" s="389" t="s">
        <v>9567</v>
      </c>
    </row>
    <row r="8950" spans="1:12" x14ac:dyDescent="0.3">
      <c r="A8950" s="45">
        <v>45385</v>
      </c>
      <c r="B8950" s="396" t="s">
        <v>12080</v>
      </c>
      <c r="C8950" s="5" t="s">
        <v>26</v>
      </c>
      <c r="D8950" s="5" t="s">
        <v>13474</v>
      </c>
      <c r="E8950" s="43">
        <v>500</v>
      </c>
      <c r="F8950" s="43"/>
      <c r="G8950" s="48">
        <f t="shared" si="225"/>
        <v>1152201.5532072675</v>
      </c>
      <c r="H8950" s="389" t="s">
        <v>9567</v>
      </c>
    </row>
    <row r="8951" spans="1:12" x14ac:dyDescent="0.3">
      <c r="A8951" s="45">
        <v>45385</v>
      </c>
      <c r="B8951" s="394" t="s">
        <v>13321</v>
      </c>
      <c r="C8951" s="186" t="s">
        <v>54</v>
      </c>
      <c r="D8951" s="186" t="s">
        <v>13476</v>
      </c>
      <c r="E8951" s="187">
        <v>266282</v>
      </c>
      <c r="F8951" s="43"/>
      <c r="G8951" s="48">
        <f t="shared" si="225"/>
        <v>885919.55320726754</v>
      </c>
      <c r="H8951" s="389" t="s">
        <v>9567</v>
      </c>
    </row>
    <row r="8952" spans="1:12" x14ac:dyDescent="0.3">
      <c r="A8952" s="45">
        <v>45385</v>
      </c>
      <c r="B8952" s="394" t="s">
        <v>13427</v>
      </c>
      <c r="C8952" s="186" t="s">
        <v>54</v>
      </c>
      <c r="D8952" s="186" t="s">
        <v>13477</v>
      </c>
      <c r="E8952" s="187">
        <v>129000</v>
      </c>
      <c r="F8952" s="43"/>
      <c r="G8952" s="48">
        <f t="shared" si="225"/>
        <v>756919.55320726754</v>
      </c>
      <c r="H8952" s="389" t="s">
        <v>9567</v>
      </c>
    </row>
    <row r="8953" spans="1:12" x14ac:dyDescent="0.3">
      <c r="A8953" s="45">
        <v>45385</v>
      </c>
      <c r="B8953" s="396" t="s">
        <v>25</v>
      </c>
      <c r="C8953" s="5" t="s">
        <v>13463</v>
      </c>
      <c r="D8953" s="5" t="s">
        <v>13464</v>
      </c>
      <c r="E8953" s="43">
        <v>5000</v>
      </c>
      <c r="F8953" s="43"/>
      <c r="G8953" s="48">
        <f t="shared" si="225"/>
        <v>751919.55320726754</v>
      </c>
      <c r="H8953" s="389" t="s">
        <v>9567</v>
      </c>
    </row>
    <row r="8954" spans="1:12" x14ac:dyDescent="0.3">
      <c r="A8954" s="45">
        <v>45386</v>
      </c>
      <c r="B8954" s="394" t="s">
        <v>13458</v>
      </c>
      <c r="C8954" s="186" t="s">
        <v>54</v>
      </c>
      <c r="D8954" s="186" t="s">
        <v>13481</v>
      </c>
      <c r="E8954" s="187">
        <v>43016</v>
      </c>
      <c r="F8954" s="43"/>
      <c r="G8954" s="48">
        <f t="shared" si="225"/>
        <v>708903.55320726754</v>
      </c>
      <c r="H8954" s="389" t="s">
        <v>9567</v>
      </c>
    </row>
    <row r="8955" spans="1:12" x14ac:dyDescent="0.3">
      <c r="A8955" s="45">
        <v>45386</v>
      </c>
      <c r="B8955" s="394" t="s">
        <v>12086</v>
      </c>
      <c r="C8955" s="186" t="s">
        <v>54</v>
      </c>
      <c r="D8955" s="186" t="s">
        <v>12520</v>
      </c>
      <c r="E8955" s="187">
        <v>36300</v>
      </c>
      <c r="F8955" s="43"/>
      <c r="G8955" s="48">
        <f t="shared" si="225"/>
        <v>672603.55320726754</v>
      </c>
      <c r="H8955" s="389" t="s">
        <v>9567</v>
      </c>
    </row>
    <row r="8956" spans="1:12" x14ac:dyDescent="0.3">
      <c r="A8956" s="45">
        <v>45386</v>
      </c>
      <c r="B8956" s="394" t="s">
        <v>12796</v>
      </c>
      <c r="C8956" s="186" t="s">
        <v>54</v>
      </c>
      <c r="D8956" s="186" t="s">
        <v>13482</v>
      </c>
      <c r="E8956" s="187">
        <v>65000</v>
      </c>
      <c r="F8956" s="43"/>
      <c r="G8956" s="48">
        <f t="shared" si="225"/>
        <v>607603.55320726754</v>
      </c>
      <c r="H8956" s="389" t="s">
        <v>9567</v>
      </c>
    </row>
    <row r="8957" spans="1:12" x14ac:dyDescent="0.3">
      <c r="A8957" s="45">
        <v>45386</v>
      </c>
      <c r="B8957" s="396" t="s">
        <v>12611</v>
      </c>
      <c r="C8957" s="5" t="s">
        <v>5793</v>
      </c>
      <c r="D8957" s="5" t="s">
        <v>40</v>
      </c>
      <c r="E8957" s="43">
        <v>2000</v>
      </c>
      <c r="F8957" s="43"/>
      <c r="G8957" s="48">
        <f t="shared" si="225"/>
        <v>605603.55320726754</v>
      </c>
      <c r="H8957" s="389" t="s">
        <v>9567</v>
      </c>
    </row>
    <row r="8958" spans="1:12" x14ac:dyDescent="0.3">
      <c r="A8958" s="45">
        <v>45386</v>
      </c>
      <c r="B8958" s="396" t="s">
        <v>12796</v>
      </c>
      <c r="C8958" s="5" t="s">
        <v>5793</v>
      </c>
      <c r="D8958" s="5" t="s">
        <v>40</v>
      </c>
      <c r="E8958" s="43">
        <v>200</v>
      </c>
      <c r="F8958" s="43"/>
      <c r="G8958" s="48">
        <f t="shared" si="225"/>
        <v>605403.55320726754</v>
      </c>
      <c r="H8958" s="389" t="s">
        <v>9567</v>
      </c>
    </row>
    <row r="8959" spans="1:12" x14ac:dyDescent="0.3">
      <c r="A8959" s="45">
        <v>45386</v>
      </c>
      <c r="B8959" s="394" t="s">
        <v>12611</v>
      </c>
      <c r="C8959" s="186" t="s">
        <v>54</v>
      </c>
      <c r="D8959" s="186" t="s">
        <v>13164</v>
      </c>
      <c r="E8959" s="187">
        <v>535700</v>
      </c>
      <c r="F8959" s="43"/>
      <c r="G8959" s="48">
        <f t="shared" si="225"/>
        <v>69703.553207267541</v>
      </c>
      <c r="H8959" s="389" t="s">
        <v>9567</v>
      </c>
      <c r="L8959" s="52" t="s">
        <v>13388</v>
      </c>
    </row>
    <row r="8960" spans="1:12" x14ac:dyDescent="0.3">
      <c r="A8960" s="45">
        <v>45386</v>
      </c>
      <c r="B8960" s="396" t="s">
        <v>13131</v>
      </c>
      <c r="C8960" s="5" t="s">
        <v>13484</v>
      </c>
      <c r="D8960" s="5" t="s">
        <v>13485</v>
      </c>
      <c r="E8960" s="43">
        <v>50000</v>
      </c>
      <c r="F8960" s="43"/>
      <c r="G8960" s="48">
        <f t="shared" si="225"/>
        <v>19703.553207267541</v>
      </c>
      <c r="H8960" s="389" t="s">
        <v>9567</v>
      </c>
      <c r="L8960" s="52"/>
    </row>
    <row r="8961" spans="1:12" x14ac:dyDescent="0.3">
      <c r="A8961" s="45">
        <v>45386</v>
      </c>
      <c r="B8961" s="396" t="s">
        <v>12611</v>
      </c>
      <c r="C8961" s="5" t="s">
        <v>5793</v>
      </c>
      <c r="D8961" s="5" t="s">
        <v>40</v>
      </c>
      <c r="E8961" s="43">
        <v>1000</v>
      </c>
      <c r="F8961" s="43"/>
      <c r="G8961" s="48">
        <f t="shared" si="225"/>
        <v>18703.553207267541</v>
      </c>
      <c r="H8961" s="389" t="s">
        <v>9567</v>
      </c>
      <c r="I8961" s="583"/>
      <c r="J8961" s="187"/>
      <c r="L8961" s="52"/>
    </row>
    <row r="8962" spans="1:12" x14ac:dyDescent="0.3">
      <c r="A8962" s="45">
        <v>45386</v>
      </c>
      <c r="B8962" s="396" t="s">
        <v>12133</v>
      </c>
      <c r="C8962" s="186" t="s">
        <v>26</v>
      </c>
      <c r="D8962" s="5" t="s">
        <v>13487</v>
      </c>
      <c r="E8962" s="43">
        <v>1500</v>
      </c>
      <c r="F8962" s="43"/>
      <c r="G8962" s="48">
        <f t="shared" si="225"/>
        <v>17203.553207267541</v>
      </c>
      <c r="H8962" s="389" t="s">
        <v>9567</v>
      </c>
      <c r="I8962" s="583"/>
      <c r="J8962" s="187"/>
    </row>
    <row r="8963" spans="1:12" x14ac:dyDescent="0.3">
      <c r="A8963" s="45">
        <v>45385</v>
      </c>
      <c r="B8963" s="565"/>
      <c r="C8963" s="480"/>
      <c r="D8963" s="491" t="s">
        <v>4364</v>
      </c>
      <c r="E8963" s="480"/>
      <c r="F8963" s="43">
        <v>425000</v>
      </c>
      <c r="G8963" s="48">
        <f t="shared" si="225"/>
        <v>442203.55320726754</v>
      </c>
      <c r="H8963" s="389" t="s">
        <v>9567</v>
      </c>
      <c r="I8963" s="583"/>
      <c r="J8963" s="187"/>
    </row>
    <row r="8964" spans="1:12" x14ac:dyDescent="0.3">
      <c r="A8964" s="45">
        <v>45386</v>
      </c>
      <c r="B8964" s="394" t="s">
        <v>12055</v>
      </c>
      <c r="C8964" s="186" t="s">
        <v>54</v>
      </c>
      <c r="D8964" s="186" t="s">
        <v>6253</v>
      </c>
      <c r="E8964" s="187">
        <v>137409.27419354839</v>
      </c>
      <c r="F8964" s="43"/>
      <c r="G8964" s="48">
        <f t="shared" si="225"/>
        <v>304794.27901371918</v>
      </c>
      <c r="H8964" s="389" t="s">
        <v>9567</v>
      </c>
    </row>
    <row r="8965" spans="1:12" x14ac:dyDescent="0.3">
      <c r="A8965" s="45">
        <v>45386</v>
      </c>
      <c r="B8965" s="394" t="s">
        <v>12079</v>
      </c>
      <c r="C8965" s="186" t="s">
        <v>54</v>
      </c>
      <c r="D8965" s="186" t="s">
        <v>6236</v>
      </c>
      <c r="E8965" s="187">
        <v>139459.67741935485</v>
      </c>
      <c r="F8965" s="43"/>
      <c r="G8965" s="48">
        <f t="shared" si="225"/>
        <v>165334.60159436433</v>
      </c>
      <c r="H8965" s="389" t="s">
        <v>9567</v>
      </c>
    </row>
    <row r="8966" spans="1:12" x14ac:dyDescent="0.3">
      <c r="A8966" s="45">
        <v>45386</v>
      </c>
      <c r="B8966" s="394" t="s">
        <v>12055</v>
      </c>
      <c r="C8966" s="186" t="s">
        <v>54</v>
      </c>
      <c r="D8966" s="186" t="s">
        <v>13362</v>
      </c>
      <c r="E8966" s="187">
        <v>28000</v>
      </c>
      <c r="F8966" s="43"/>
      <c r="G8966" s="48">
        <f t="shared" si="225"/>
        <v>137334.60159436433</v>
      </c>
      <c r="H8966" s="389" t="s">
        <v>9567</v>
      </c>
      <c r="L8966" s="52" t="s">
        <v>13459</v>
      </c>
    </row>
    <row r="8967" spans="1:12" x14ac:dyDescent="0.3">
      <c r="A8967" s="45">
        <v>45386</v>
      </c>
      <c r="B8967" s="396" t="s">
        <v>25</v>
      </c>
      <c r="C8967" s="5" t="s">
        <v>13463</v>
      </c>
      <c r="D8967" s="5" t="s">
        <v>13486</v>
      </c>
      <c r="E8967" s="43">
        <v>20000</v>
      </c>
      <c r="F8967" s="43"/>
      <c r="G8967" s="48">
        <f t="shared" si="225"/>
        <v>117334.60159436433</v>
      </c>
      <c r="H8967" s="389" t="s">
        <v>9567</v>
      </c>
      <c r="L8967" s="52"/>
    </row>
    <row r="8968" spans="1:12" x14ac:dyDescent="0.3">
      <c r="A8968" s="45">
        <v>45386</v>
      </c>
      <c r="B8968" s="396" t="s">
        <v>12796</v>
      </c>
      <c r="C8968" s="5" t="s">
        <v>12606</v>
      </c>
      <c r="D8968" s="5" t="s">
        <v>582</v>
      </c>
      <c r="E8968" s="43">
        <v>50000</v>
      </c>
      <c r="F8968" s="43"/>
      <c r="G8968" s="48">
        <f t="shared" si="225"/>
        <v>67334.601594364329</v>
      </c>
      <c r="H8968" s="389" t="s">
        <v>9567</v>
      </c>
    </row>
    <row r="8969" spans="1:12" x14ac:dyDescent="0.3">
      <c r="A8969" s="45">
        <v>45386</v>
      </c>
      <c r="B8969" s="396" t="s">
        <v>12796</v>
      </c>
      <c r="C8969" s="5" t="s">
        <v>11174</v>
      </c>
      <c r="D8969" s="5" t="s">
        <v>13483</v>
      </c>
      <c r="E8969" s="43">
        <v>4900</v>
      </c>
      <c r="F8969" s="43"/>
      <c r="G8969" s="48">
        <f t="shared" si="225"/>
        <v>62434.601594364329</v>
      </c>
      <c r="H8969" s="389" t="s">
        <v>9567</v>
      </c>
    </row>
    <row r="8970" spans="1:12" x14ac:dyDescent="0.3">
      <c r="A8970" s="45">
        <v>45386</v>
      </c>
      <c r="B8970" s="396" t="s">
        <v>12230</v>
      </c>
      <c r="C8970" s="5" t="s">
        <v>26</v>
      </c>
      <c r="D8970" s="5" t="s">
        <v>640</v>
      </c>
      <c r="E8970" s="43">
        <v>1500</v>
      </c>
      <c r="F8970" s="43"/>
      <c r="G8970" s="48">
        <f t="shared" si="225"/>
        <v>60934.601594364329</v>
      </c>
      <c r="H8970" s="389" t="s">
        <v>9567</v>
      </c>
      <c r="I8970" s="583"/>
      <c r="J8970" s="187"/>
    </row>
    <row r="8971" spans="1:12" x14ac:dyDescent="0.3">
      <c r="A8971" s="45">
        <v>45387</v>
      </c>
      <c r="B8971" s="396" t="s">
        <v>25</v>
      </c>
      <c r="C8971" s="5" t="s">
        <v>26</v>
      </c>
      <c r="D8971" s="5" t="s">
        <v>13491</v>
      </c>
      <c r="E8971" s="43">
        <v>1000</v>
      </c>
      <c r="F8971" s="43"/>
      <c r="G8971" s="48">
        <f t="shared" si="225"/>
        <v>59934.601594364329</v>
      </c>
      <c r="H8971" s="389" t="s">
        <v>9567</v>
      </c>
      <c r="I8971" s="583"/>
      <c r="J8971" s="187"/>
    </row>
    <row r="8972" spans="1:12" x14ac:dyDescent="0.3">
      <c r="A8972" s="45">
        <v>45387</v>
      </c>
      <c r="B8972" s="396"/>
      <c r="C8972" s="5" t="s">
        <v>14</v>
      </c>
      <c r="D8972" s="5" t="s">
        <v>13191</v>
      </c>
      <c r="E8972" s="43">
        <v>16900</v>
      </c>
      <c r="F8972" s="43"/>
      <c r="G8972" s="48">
        <f t="shared" si="225"/>
        <v>43034.601594364329</v>
      </c>
      <c r="H8972" s="389" t="s">
        <v>9567</v>
      </c>
      <c r="I8972" s="583"/>
      <c r="J8972" s="187"/>
      <c r="L8972" s="93">
        <f>J8972+J8971+J8964+J8962</f>
        <v>0</v>
      </c>
    </row>
    <row r="8973" spans="1:12" x14ac:dyDescent="0.3">
      <c r="A8973" s="45">
        <v>45387</v>
      </c>
      <c r="B8973" s="565"/>
      <c r="C8973" s="480"/>
      <c r="D8973" s="491" t="s">
        <v>13493</v>
      </c>
      <c r="E8973" s="480"/>
      <c r="F8973" s="43">
        <v>510000</v>
      </c>
      <c r="G8973" s="48">
        <f t="shared" si="225"/>
        <v>553034.60159436427</v>
      </c>
      <c r="H8973" s="389" t="s">
        <v>9567</v>
      </c>
    </row>
    <row r="8974" spans="1:12" x14ac:dyDescent="0.3">
      <c r="A8974" s="45">
        <v>45387</v>
      </c>
      <c r="B8974" s="396" t="s">
        <v>13427</v>
      </c>
      <c r="C8974" s="5" t="s">
        <v>3220</v>
      </c>
      <c r="D8974" s="5" t="s">
        <v>582</v>
      </c>
      <c r="E8974" s="43">
        <v>65250</v>
      </c>
      <c r="F8974" s="43"/>
      <c r="G8974" s="48">
        <f t="shared" si="225"/>
        <v>487784.60159436427</v>
      </c>
      <c r="H8974" s="389" t="s">
        <v>9567</v>
      </c>
    </row>
    <row r="8975" spans="1:12" x14ac:dyDescent="0.3">
      <c r="A8975" s="45">
        <v>45387</v>
      </c>
      <c r="B8975" s="396" t="s">
        <v>12046</v>
      </c>
      <c r="C8975" s="5" t="s">
        <v>12140</v>
      </c>
      <c r="D8975" s="5" t="s">
        <v>582</v>
      </c>
      <c r="E8975" s="43">
        <v>25000</v>
      </c>
      <c r="F8975" s="43"/>
      <c r="G8975" s="48">
        <f t="shared" si="225"/>
        <v>462784.60159436427</v>
      </c>
      <c r="H8975" s="389" t="s">
        <v>9567</v>
      </c>
    </row>
    <row r="8976" spans="1:12" x14ac:dyDescent="0.3">
      <c r="A8976" s="45">
        <v>45387</v>
      </c>
      <c r="B8976" s="396" t="s">
        <v>12611</v>
      </c>
      <c r="C8976" s="5" t="s">
        <v>54</v>
      </c>
      <c r="D8976" s="5" t="s">
        <v>13496</v>
      </c>
      <c r="E8976" s="43">
        <v>24650</v>
      </c>
      <c r="F8976" s="43"/>
      <c r="G8976" s="48">
        <f t="shared" si="225"/>
        <v>438134.60159436427</v>
      </c>
      <c r="H8976" s="389" t="s">
        <v>9567</v>
      </c>
    </row>
    <row r="8977" spans="1:12" x14ac:dyDescent="0.3">
      <c r="A8977" s="45">
        <v>45387</v>
      </c>
      <c r="B8977" s="396"/>
      <c r="C8977" s="5" t="s">
        <v>13463</v>
      </c>
      <c r="D8977" s="5" t="s">
        <v>13495</v>
      </c>
      <c r="E8977" s="43">
        <v>15000</v>
      </c>
      <c r="F8977" s="43"/>
      <c r="G8977" s="48">
        <f t="shared" si="225"/>
        <v>423134.60159436427</v>
      </c>
      <c r="H8977" s="389" t="s">
        <v>9567</v>
      </c>
    </row>
    <row r="8978" spans="1:12" x14ac:dyDescent="0.3">
      <c r="A8978" s="45">
        <v>45387</v>
      </c>
      <c r="B8978" s="394" t="s">
        <v>12055</v>
      </c>
      <c r="C8978" s="186" t="s">
        <v>54</v>
      </c>
      <c r="D8978" s="186" t="s">
        <v>13498</v>
      </c>
      <c r="E8978" s="187">
        <v>1200</v>
      </c>
      <c r="F8978" s="43"/>
      <c r="G8978" s="48">
        <f t="shared" si="225"/>
        <v>421934.60159436427</v>
      </c>
      <c r="H8978" s="389" t="s">
        <v>9567</v>
      </c>
    </row>
    <row r="8979" spans="1:12" x14ac:dyDescent="0.3">
      <c r="A8979" s="45">
        <v>45387</v>
      </c>
      <c r="B8979" s="396"/>
      <c r="C8979" s="5" t="s">
        <v>14</v>
      </c>
      <c r="D8979" s="5" t="s">
        <v>13499</v>
      </c>
      <c r="E8979" s="43">
        <v>10000</v>
      </c>
      <c r="F8979" s="43"/>
      <c r="G8979" s="48">
        <f t="shared" si="225"/>
        <v>411934.60159436427</v>
      </c>
      <c r="H8979" s="389" t="s">
        <v>9567</v>
      </c>
    </row>
    <row r="8980" spans="1:12" x14ac:dyDescent="0.3">
      <c r="A8980" s="45">
        <v>45387</v>
      </c>
      <c r="B8980" s="396" t="s">
        <v>13454</v>
      </c>
      <c r="C8980" s="5" t="s">
        <v>9758</v>
      </c>
      <c r="D8980" s="5" t="s">
        <v>13187</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12133</v>
      </c>
      <c r="C8982" s="5" t="s">
        <v>12826</v>
      </c>
      <c r="D8982" s="5" t="s">
        <v>582</v>
      </c>
      <c r="E8982" s="43">
        <v>30000</v>
      </c>
      <c r="F8982" s="43"/>
      <c r="G8982" s="48">
        <f t="shared" si="225"/>
        <v>365284.60159436427</v>
      </c>
      <c r="H8982" s="389" t="s">
        <v>9567</v>
      </c>
      <c r="I8982" s="52">
        <v>100000</v>
      </c>
    </row>
    <row r="8983" spans="1:12" x14ac:dyDescent="0.3">
      <c r="A8983" s="45">
        <v>45388</v>
      </c>
      <c r="B8983" s="396" t="s">
        <v>12796</v>
      </c>
      <c r="C8983" s="5" t="s">
        <v>30</v>
      </c>
      <c r="D8983" s="5" t="s">
        <v>10637</v>
      </c>
      <c r="E8983" s="43">
        <v>1000</v>
      </c>
      <c r="F8983" s="43"/>
      <c r="G8983" s="48">
        <f t="shared" si="225"/>
        <v>364284.60159436427</v>
      </c>
      <c r="H8983" s="389" t="s">
        <v>9567</v>
      </c>
      <c r="I8983" s="52">
        <v>5000</v>
      </c>
    </row>
    <row r="8984" spans="1:12" x14ac:dyDescent="0.3">
      <c r="A8984" s="45">
        <v>45388</v>
      </c>
      <c r="B8984" s="396" t="s">
        <v>12796</v>
      </c>
      <c r="C8984" s="5" t="s">
        <v>5793</v>
      </c>
      <c r="D8984" s="5" t="s">
        <v>13512</v>
      </c>
      <c r="E8984" s="43">
        <v>2500</v>
      </c>
      <c r="F8984" s="43"/>
      <c r="G8984" s="48">
        <f t="shared" si="225"/>
        <v>361784.60159436427</v>
      </c>
      <c r="H8984" s="389" t="s">
        <v>9567</v>
      </c>
      <c r="I8984" s="52">
        <f>SUM(I8980:I8983)</f>
        <v>405000</v>
      </c>
    </row>
    <row r="8985" spans="1:12" x14ac:dyDescent="0.3">
      <c r="A8985" s="45">
        <v>45388</v>
      </c>
      <c r="B8985" s="396" t="s">
        <v>10319</v>
      </c>
      <c r="C8985" s="5" t="s">
        <v>13509</v>
      </c>
      <c r="D8985" s="5" t="s">
        <v>13510</v>
      </c>
      <c r="E8985" s="43">
        <v>3600</v>
      </c>
      <c r="F8985" s="43"/>
      <c r="G8985" s="48">
        <f t="shared" si="225"/>
        <v>358184.60159436427</v>
      </c>
      <c r="H8985" s="389" t="s">
        <v>9567</v>
      </c>
    </row>
    <row r="8986" spans="1:12" x14ac:dyDescent="0.3">
      <c r="A8986" s="45">
        <v>45388</v>
      </c>
      <c r="B8986" s="396" t="s">
        <v>13321</v>
      </c>
      <c r="C8986" s="5" t="s">
        <v>3554</v>
      </c>
      <c r="D8986" s="5" t="s">
        <v>582</v>
      </c>
      <c r="E8986" s="43">
        <v>100000</v>
      </c>
      <c r="F8986" s="43"/>
      <c r="G8986" s="48">
        <f t="shared" si="225"/>
        <v>258184.60159436427</v>
      </c>
      <c r="H8986" s="389" t="s">
        <v>9567</v>
      </c>
    </row>
    <row r="8987" spans="1:12" x14ac:dyDescent="0.3">
      <c r="A8987" s="45">
        <v>45388</v>
      </c>
      <c r="B8987" s="396" t="s">
        <v>25</v>
      </c>
      <c r="C8987" s="5" t="s">
        <v>13475</v>
      </c>
      <c r="D8987" s="5" t="s">
        <v>13511</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5"/>
      <c r="C8989" s="480"/>
      <c r="D8989" s="491" t="s">
        <v>11014</v>
      </c>
      <c r="E8989" s="480"/>
      <c r="F8989" s="43">
        <v>50000</v>
      </c>
      <c r="G8989" s="48">
        <f t="shared" si="225"/>
        <v>51184.601594364271</v>
      </c>
      <c r="H8989" s="389" t="s">
        <v>9567</v>
      </c>
      <c r="L8989" s="52"/>
    </row>
    <row r="8990" spans="1:12" x14ac:dyDescent="0.3">
      <c r="A8990" s="45">
        <v>45402</v>
      </c>
      <c r="B8990" s="396" t="s">
        <v>13427</v>
      </c>
      <c r="C8990" s="5" t="s">
        <v>12826</v>
      </c>
      <c r="D8990" s="5" t="s">
        <v>294</v>
      </c>
      <c r="E8990" s="43">
        <v>5500</v>
      </c>
      <c r="F8990" s="43"/>
      <c r="G8990" s="48">
        <f t="shared" si="225"/>
        <v>45684.601594364271</v>
      </c>
      <c r="H8990" s="389" t="s">
        <v>9567</v>
      </c>
    </row>
    <row r="8991" spans="1:12" x14ac:dyDescent="0.3">
      <c r="A8991" s="45">
        <v>45402</v>
      </c>
      <c r="B8991" s="396" t="s">
        <v>12611</v>
      </c>
      <c r="C8991" s="5" t="s">
        <v>5793</v>
      </c>
      <c r="D8991" s="5" t="s">
        <v>13531</v>
      </c>
      <c r="E8991" s="43">
        <v>5000</v>
      </c>
      <c r="F8991" s="43"/>
      <c r="G8991" s="48">
        <f t="shared" si="225"/>
        <v>40684.601594364271</v>
      </c>
      <c r="H8991" s="389" t="s">
        <v>9567</v>
      </c>
    </row>
    <row r="8992" spans="1:12" x14ac:dyDescent="0.3">
      <c r="A8992" s="45">
        <v>45402</v>
      </c>
      <c r="B8992" s="396" t="s">
        <v>25</v>
      </c>
      <c r="C8992" s="5" t="s">
        <v>13463</v>
      </c>
      <c r="D8992" s="5" t="s">
        <v>13527</v>
      </c>
      <c r="E8992" s="43">
        <v>5000</v>
      </c>
      <c r="F8992" s="43"/>
      <c r="G8992" s="48">
        <f t="shared" si="225"/>
        <v>35684.601594364271</v>
      </c>
      <c r="H8992" s="389" t="s">
        <v>9567</v>
      </c>
      <c r="K8992" s="52" t="s">
        <v>13521</v>
      </c>
      <c r="L8992" s="52">
        <v>25000</v>
      </c>
    </row>
    <row r="8993" spans="1:15" x14ac:dyDescent="0.3">
      <c r="A8993" s="45">
        <v>45402</v>
      </c>
      <c r="B8993" s="396" t="s">
        <v>13385</v>
      </c>
      <c r="C8993" s="5" t="s">
        <v>11174</v>
      </c>
      <c r="D8993" s="5" t="s">
        <v>13528</v>
      </c>
      <c r="E8993" s="43">
        <v>7280</v>
      </c>
      <c r="F8993" s="43"/>
      <c r="G8993" s="48">
        <f t="shared" si="225"/>
        <v>28404.601594364271</v>
      </c>
      <c r="H8993" s="389" t="s">
        <v>9567</v>
      </c>
      <c r="K8993" s="52" t="s">
        <v>13128</v>
      </c>
      <c r="L8993" s="52">
        <v>15000</v>
      </c>
    </row>
    <row r="8994" spans="1:15" x14ac:dyDescent="0.3">
      <c r="A8994" s="45">
        <v>45402</v>
      </c>
      <c r="B8994" s="396" t="s">
        <v>12796</v>
      </c>
      <c r="C8994" s="5" t="s">
        <v>5793</v>
      </c>
      <c r="D8994" s="5" t="s">
        <v>13272</v>
      </c>
      <c r="E8994" s="43">
        <v>4500</v>
      </c>
      <c r="F8994" s="43"/>
      <c r="G8994" s="48">
        <f t="shared" si="225"/>
        <v>23904.601594364271</v>
      </c>
      <c r="H8994" s="389" t="s">
        <v>9567</v>
      </c>
      <c r="K8994" s="52" t="s">
        <v>9552</v>
      </c>
      <c r="L8994" s="52">
        <v>30000</v>
      </c>
    </row>
    <row r="8995" spans="1:15" x14ac:dyDescent="0.3">
      <c r="A8995" s="45">
        <v>45402</v>
      </c>
      <c r="B8995" s="396" t="s">
        <v>12133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12086</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13522</v>
      </c>
      <c r="L8998" s="52">
        <v>22000</v>
      </c>
    </row>
    <row r="8999" spans="1:15" x14ac:dyDescent="0.3">
      <c r="A8999" s="45">
        <v>45402</v>
      </c>
      <c r="B8999" s="396" t="s">
        <v>12133</v>
      </c>
      <c r="C8999" s="5" t="s">
        <v>84</v>
      </c>
      <c r="D8999" s="5" t="s">
        <v>13532</v>
      </c>
      <c r="E8999" s="43">
        <v>5000</v>
      </c>
      <c r="F8999" s="43"/>
      <c r="G8999" s="48">
        <f t="shared" si="225"/>
        <v>8704.6015943642706</v>
      </c>
      <c r="H8999" s="389" t="s">
        <v>9567</v>
      </c>
      <c r="L8999" s="52">
        <v>26000</v>
      </c>
    </row>
    <row r="9000" spans="1:15" x14ac:dyDescent="0.3">
      <c r="A9000" s="45">
        <v>45402</v>
      </c>
      <c r="B9000" s="396" t="s">
        <v>12086</v>
      </c>
      <c r="C9000" s="5" t="s">
        <v>11174</v>
      </c>
      <c r="D9000" s="5" t="s">
        <v>13533</v>
      </c>
      <c r="E9000" s="43">
        <v>1230</v>
      </c>
      <c r="F9000" s="43"/>
      <c r="G9000" s="48">
        <f t="shared" si="225"/>
        <v>7474.6015943642706</v>
      </c>
      <c r="H9000" s="389" t="s">
        <v>9567</v>
      </c>
      <c r="L9000" s="52">
        <f>SUM(L8992:L8999)</f>
        <v>148000</v>
      </c>
    </row>
    <row r="9001" spans="1:15" x14ac:dyDescent="0.3">
      <c r="A9001" s="45">
        <v>45402</v>
      </c>
      <c r="B9001" s="396" t="s">
        <v>12133</v>
      </c>
      <c r="C9001" s="5" t="s">
        <v>5793</v>
      </c>
      <c r="D9001" s="5" t="s">
        <v>13535</v>
      </c>
      <c r="E9001" s="43">
        <v>3000</v>
      </c>
      <c r="F9001" s="43"/>
      <c r="G9001" s="48">
        <f t="shared" si="225"/>
        <v>4474.6015943642706</v>
      </c>
      <c r="H9001" s="389" t="s">
        <v>9567</v>
      </c>
      <c r="L9001" s="52"/>
    </row>
    <row r="9002" spans="1:15" x14ac:dyDescent="0.3">
      <c r="A9002" s="45">
        <v>45402</v>
      </c>
      <c r="B9002" s="565"/>
      <c r="C9002" s="480"/>
      <c r="D9002" s="491" t="s">
        <v>11014</v>
      </c>
      <c r="E9002" s="480"/>
      <c r="F9002" s="43">
        <v>50500</v>
      </c>
      <c r="G9002" s="48">
        <f t="shared" si="225"/>
        <v>54974.601594364271</v>
      </c>
      <c r="H9002" s="389" t="s">
        <v>9567</v>
      </c>
      <c r="I9002" s="52">
        <v>259</v>
      </c>
    </row>
    <row r="9003" spans="1:15" x14ac:dyDescent="0.3">
      <c r="A9003" s="45">
        <v>45402</v>
      </c>
      <c r="B9003" s="396" t="s">
        <v>12050</v>
      </c>
      <c r="C9003" s="5" t="s">
        <v>11174</v>
      </c>
      <c r="D9003" s="5" t="s">
        <v>13534</v>
      </c>
      <c r="E9003" s="43">
        <v>15000</v>
      </c>
      <c r="F9003" s="43"/>
      <c r="G9003" s="48">
        <f t="shared" si="225"/>
        <v>39974.601594364271</v>
      </c>
      <c r="H9003" s="389" t="s">
        <v>9567</v>
      </c>
      <c r="I9003" s="52">
        <v>3400</v>
      </c>
      <c r="L9003" s="4">
        <v>5000</v>
      </c>
      <c r="N9003" s="52">
        <v>5000</v>
      </c>
    </row>
    <row r="9004" spans="1:15" x14ac:dyDescent="0.3">
      <c r="A9004" s="45">
        <v>45402</v>
      </c>
      <c r="B9004" s="396" t="s">
        <v>12796</v>
      </c>
      <c r="C9004" s="5" t="s">
        <v>5288</v>
      </c>
      <c r="D9004" s="5" t="s">
        <v>12015</v>
      </c>
      <c r="E9004" s="43">
        <v>10000</v>
      </c>
      <c r="F9004" s="43"/>
      <c r="G9004" s="48">
        <f t="shared" si="225"/>
        <v>29974.601594364271</v>
      </c>
      <c r="H9004" s="389" t="s">
        <v>9567</v>
      </c>
      <c r="I9004" s="52">
        <v>2100</v>
      </c>
      <c r="L9004" s="4">
        <v>5000</v>
      </c>
      <c r="N9004" s="52">
        <v>1000</v>
      </c>
    </row>
    <row r="9005" spans="1:15" x14ac:dyDescent="0.3">
      <c r="A9005" s="45">
        <v>45402</v>
      </c>
      <c r="B9005" s="396" t="s">
        <v>12796</v>
      </c>
      <c r="C9005" s="5" t="s">
        <v>13420</v>
      </c>
      <c r="D9005" s="5" t="s">
        <v>13536</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12230</v>
      </c>
      <c r="C9006" s="5" t="s">
        <v>1074</v>
      </c>
      <c r="D9006" s="5" t="s">
        <v>6280</v>
      </c>
      <c r="E9006" s="43">
        <v>2915</v>
      </c>
      <c r="F9006" s="43"/>
      <c r="G9006" s="48">
        <f t="shared" si="225"/>
        <v>24459.601594364271</v>
      </c>
      <c r="H9006" s="389" t="s">
        <v>9567</v>
      </c>
      <c r="I9006" s="52">
        <v>2293</v>
      </c>
      <c r="L9006" s="4">
        <v>4500</v>
      </c>
      <c r="N9006" s="52">
        <v>1300</v>
      </c>
      <c r="O9006" s="4" t="s">
        <v>13529</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12611</v>
      </c>
      <c r="C9008" s="5" t="s">
        <v>11174</v>
      </c>
      <c r="D9008" s="5" t="s">
        <v>11931</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12796</v>
      </c>
      <c r="C9009" s="5" t="s">
        <v>84</v>
      </c>
      <c r="D9009" s="5" t="s">
        <v>13538</v>
      </c>
      <c r="E9009" s="43">
        <v>2000</v>
      </c>
      <c r="F9009" s="43"/>
      <c r="G9009" s="48">
        <f t="shared" si="226"/>
        <v>12329.601594364271</v>
      </c>
      <c r="H9009" s="389" t="s">
        <v>9567</v>
      </c>
      <c r="I9009" s="52">
        <v>361</v>
      </c>
      <c r="N9009" s="52">
        <v>2000</v>
      </c>
      <c r="O9009" s="4" t="s">
        <v>13530</v>
      </c>
    </row>
    <row r="9010" spans="1:15" x14ac:dyDescent="0.3">
      <c r="A9010" s="45">
        <v>45404</v>
      </c>
      <c r="B9010" s="396" t="s">
        <v>12133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13539</v>
      </c>
      <c r="E9011" s="43">
        <v>720</v>
      </c>
      <c r="F9011" s="43"/>
      <c r="G9011" s="48">
        <f t="shared" si="226"/>
        <v>5609.6015943642706</v>
      </c>
      <c r="H9011" s="389" t="s">
        <v>9567</v>
      </c>
      <c r="I9011" s="52">
        <v>2099</v>
      </c>
      <c r="N9011" s="52">
        <v>300</v>
      </c>
      <c r="O9011" s="4" t="s">
        <v>5793</v>
      </c>
    </row>
    <row r="9012" spans="1:15" x14ac:dyDescent="0.3">
      <c r="A9012" s="45">
        <v>45406</v>
      </c>
      <c r="B9012" s="396" t="s">
        <v>12796</v>
      </c>
      <c r="C9012" s="5" t="s">
        <v>9330</v>
      </c>
      <c r="D9012" s="5" t="s">
        <v>11536</v>
      </c>
      <c r="E9012" s="43">
        <v>1200</v>
      </c>
      <c r="F9012" s="43"/>
      <c r="G9012" s="48">
        <f t="shared" si="226"/>
        <v>4409.6015943642706</v>
      </c>
      <c r="H9012" s="389" t="s">
        <v>9567</v>
      </c>
      <c r="K9012" s="52">
        <v>670</v>
      </c>
      <c r="L9012" s="636">
        <f>K9012*10.8</f>
        <v>7236.0000000000009</v>
      </c>
      <c r="N9012" s="52">
        <v>100</v>
      </c>
      <c r="O9012" s="4" t="s">
        <v>5793</v>
      </c>
    </row>
    <row r="9013" spans="1:15" x14ac:dyDescent="0.3">
      <c r="A9013" s="45">
        <v>45406</v>
      </c>
      <c r="B9013" s="396" t="s">
        <v>25</v>
      </c>
      <c r="C9013" s="5" t="s">
        <v>25</v>
      </c>
      <c r="D9013" s="5" t="s">
        <v>11434</v>
      </c>
      <c r="E9013" s="43">
        <v>3500</v>
      </c>
      <c r="F9013" s="43"/>
      <c r="G9013" s="48">
        <f t="shared" si="226"/>
        <v>909.60159436427057</v>
      </c>
      <c r="H9013" s="389" t="s">
        <v>9567</v>
      </c>
      <c r="K9013" s="52">
        <v>650</v>
      </c>
      <c r="L9013" s="636">
        <f>K9013*10.8</f>
        <v>7020.0000000000009</v>
      </c>
    </row>
    <row r="9014" spans="1:15" x14ac:dyDescent="0.3">
      <c r="A9014" s="45">
        <v>45407</v>
      </c>
      <c r="B9014" s="565"/>
      <c r="C9014" s="480"/>
      <c r="D9014" s="491" t="s">
        <v>4106</v>
      </c>
      <c r="E9014" s="480"/>
      <c r="F9014" s="43">
        <v>100000</v>
      </c>
      <c r="G9014" s="48">
        <f t="shared" si="226"/>
        <v>100909.60159436427</v>
      </c>
      <c r="H9014" s="389" t="s">
        <v>9567</v>
      </c>
    </row>
    <row r="9015" spans="1:15" x14ac:dyDescent="0.3">
      <c r="A9015" s="45">
        <v>45407</v>
      </c>
      <c r="B9015" s="396" t="s">
        <v>13385</v>
      </c>
      <c r="C9015" s="5" t="s">
        <v>13425</v>
      </c>
      <c r="D9015" s="5" t="s">
        <v>13544</v>
      </c>
      <c r="E9015" s="43">
        <v>15000</v>
      </c>
      <c r="F9015" s="43"/>
      <c r="G9015" s="48">
        <f t="shared" si="226"/>
        <v>85909.601594364271</v>
      </c>
      <c r="H9015" s="389" t="s">
        <v>9567</v>
      </c>
    </row>
    <row r="9016" spans="1:15" x14ac:dyDescent="0.3">
      <c r="A9016" s="45">
        <v>45407</v>
      </c>
      <c r="B9016" s="396" t="s">
        <v>12796</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11434</v>
      </c>
      <c r="E9017" s="43">
        <v>3500</v>
      </c>
      <c r="F9017" s="43"/>
      <c r="G9017" s="48">
        <f t="shared" si="226"/>
        <v>79409.601594364271</v>
      </c>
      <c r="H9017" s="389" t="s">
        <v>9567</v>
      </c>
    </row>
    <row r="9018" spans="1:15" x14ac:dyDescent="0.3">
      <c r="A9018" s="45">
        <v>45407</v>
      </c>
      <c r="B9018" s="396" t="s">
        <v>12796</v>
      </c>
      <c r="C9018" s="5" t="s">
        <v>5793</v>
      </c>
      <c r="D9018" s="5" t="s">
        <v>13542</v>
      </c>
      <c r="E9018" s="43">
        <v>1000</v>
      </c>
      <c r="F9018" s="43"/>
      <c r="G9018" s="48">
        <f t="shared" si="226"/>
        <v>78409.601594364271</v>
      </c>
      <c r="H9018" s="389" t="s">
        <v>9567</v>
      </c>
      <c r="I9018" s="52">
        <v>50</v>
      </c>
      <c r="J9018" s="52" t="s">
        <v>13537</v>
      </c>
    </row>
    <row r="9019" spans="1:15" x14ac:dyDescent="0.3">
      <c r="A9019" s="45">
        <v>45407</v>
      </c>
      <c r="B9019" s="396" t="s">
        <v>13385</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13545</v>
      </c>
      <c r="E9020" s="43">
        <v>15000</v>
      </c>
      <c r="F9020" s="43"/>
      <c r="G9020" s="48">
        <f t="shared" si="226"/>
        <v>61609.601594364271</v>
      </c>
      <c r="H9020" s="389" t="s">
        <v>9567</v>
      </c>
    </row>
    <row r="9021" spans="1:15" x14ac:dyDescent="0.3">
      <c r="A9021" s="45">
        <v>45407</v>
      </c>
      <c r="B9021" s="396" t="s">
        <v>12611</v>
      </c>
      <c r="C9021" s="5" t="s">
        <v>5793</v>
      </c>
      <c r="D9021" s="5" t="s">
        <v>40</v>
      </c>
      <c r="E9021" s="43">
        <v>2500</v>
      </c>
      <c r="F9021" s="43"/>
      <c r="G9021" s="48">
        <f t="shared" si="226"/>
        <v>59109.601594364271</v>
      </c>
      <c r="H9021" s="389" t="s">
        <v>9567</v>
      </c>
    </row>
    <row r="9022" spans="1:15" x14ac:dyDescent="0.3">
      <c r="A9022" s="45">
        <v>45407</v>
      </c>
      <c r="B9022" s="396" t="s">
        <v>13385</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13075</v>
      </c>
      <c r="C9024" s="5" t="s">
        <v>11174</v>
      </c>
      <c r="D9024" s="5" t="s">
        <v>13550</v>
      </c>
      <c r="E9024" s="43">
        <v>3800</v>
      </c>
      <c r="F9024" s="43"/>
      <c r="G9024" s="48">
        <f t="shared" si="226"/>
        <v>48809.601594364271</v>
      </c>
      <c r="H9024" s="389" t="s">
        <v>9567</v>
      </c>
    </row>
    <row r="9025" spans="1:9" x14ac:dyDescent="0.3">
      <c r="A9025" s="45">
        <v>45409</v>
      </c>
      <c r="B9025" s="396" t="s">
        <v>13551</v>
      </c>
      <c r="C9025" s="5" t="s">
        <v>11174</v>
      </c>
      <c r="D9025" s="5" t="s">
        <v>13552</v>
      </c>
      <c r="E9025" s="43">
        <v>1820</v>
      </c>
      <c r="F9025" s="43"/>
      <c r="G9025" s="48">
        <f t="shared" si="226"/>
        <v>46989.601594364271</v>
      </c>
      <c r="H9025" s="389" t="s">
        <v>9567</v>
      </c>
    </row>
    <row r="9026" spans="1:9" x14ac:dyDescent="0.3">
      <c r="A9026" s="45">
        <v>45409</v>
      </c>
      <c r="B9026" s="396" t="s">
        <v>13551</v>
      </c>
      <c r="C9026" s="5" t="s">
        <v>5793</v>
      </c>
      <c r="D9026" s="5" t="s">
        <v>40</v>
      </c>
      <c r="E9026" s="43">
        <v>1200</v>
      </c>
      <c r="F9026" s="43"/>
      <c r="G9026" s="48">
        <f t="shared" si="226"/>
        <v>45789.601594364271</v>
      </c>
      <c r="H9026" s="389" t="s">
        <v>9567</v>
      </c>
    </row>
    <row r="9027" spans="1:9" x14ac:dyDescent="0.3">
      <c r="A9027" s="45">
        <v>45409</v>
      </c>
      <c r="B9027" s="396" t="s">
        <v>12796</v>
      </c>
      <c r="C9027" s="5" t="s">
        <v>11174</v>
      </c>
      <c r="D9027" s="5" t="s">
        <v>13570</v>
      </c>
      <c r="E9027" s="43">
        <v>7000</v>
      </c>
      <c r="F9027" s="43"/>
      <c r="G9027" s="48">
        <f t="shared" si="226"/>
        <v>38789.601594364271</v>
      </c>
      <c r="H9027" s="389" t="s">
        <v>9567</v>
      </c>
    </row>
    <row r="9028" spans="1:9" x14ac:dyDescent="0.3">
      <c r="A9028" s="45">
        <v>45409</v>
      </c>
      <c r="B9028" s="396" t="s">
        <v>12086</v>
      </c>
      <c r="C9028" s="5" t="s">
        <v>5793</v>
      </c>
      <c r="D9028" s="5" t="s">
        <v>40</v>
      </c>
      <c r="E9028" s="43">
        <v>400</v>
      </c>
      <c r="F9028" s="43"/>
      <c r="G9028" s="48">
        <f t="shared" si="226"/>
        <v>38389.601594364271</v>
      </c>
      <c r="H9028" s="389" t="s">
        <v>9567</v>
      </c>
    </row>
    <row r="9029" spans="1:9" x14ac:dyDescent="0.3">
      <c r="A9029" s="45">
        <v>45409</v>
      </c>
      <c r="B9029" s="396" t="s">
        <v>13226</v>
      </c>
      <c r="C9029" s="5" t="s">
        <v>5793</v>
      </c>
      <c r="D9029" s="5" t="s">
        <v>40</v>
      </c>
      <c r="E9029" s="43">
        <v>2000</v>
      </c>
      <c r="F9029" s="43"/>
      <c r="G9029" s="48">
        <f t="shared" si="226"/>
        <v>36389.601594364271</v>
      </c>
      <c r="H9029" s="389" t="s">
        <v>9567</v>
      </c>
    </row>
    <row r="9030" spans="1:9" x14ac:dyDescent="0.3">
      <c r="A9030" s="45">
        <v>45409</v>
      </c>
      <c r="B9030" s="396" t="s">
        <v>13226</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11434</v>
      </c>
      <c r="E9031" s="43">
        <v>3000</v>
      </c>
      <c r="F9031" s="43"/>
      <c r="G9031" s="48">
        <f t="shared" si="226"/>
        <v>30389.601594364271</v>
      </c>
      <c r="H9031" s="389" t="s">
        <v>9567</v>
      </c>
    </row>
    <row r="9032" spans="1:9" x14ac:dyDescent="0.3">
      <c r="A9032" s="45">
        <v>45409</v>
      </c>
      <c r="B9032" s="396"/>
      <c r="C9032" s="5" t="s">
        <v>84</v>
      </c>
      <c r="D9032" s="5" t="s">
        <v>13558</v>
      </c>
      <c r="E9032" s="43">
        <v>2000</v>
      </c>
      <c r="F9032" s="43"/>
      <c r="G9032" s="48">
        <f t="shared" si="226"/>
        <v>28389.601594364271</v>
      </c>
      <c r="H9032" s="389" t="s">
        <v>9567</v>
      </c>
    </row>
    <row r="9033" spans="1:9" x14ac:dyDescent="0.3">
      <c r="A9033" s="45">
        <v>45409</v>
      </c>
      <c r="B9033" s="396" t="s">
        <v>12611</v>
      </c>
      <c r="C9033" s="5" t="s">
        <v>64</v>
      </c>
      <c r="D9033" s="5" t="s">
        <v>13559</v>
      </c>
      <c r="E9033" s="43">
        <v>4320</v>
      </c>
      <c r="F9033" s="43"/>
      <c r="G9033" s="48">
        <f t="shared" si="226"/>
        <v>24069.601594364271</v>
      </c>
      <c r="H9033" s="389" t="s">
        <v>9567</v>
      </c>
    </row>
    <row r="9034" spans="1:9" x14ac:dyDescent="0.3">
      <c r="A9034" s="45">
        <v>45409</v>
      </c>
      <c r="B9034" s="396" t="s">
        <v>12611</v>
      </c>
      <c r="C9034" s="5" t="s">
        <v>84</v>
      </c>
      <c r="D9034" s="5" t="s">
        <v>13560</v>
      </c>
      <c r="E9034" s="43">
        <v>2000</v>
      </c>
      <c r="F9034" s="43"/>
      <c r="G9034" s="48">
        <f t="shared" si="226"/>
        <v>22069.601594364271</v>
      </c>
      <c r="H9034" s="389" t="s">
        <v>9567</v>
      </c>
    </row>
    <row r="9035" spans="1:9" x14ac:dyDescent="0.3">
      <c r="A9035" s="45">
        <v>45409</v>
      </c>
      <c r="B9035" s="396" t="s">
        <v>12611</v>
      </c>
      <c r="C9035" s="5" t="s">
        <v>6430</v>
      </c>
      <c r="D9035" s="5" t="s">
        <v>5813</v>
      </c>
      <c r="E9035" s="43">
        <v>6000</v>
      </c>
      <c r="F9035" s="43"/>
      <c r="G9035" s="48">
        <f t="shared" si="226"/>
        <v>16069.601594364271</v>
      </c>
      <c r="H9035" s="389" t="s">
        <v>9567</v>
      </c>
    </row>
    <row r="9036" spans="1:9" x14ac:dyDescent="0.3">
      <c r="A9036" s="45">
        <v>45409</v>
      </c>
      <c r="B9036" s="396" t="s">
        <v>12055</v>
      </c>
      <c r="C9036" s="5" t="s">
        <v>84</v>
      </c>
      <c r="D9036" s="5" t="s">
        <v>13565</v>
      </c>
      <c r="E9036" s="43">
        <v>3000</v>
      </c>
      <c r="F9036" s="43"/>
      <c r="G9036" s="48">
        <f t="shared" si="226"/>
        <v>13069.601594364271</v>
      </c>
      <c r="H9036" s="389" t="s">
        <v>9567</v>
      </c>
      <c r="I9036" s="52">
        <v>200</v>
      </c>
    </row>
    <row r="9037" spans="1:9" x14ac:dyDescent="0.3">
      <c r="A9037" s="45">
        <v>45409</v>
      </c>
      <c r="B9037" s="396" t="s">
        <v>13385</v>
      </c>
      <c r="C9037" s="5" t="s">
        <v>5793</v>
      </c>
      <c r="D9037" s="5" t="s">
        <v>40</v>
      </c>
      <c r="E9037" s="43">
        <v>1000</v>
      </c>
      <c r="F9037" s="43"/>
      <c r="G9037" s="48">
        <f t="shared" si="226"/>
        <v>12069.601594364271</v>
      </c>
      <c r="H9037" s="389" t="s">
        <v>9567</v>
      </c>
    </row>
    <row r="9038" spans="1:9" x14ac:dyDescent="0.3">
      <c r="A9038" s="45">
        <v>45411</v>
      </c>
      <c r="B9038" s="396" t="s">
        <v>11743</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11434</v>
      </c>
      <c r="E9039" s="43">
        <v>1500</v>
      </c>
      <c r="F9039" s="43"/>
      <c r="G9039" s="48">
        <f t="shared" si="226"/>
        <v>10319.601594364271</v>
      </c>
      <c r="H9039" s="389" t="s">
        <v>9567</v>
      </c>
    </row>
    <row r="9040" spans="1:9" x14ac:dyDescent="0.3">
      <c r="A9040" s="45">
        <v>45411</v>
      </c>
      <c r="B9040" s="565"/>
      <c r="C9040" s="480"/>
      <c r="D9040" s="491" t="s">
        <v>12416</v>
      </c>
      <c r="E9040" s="480"/>
      <c r="F9040" s="43">
        <v>100000</v>
      </c>
      <c r="G9040" s="48">
        <f t="shared" si="226"/>
        <v>110319.60159436427</v>
      </c>
      <c r="H9040" s="389" t="s">
        <v>9567</v>
      </c>
    </row>
    <row r="9041" spans="1:11" x14ac:dyDescent="0.3">
      <c r="A9041" s="45">
        <v>45411</v>
      </c>
      <c r="B9041" s="396" t="s">
        <v>12796</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12215</v>
      </c>
      <c r="E9042" s="43">
        <v>18585</v>
      </c>
      <c r="F9042" s="43"/>
      <c r="G9042" s="48">
        <f t="shared" si="226"/>
        <v>91034.601594364271</v>
      </c>
      <c r="H9042" s="389" t="s">
        <v>9567</v>
      </c>
      <c r="J9042" s="52">
        <v>5000</v>
      </c>
    </row>
    <row r="9043" spans="1:11" x14ac:dyDescent="0.3">
      <c r="A9043" s="45">
        <v>45411</v>
      </c>
      <c r="B9043" s="396" t="s">
        <v>12230</v>
      </c>
      <c r="C9043" s="5" t="s">
        <v>1074</v>
      </c>
      <c r="D9043" s="5" t="s">
        <v>12215</v>
      </c>
      <c r="E9043" s="43">
        <v>49024</v>
      </c>
      <c r="F9043" s="43"/>
      <c r="G9043" s="48">
        <f t="shared" si="226"/>
        <v>42010.601594364271</v>
      </c>
      <c r="H9043" s="389" t="s">
        <v>9567</v>
      </c>
      <c r="J9043" s="52">
        <f>SUM(J9041:J9042)</f>
        <v>14000</v>
      </c>
      <c r="K9043" s="52">
        <v>8500</v>
      </c>
    </row>
    <row r="9044" spans="1:11" x14ac:dyDescent="0.3">
      <c r="A9044" s="45">
        <v>45411</v>
      </c>
      <c r="B9044" s="396" t="s">
        <v>13226</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13581</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12133</v>
      </c>
      <c r="C9047" s="5" t="s">
        <v>5162</v>
      </c>
      <c r="D9047" s="5" t="s">
        <v>294</v>
      </c>
      <c r="E9047" s="43">
        <v>5000</v>
      </c>
      <c r="F9047" s="43"/>
      <c r="G9047" s="48">
        <f t="shared" si="226"/>
        <v>29160.601594364271</v>
      </c>
      <c r="H9047" s="389" t="s">
        <v>9567</v>
      </c>
    </row>
    <row r="9048" spans="1:11" x14ac:dyDescent="0.3">
      <c r="A9048" s="45">
        <v>45411</v>
      </c>
      <c r="B9048" s="396" t="s">
        <v>12133</v>
      </c>
      <c r="C9048" s="5" t="s">
        <v>84</v>
      </c>
      <c r="D9048" s="5" t="s">
        <v>13532</v>
      </c>
      <c r="E9048" s="43">
        <v>3000</v>
      </c>
      <c r="F9048" s="43"/>
      <c r="G9048" s="48">
        <f t="shared" si="226"/>
        <v>26160.601594364271</v>
      </c>
      <c r="H9048" s="389" t="s">
        <v>9567</v>
      </c>
    </row>
    <row r="9049" spans="1:11" x14ac:dyDescent="0.3">
      <c r="A9049" s="45">
        <v>45411</v>
      </c>
      <c r="B9049" s="396" t="s">
        <v>12796</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12826</v>
      </c>
      <c r="D9051" s="5" t="s">
        <v>294</v>
      </c>
      <c r="E9051" s="43">
        <v>5000</v>
      </c>
      <c r="F9051" s="43"/>
      <c r="G9051" s="48">
        <f t="shared" si="226"/>
        <v>15760.601594364271</v>
      </c>
      <c r="H9051" s="389" t="s">
        <v>9567</v>
      </c>
    </row>
    <row r="9052" spans="1:11" x14ac:dyDescent="0.3">
      <c r="A9052" s="45">
        <v>45412</v>
      </c>
      <c r="B9052" s="396" t="s">
        <v>25</v>
      </c>
      <c r="C9052" s="5" t="s">
        <v>25</v>
      </c>
      <c r="D9052" s="5" t="s">
        <v>11434</v>
      </c>
      <c r="E9052" s="43">
        <v>4000</v>
      </c>
      <c r="F9052" s="43"/>
      <c r="G9052" s="48">
        <f t="shared" si="226"/>
        <v>11760.601594364271</v>
      </c>
      <c r="H9052" s="389" t="s">
        <v>9567</v>
      </c>
    </row>
    <row r="9053" spans="1:11" x14ac:dyDescent="0.3">
      <c r="A9053" s="45">
        <v>45412</v>
      </c>
      <c r="B9053" s="396" t="s">
        <v>12611</v>
      </c>
      <c r="C9053" s="5" t="s">
        <v>5793</v>
      </c>
      <c r="D9053" s="5" t="s">
        <v>40</v>
      </c>
      <c r="E9053" s="43">
        <v>1600</v>
      </c>
      <c r="F9053" s="43"/>
      <c r="G9053" s="48">
        <f t="shared" si="226"/>
        <v>10160.601594364271</v>
      </c>
      <c r="H9053" s="389" t="s">
        <v>9567</v>
      </c>
    </row>
    <row r="9054" spans="1:11" x14ac:dyDescent="0.3">
      <c r="A9054" s="45">
        <v>45414</v>
      </c>
      <c r="B9054" s="565"/>
      <c r="C9054" s="480"/>
      <c r="D9054" s="491" t="s">
        <v>12416</v>
      </c>
      <c r="E9054" s="480"/>
      <c r="F9054" s="43">
        <v>240000</v>
      </c>
      <c r="G9054" s="48">
        <f t="shared" si="226"/>
        <v>250160.60159436427</v>
      </c>
      <c r="H9054" s="389" t="s">
        <v>9567</v>
      </c>
    </row>
    <row r="9055" spans="1:11" x14ac:dyDescent="0.3">
      <c r="A9055" s="45">
        <v>45414</v>
      </c>
      <c r="B9055" s="396" t="s">
        <v>25</v>
      </c>
      <c r="C9055" s="5" t="s">
        <v>25</v>
      </c>
      <c r="D9055" s="5" t="s">
        <v>13577</v>
      </c>
      <c r="E9055" s="43">
        <v>1300</v>
      </c>
      <c r="F9055" s="43"/>
      <c r="G9055" s="48">
        <f t="shared" si="226"/>
        <v>248860.60159436427</v>
      </c>
      <c r="H9055" s="389" t="s">
        <v>9567</v>
      </c>
    </row>
    <row r="9056" spans="1:11" x14ac:dyDescent="0.3">
      <c r="A9056" s="45">
        <v>45414</v>
      </c>
      <c r="B9056" s="396" t="s">
        <v>12573</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13578</v>
      </c>
      <c r="E9057" s="43">
        <v>1500</v>
      </c>
      <c r="F9057" s="43"/>
      <c r="G9057" s="48">
        <f t="shared" si="226"/>
        <v>246960.60159436427</v>
      </c>
      <c r="H9057" s="389" t="s">
        <v>9567</v>
      </c>
      <c r="J9057" s="52">
        <v>6000</v>
      </c>
      <c r="L9057" s="4">
        <v>23020</v>
      </c>
    </row>
    <row r="9058" spans="1:13" x14ac:dyDescent="0.3">
      <c r="A9058" s="45">
        <v>45414</v>
      </c>
      <c r="B9058" s="396" t="s">
        <v>12611</v>
      </c>
      <c r="C9058" s="5" t="s">
        <v>6430</v>
      </c>
      <c r="D9058" s="5" t="s">
        <v>13580</v>
      </c>
      <c r="E9058" s="43">
        <v>5000</v>
      </c>
      <c r="F9058" s="43"/>
      <c r="G9058" s="48">
        <f t="shared" si="226"/>
        <v>241960.60159436427</v>
      </c>
      <c r="H9058" s="389" t="s">
        <v>9567</v>
      </c>
      <c r="J9058" s="52">
        <v>3000</v>
      </c>
      <c r="L9058" s="4">
        <v>28695</v>
      </c>
    </row>
    <row r="9059" spans="1:13" x14ac:dyDescent="0.3">
      <c r="A9059" s="45">
        <v>45414</v>
      </c>
      <c r="B9059" s="396" t="s">
        <v>13321</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12796</v>
      </c>
      <c r="C9060" s="5" t="s">
        <v>5793</v>
      </c>
      <c r="D9060" s="5" t="s">
        <v>13582</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13583</v>
      </c>
      <c r="E9061" s="43">
        <v>800</v>
      </c>
      <c r="F9061" s="43"/>
      <c r="G9061" s="48">
        <f t="shared" si="226"/>
        <v>187160.60159436427</v>
      </c>
      <c r="H9061" s="389" t="s">
        <v>9567</v>
      </c>
      <c r="J9061" s="52">
        <v>61500</v>
      </c>
      <c r="L9061" s="4">
        <v>4500</v>
      </c>
    </row>
    <row r="9062" spans="1:13" x14ac:dyDescent="0.3">
      <c r="A9062" s="45">
        <v>45415</v>
      </c>
      <c r="B9062" s="396" t="s">
        <v>12611</v>
      </c>
      <c r="C9062" s="5" t="s">
        <v>11174</v>
      </c>
      <c r="D9062" s="5" t="s">
        <v>13584</v>
      </c>
      <c r="E9062" s="43">
        <v>31000</v>
      </c>
      <c r="F9062" s="43"/>
      <c r="G9062" s="48">
        <f t="shared" si="226"/>
        <v>156160.60159436427</v>
      </c>
      <c r="H9062" s="389" t="s">
        <v>9567</v>
      </c>
      <c r="J9062" s="52">
        <f>SUM(J9057:J9061)</f>
        <v>81000</v>
      </c>
      <c r="L9062" s="4">
        <v>8500</v>
      </c>
    </row>
    <row r="9063" spans="1:13" x14ac:dyDescent="0.3">
      <c r="A9063" s="45">
        <v>45415</v>
      </c>
      <c r="B9063" s="396" t="s">
        <v>12611</v>
      </c>
      <c r="C9063" s="5" t="s">
        <v>11174</v>
      </c>
      <c r="D9063" s="5" t="s">
        <v>13585</v>
      </c>
      <c r="E9063" s="43">
        <v>35300</v>
      </c>
      <c r="F9063" s="43"/>
      <c r="G9063" s="48">
        <f t="shared" si="226"/>
        <v>120860.60159436427</v>
      </c>
      <c r="H9063" s="389" t="s">
        <v>9567</v>
      </c>
      <c r="L9063" s="4">
        <v>780</v>
      </c>
    </row>
    <row r="9064" spans="1:13" x14ac:dyDescent="0.3">
      <c r="A9064" s="45">
        <v>45415</v>
      </c>
      <c r="B9064" s="396" t="s">
        <v>25</v>
      </c>
      <c r="C9064" s="5" t="s">
        <v>25</v>
      </c>
      <c r="D9064" s="5" t="s">
        <v>11434</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12611</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13188</v>
      </c>
      <c r="C9068" s="5" t="s">
        <v>11174</v>
      </c>
      <c r="D9068" s="5" t="s">
        <v>13586</v>
      </c>
      <c r="E9068" s="43">
        <v>19500</v>
      </c>
      <c r="F9068" s="43"/>
      <c r="G9068" s="48">
        <f t="shared" si="226"/>
        <v>79560.601594364271</v>
      </c>
      <c r="H9068" s="389" t="s">
        <v>9567</v>
      </c>
      <c r="L9068" s="4">
        <v>1000</v>
      </c>
    </row>
    <row r="9069" spans="1:13" x14ac:dyDescent="0.3">
      <c r="A9069" s="45">
        <v>45416</v>
      </c>
      <c r="B9069" s="396" t="s">
        <v>12611</v>
      </c>
      <c r="C9069" s="5" t="s">
        <v>11174</v>
      </c>
      <c r="D9069" s="5" t="s">
        <v>11732</v>
      </c>
      <c r="E9069" s="43">
        <v>23020</v>
      </c>
      <c r="F9069" s="43"/>
      <c r="G9069" s="48">
        <f t="shared" si="226"/>
        <v>56540.601594364271</v>
      </c>
      <c r="H9069" s="389" t="s">
        <v>9567</v>
      </c>
      <c r="L9069" s="4">
        <v>450</v>
      </c>
      <c r="M9069" s="4" t="s">
        <v>8924</v>
      </c>
    </row>
    <row r="9070" spans="1:13" x14ac:dyDescent="0.3">
      <c r="A9070" s="45">
        <v>45416</v>
      </c>
      <c r="B9070" s="396" t="s">
        <v>12611</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13188</v>
      </c>
      <c r="C9071" s="5" t="s">
        <v>11174</v>
      </c>
      <c r="D9071" s="5" t="s">
        <v>13589</v>
      </c>
      <c r="E9071" s="43">
        <v>660</v>
      </c>
      <c r="F9071" s="43"/>
      <c r="G9071" s="48">
        <f t="shared" si="226"/>
        <v>27185.601594364271</v>
      </c>
      <c r="H9071" s="389" t="s">
        <v>9567</v>
      </c>
      <c r="L9071" s="4">
        <v>250</v>
      </c>
      <c r="M9071" s="4" t="s">
        <v>8924</v>
      </c>
    </row>
    <row r="9072" spans="1:13" x14ac:dyDescent="0.3">
      <c r="A9072" s="45">
        <v>45416</v>
      </c>
      <c r="B9072" s="396" t="s">
        <v>13314</v>
      </c>
      <c r="C9072" s="5" t="s">
        <v>11174</v>
      </c>
      <c r="D9072" s="5" t="s">
        <v>11732</v>
      </c>
      <c r="E9072" s="43">
        <v>1200</v>
      </c>
      <c r="F9072" s="43"/>
      <c r="G9072" s="48">
        <f t="shared" ref="G9072:G9135" si="227">G9071+F9072-E9072</f>
        <v>25985.601594364271</v>
      </c>
      <c r="H9072" s="389" t="s">
        <v>9567</v>
      </c>
      <c r="L9072" s="4">
        <v>1000</v>
      </c>
      <c r="M9072" s="4" t="s">
        <v>30</v>
      </c>
    </row>
    <row r="9073" spans="1:14" x14ac:dyDescent="0.3">
      <c r="A9073" s="45">
        <v>45416</v>
      </c>
      <c r="B9073" s="396" t="s">
        <v>12611</v>
      </c>
      <c r="C9073" s="5" t="s">
        <v>11174</v>
      </c>
      <c r="D9073" s="5" t="s">
        <v>13267</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12611</v>
      </c>
      <c r="C9074" s="5" t="s">
        <v>11174</v>
      </c>
      <c r="D9074" s="5" t="s">
        <v>13590</v>
      </c>
      <c r="E9074" s="43">
        <v>8500</v>
      </c>
      <c r="F9074" s="43"/>
      <c r="G9074" s="48">
        <f t="shared" si="227"/>
        <v>12985.601594364271</v>
      </c>
      <c r="H9074" s="389" t="s">
        <v>9567</v>
      </c>
      <c r="L9074" s="4">
        <v>1000</v>
      </c>
    </row>
    <row r="9075" spans="1:14" x14ac:dyDescent="0.3">
      <c r="A9075" s="45">
        <v>45416</v>
      </c>
      <c r="B9075" s="396" t="s">
        <v>13454</v>
      </c>
      <c r="C9075" s="5" t="s">
        <v>11174</v>
      </c>
      <c r="D9075" s="5" t="s">
        <v>12348</v>
      </c>
      <c r="E9075" s="43">
        <v>780</v>
      </c>
      <c r="F9075" s="43"/>
      <c r="G9075" s="48">
        <f t="shared" si="227"/>
        <v>12205.601594364271</v>
      </c>
      <c r="H9075" s="389" t="s">
        <v>9567</v>
      </c>
      <c r="L9075" s="4">
        <v>900</v>
      </c>
      <c r="M9075" s="4" t="s">
        <v>13588</v>
      </c>
    </row>
    <row r="9076" spans="1:14" x14ac:dyDescent="0.3">
      <c r="A9076" s="45">
        <v>45416</v>
      </c>
      <c r="B9076" s="396" t="s">
        <v>13188</v>
      </c>
      <c r="C9076" s="5" t="s">
        <v>11174</v>
      </c>
      <c r="D9076" s="5" t="s">
        <v>11734</v>
      </c>
      <c r="E9076" s="43">
        <v>600</v>
      </c>
      <c r="F9076" s="43"/>
      <c r="G9076" s="48">
        <f t="shared" si="227"/>
        <v>11605.601594364271</v>
      </c>
      <c r="H9076" s="389" t="s">
        <v>9567</v>
      </c>
      <c r="L9076" s="4">
        <f>L9075+L9074+L9073</f>
        <v>78041</v>
      </c>
    </row>
    <row r="9077" spans="1:14" x14ac:dyDescent="0.3">
      <c r="A9077" s="45">
        <v>45416</v>
      </c>
      <c r="B9077" s="396" t="s">
        <v>11743</v>
      </c>
      <c r="C9077" s="5" t="s">
        <v>11174</v>
      </c>
      <c r="D9077" s="5" t="s">
        <v>13591</v>
      </c>
      <c r="E9077" s="43">
        <v>3186</v>
      </c>
      <c r="F9077" s="43"/>
      <c r="G9077" s="48">
        <f t="shared" si="227"/>
        <v>8419.6015943642706</v>
      </c>
      <c r="H9077" s="389" t="s">
        <v>9567</v>
      </c>
    </row>
    <row r="9078" spans="1:14" x14ac:dyDescent="0.3">
      <c r="A9078" s="45">
        <v>45416</v>
      </c>
      <c r="B9078" s="396" t="s">
        <v>25</v>
      </c>
      <c r="C9078" s="5" t="s">
        <v>25</v>
      </c>
      <c r="D9078" s="5" t="s">
        <v>11434</v>
      </c>
      <c r="E9078" s="43">
        <v>2000</v>
      </c>
      <c r="F9078" s="43"/>
      <c r="G9078" s="48">
        <f t="shared" si="227"/>
        <v>6419.6015943642706</v>
      </c>
      <c r="H9078" s="389" t="s">
        <v>9567</v>
      </c>
    </row>
    <row r="9079" spans="1:14" x14ac:dyDescent="0.3">
      <c r="A9079" s="45">
        <v>45416</v>
      </c>
      <c r="B9079" s="396" t="s">
        <v>12611</v>
      </c>
      <c r="C9079" s="5" t="s">
        <v>30</v>
      </c>
      <c r="D9079" s="5" t="s">
        <v>10637</v>
      </c>
      <c r="E9079" s="43">
        <v>1000</v>
      </c>
      <c r="F9079" s="43"/>
      <c r="G9079" s="48">
        <f t="shared" si="227"/>
        <v>5419.6015943642706</v>
      </c>
      <c r="H9079" s="389" t="s">
        <v>9567</v>
      </c>
    </row>
    <row r="9080" spans="1:14" x14ac:dyDescent="0.3">
      <c r="A9080" s="45">
        <v>45416</v>
      </c>
      <c r="B9080" s="396" t="s">
        <v>12611</v>
      </c>
      <c r="C9080" s="5" t="s">
        <v>11174</v>
      </c>
      <c r="D9080" s="5" t="s">
        <v>13592</v>
      </c>
      <c r="E9080" s="43">
        <v>500</v>
      </c>
      <c r="F9080" s="43"/>
      <c r="G9080" s="48">
        <f t="shared" si="227"/>
        <v>4919.6015943642706</v>
      </c>
      <c r="H9080" s="389" t="s">
        <v>9567</v>
      </c>
    </row>
    <row r="9081" spans="1:14" x14ac:dyDescent="0.3">
      <c r="A9081" s="45">
        <v>45416</v>
      </c>
      <c r="B9081" s="396" t="s">
        <v>12796</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5"/>
      <c r="C9083" s="480"/>
      <c r="D9083" s="491" t="s">
        <v>11014</v>
      </c>
      <c r="E9083" s="480"/>
      <c r="F9083" s="43">
        <v>1000000</v>
      </c>
      <c r="G9083" s="48">
        <f t="shared" si="227"/>
        <v>1002989.6015943643</v>
      </c>
      <c r="H9083" s="389" t="s">
        <v>9567</v>
      </c>
    </row>
    <row r="9084" spans="1:14" x14ac:dyDescent="0.3">
      <c r="A9084" s="45">
        <v>45418</v>
      </c>
      <c r="B9084" s="396" t="s">
        <v>13188</v>
      </c>
      <c r="C9084" s="5" t="s">
        <v>5793</v>
      </c>
      <c r="D9084" s="5" t="s">
        <v>40</v>
      </c>
      <c r="E9084" s="43">
        <v>800</v>
      </c>
      <c r="F9084" s="43"/>
      <c r="G9084" s="48">
        <f t="shared" si="227"/>
        <v>1002189.6015943643</v>
      </c>
      <c r="H9084" s="389" t="s">
        <v>9567</v>
      </c>
    </row>
    <row r="9085" spans="1:14" x14ac:dyDescent="0.3">
      <c r="A9085" s="45">
        <v>45418</v>
      </c>
      <c r="B9085" s="396" t="s">
        <v>12611</v>
      </c>
      <c r="C9085" s="5" t="s">
        <v>11174</v>
      </c>
      <c r="D9085" s="5" t="s">
        <v>13595</v>
      </c>
      <c r="E9085" s="43">
        <v>4980</v>
      </c>
      <c r="F9085" s="43"/>
      <c r="G9085" s="48">
        <f t="shared" si="227"/>
        <v>997209.60159436427</v>
      </c>
      <c r="H9085" s="389" t="s">
        <v>9567</v>
      </c>
    </row>
    <row r="9086" spans="1:14" x14ac:dyDescent="0.3">
      <c r="A9086" s="45">
        <v>45418</v>
      </c>
      <c r="B9086" s="396" t="s">
        <v>13596</v>
      </c>
      <c r="C9086" s="5" t="s">
        <v>5793</v>
      </c>
      <c r="D9086" s="5" t="s">
        <v>40</v>
      </c>
      <c r="E9086" s="43">
        <v>1000</v>
      </c>
      <c r="F9086" s="43"/>
      <c r="G9086" s="48">
        <f t="shared" si="227"/>
        <v>996209.60159436427</v>
      </c>
      <c r="H9086" s="389" t="s">
        <v>9567</v>
      </c>
    </row>
    <row r="9087" spans="1:14" x14ac:dyDescent="0.3">
      <c r="A9087" s="45">
        <v>45418</v>
      </c>
      <c r="B9087" s="396" t="s">
        <v>12133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12796</v>
      </c>
      <c r="C9089" s="186" t="s">
        <v>54</v>
      </c>
      <c r="D9089" s="186" t="s">
        <v>13597</v>
      </c>
      <c r="E9089" s="187">
        <f>79300+27750+27500+70000+45000</f>
        <v>249550</v>
      </c>
      <c r="F9089" s="43"/>
      <c r="G9089" s="48">
        <f t="shared" si="227"/>
        <v>479959.60159436427</v>
      </c>
      <c r="H9089" s="389" t="s">
        <v>9567</v>
      </c>
    </row>
    <row r="9090" spans="1:13" x14ac:dyDescent="0.3">
      <c r="A9090" s="45">
        <v>45418</v>
      </c>
      <c r="B9090" s="394" t="s">
        <v>12133</v>
      </c>
      <c r="C9090" s="186" t="s">
        <v>54</v>
      </c>
      <c r="D9090" s="186" t="s">
        <v>13599</v>
      </c>
      <c r="E9090" s="187">
        <f>42480+22730</f>
        <v>65210</v>
      </c>
      <c r="F9090" s="43"/>
      <c r="G9090" s="48">
        <f t="shared" si="227"/>
        <v>414749.60159436427</v>
      </c>
      <c r="H9090" s="389" t="s">
        <v>9567</v>
      </c>
    </row>
    <row r="9091" spans="1:13" x14ac:dyDescent="0.3">
      <c r="A9091" s="45">
        <v>45418</v>
      </c>
      <c r="B9091" s="394" t="s">
        <v>12135</v>
      </c>
      <c r="C9091" s="186" t="s">
        <v>54</v>
      </c>
      <c r="D9091" s="186" t="s">
        <v>13481</v>
      </c>
      <c r="E9091" s="187">
        <v>42250</v>
      </c>
      <c r="F9091" s="43"/>
      <c r="G9091" s="48">
        <f t="shared" si="227"/>
        <v>372499.60159436427</v>
      </c>
      <c r="H9091" s="389" t="s">
        <v>9567</v>
      </c>
    </row>
    <row r="9092" spans="1:13" x14ac:dyDescent="0.3">
      <c r="A9092" s="45">
        <v>45418</v>
      </c>
      <c r="B9092" s="394" t="s">
        <v>12045</v>
      </c>
      <c r="C9092" s="186" t="s">
        <v>54</v>
      </c>
      <c r="D9092" s="186" t="s">
        <v>13482</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3" t="s">
        <v>12514</v>
      </c>
      <c r="J9093" s="187">
        <v>0</v>
      </c>
    </row>
    <row r="9094" spans="1:13" x14ac:dyDescent="0.3">
      <c r="A9094" s="45">
        <v>45418</v>
      </c>
      <c r="B9094" s="396" t="s">
        <v>25</v>
      </c>
      <c r="C9094" s="5" t="s">
        <v>25</v>
      </c>
      <c r="D9094" s="5" t="s">
        <v>13600</v>
      </c>
      <c r="E9094" s="43">
        <v>800</v>
      </c>
      <c r="F9094" s="43"/>
      <c r="G9094" s="48">
        <f t="shared" si="227"/>
        <v>305699.60159436427</v>
      </c>
      <c r="H9094" s="389" t="s">
        <v>9567</v>
      </c>
      <c r="I9094" s="583" t="s">
        <v>55</v>
      </c>
      <c r="J9094" s="187">
        <f ca="1">SUMIF(C9067:E9152,"salary",E9067:E9152)</f>
        <v>2270242.9166666665</v>
      </c>
    </row>
    <row r="9095" spans="1:13" x14ac:dyDescent="0.3">
      <c r="A9095" s="45">
        <v>45418</v>
      </c>
      <c r="B9095" s="396" t="s">
        <v>25</v>
      </c>
      <c r="C9095" s="5" t="s">
        <v>25</v>
      </c>
      <c r="D9095" s="5" t="s">
        <v>11434</v>
      </c>
      <c r="E9095" s="43">
        <v>3000</v>
      </c>
      <c r="F9095" s="43"/>
      <c r="G9095" s="48">
        <f t="shared" si="227"/>
        <v>302699.60159436427</v>
      </c>
      <c r="H9095" s="389" t="s">
        <v>9567</v>
      </c>
      <c r="I9095" s="583" t="s">
        <v>12233</v>
      </c>
      <c r="J9095" s="187">
        <f ca="1">J9093-J9094</f>
        <v>-2270242.9166666665</v>
      </c>
    </row>
    <row r="9096" spans="1:13" x14ac:dyDescent="0.3">
      <c r="A9096" s="45">
        <v>45419</v>
      </c>
      <c r="B9096" s="394" t="s">
        <v>12080</v>
      </c>
      <c r="C9096" s="186" t="s">
        <v>54</v>
      </c>
      <c r="D9096" s="186" t="s">
        <v>12746</v>
      </c>
      <c r="E9096" s="187">
        <v>194300</v>
      </c>
      <c r="F9096" s="43"/>
      <c r="G9096" s="48">
        <f t="shared" si="227"/>
        <v>108399.60159436427</v>
      </c>
      <c r="H9096" s="389" t="s">
        <v>9567</v>
      </c>
    </row>
    <row r="9097" spans="1:13" x14ac:dyDescent="0.3">
      <c r="A9097" s="45">
        <v>45419</v>
      </c>
      <c r="B9097" s="396" t="s">
        <v>25</v>
      </c>
      <c r="C9097" s="5" t="s">
        <v>25</v>
      </c>
      <c r="D9097" s="5" t="s">
        <v>11434</v>
      </c>
      <c r="E9097" s="43">
        <v>3000</v>
      </c>
      <c r="F9097" s="43"/>
      <c r="G9097" s="48">
        <f t="shared" si="227"/>
        <v>105399.60159436427</v>
      </c>
      <c r="H9097" s="389" t="s">
        <v>9567</v>
      </c>
    </row>
    <row r="9098" spans="1:13" x14ac:dyDescent="0.3">
      <c r="A9098" s="45">
        <v>45419</v>
      </c>
      <c r="B9098" s="396" t="s">
        <v>12796</v>
      </c>
      <c r="C9098" s="5" t="s">
        <v>5288</v>
      </c>
      <c r="D9098" s="5" t="s">
        <v>294</v>
      </c>
      <c r="E9098" s="43">
        <v>50000</v>
      </c>
      <c r="F9098" s="43"/>
      <c r="G9098" s="48">
        <f t="shared" si="227"/>
        <v>55399.601594364271</v>
      </c>
      <c r="H9098" s="389" t="s">
        <v>9567</v>
      </c>
    </row>
    <row r="9099" spans="1:13" x14ac:dyDescent="0.3">
      <c r="A9099" s="45">
        <v>45419</v>
      </c>
      <c r="B9099" s="396" t="s">
        <v>12611</v>
      </c>
      <c r="C9099" s="5" t="s">
        <v>11174</v>
      </c>
      <c r="D9099" s="5" t="s">
        <v>13598</v>
      </c>
      <c r="E9099" s="43">
        <v>23450</v>
      </c>
      <c r="F9099" s="43"/>
      <c r="G9099" s="48">
        <f t="shared" si="227"/>
        <v>31949.601594364271</v>
      </c>
      <c r="H9099" s="389" t="s">
        <v>9567</v>
      </c>
    </row>
    <row r="9100" spans="1:13" x14ac:dyDescent="0.3">
      <c r="A9100" s="45">
        <v>45419</v>
      </c>
      <c r="B9100" s="396" t="s">
        <v>12080</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13596</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12573</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12573</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5"/>
      <c r="C9104" s="480"/>
      <c r="D9104" s="491" t="s">
        <v>11014</v>
      </c>
      <c r="E9104" s="480"/>
      <c r="F9104" s="43">
        <v>500000</v>
      </c>
      <c r="G9104" s="48">
        <f t="shared" si="227"/>
        <v>525419.60159436427</v>
      </c>
      <c r="H9104" s="389" t="s">
        <v>9567</v>
      </c>
      <c r="L9104" s="4">
        <v>20</v>
      </c>
      <c r="M9104" s="4">
        <v>20</v>
      </c>
    </row>
    <row r="9105" spans="1:13" x14ac:dyDescent="0.3">
      <c r="A9105" s="45">
        <v>45419</v>
      </c>
      <c r="B9105" s="394" t="s">
        <v>12611</v>
      </c>
      <c r="C9105" s="186" t="s">
        <v>54</v>
      </c>
      <c r="D9105" s="186" t="s">
        <v>13164</v>
      </c>
      <c r="E9105" s="187">
        <v>490650</v>
      </c>
      <c r="F9105" s="43"/>
      <c r="G9105" s="48">
        <f t="shared" si="227"/>
        <v>34769.601594364271</v>
      </c>
      <c r="H9105" s="389" t="s">
        <v>9567</v>
      </c>
      <c r="L9105" s="4">
        <v>50</v>
      </c>
      <c r="M9105" s="4">
        <v>50</v>
      </c>
    </row>
    <row r="9106" spans="1:13" x14ac:dyDescent="0.3">
      <c r="A9106" s="45">
        <v>45419</v>
      </c>
      <c r="B9106" s="396" t="s">
        <v>13131</v>
      </c>
      <c r="C9106" s="5" t="s">
        <v>13601</v>
      </c>
      <c r="D9106" s="5" t="s">
        <v>13602</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12133</v>
      </c>
      <c r="C9107" s="186" t="s">
        <v>26</v>
      </c>
      <c r="D9107" s="5" t="s">
        <v>13487</v>
      </c>
      <c r="E9107" s="43">
        <v>1500</v>
      </c>
      <c r="F9107" s="43"/>
      <c r="G9107" s="48">
        <f t="shared" si="227"/>
        <v>18269.601594364271</v>
      </c>
      <c r="H9107" s="389" t="s">
        <v>9567</v>
      </c>
      <c r="M9107" s="4">
        <f>M9106+L9106</f>
        <v>3506.75</v>
      </c>
    </row>
    <row r="9108" spans="1:13" x14ac:dyDescent="0.3">
      <c r="A9108" s="45">
        <v>45419</v>
      </c>
      <c r="B9108" s="396" t="s">
        <v>12230</v>
      </c>
      <c r="C9108" s="5" t="s">
        <v>1616</v>
      </c>
      <c r="D9108" s="5" t="s">
        <v>13603</v>
      </c>
      <c r="E9108" s="43">
        <v>2450</v>
      </c>
      <c r="F9108" s="43"/>
      <c r="G9108" s="48">
        <f t="shared" si="227"/>
        <v>15819.601594364271</v>
      </c>
      <c r="H9108" s="389" t="s">
        <v>9567</v>
      </c>
    </row>
    <row r="9109" spans="1:13" x14ac:dyDescent="0.3">
      <c r="A9109" s="45">
        <v>45419</v>
      </c>
      <c r="B9109" s="396" t="s">
        <v>12796</v>
      </c>
      <c r="C9109" s="5" t="s">
        <v>5793</v>
      </c>
      <c r="D9109" s="5" t="s">
        <v>40</v>
      </c>
      <c r="E9109" s="43">
        <v>200</v>
      </c>
      <c r="F9109" s="43"/>
      <c r="G9109" s="48">
        <f t="shared" si="227"/>
        <v>15619.601594364271</v>
      </c>
      <c r="H9109" s="389" t="s">
        <v>9567</v>
      </c>
    </row>
    <row r="9110" spans="1:13" x14ac:dyDescent="0.3">
      <c r="A9110" s="45">
        <v>45420</v>
      </c>
      <c r="B9110" s="396" t="s">
        <v>12230</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12611</v>
      </c>
      <c r="C9112" s="5" t="s">
        <v>5793</v>
      </c>
      <c r="D9112" s="5" t="s">
        <v>13604</v>
      </c>
      <c r="E9112" s="43">
        <v>1500</v>
      </c>
      <c r="F9112" s="43"/>
      <c r="G9112" s="48">
        <f t="shared" si="227"/>
        <v>12559.601594364271</v>
      </c>
      <c r="H9112" s="389" t="s">
        <v>9567</v>
      </c>
    </row>
    <row r="9113" spans="1:13" x14ac:dyDescent="0.3">
      <c r="A9113" s="45">
        <v>45420</v>
      </c>
      <c r="B9113" s="396" t="s">
        <v>13605</v>
      </c>
      <c r="C9113" s="5" t="s">
        <v>12826</v>
      </c>
      <c r="D9113" s="5" t="s">
        <v>294</v>
      </c>
      <c r="E9113" s="43">
        <v>5000</v>
      </c>
      <c r="F9113" s="43"/>
      <c r="G9113" s="48">
        <f t="shared" si="227"/>
        <v>7559.6015943642706</v>
      </c>
      <c r="H9113" s="389" t="s">
        <v>9567</v>
      </c>
    </row>
    <row r="9114" spans="1:13" x14ac:dyDescent="0.3">
      <c r="A9114" s="45">
        <v>45420</v>
      </c>
      <c r="B9114" s="565"/>
      <c r="C9114" s="480"/>
      <c r="D9114" s="491" t="s">
        <v>4106</v>
      </c>
      <c r="E9114" s="480"/>
      <c r="F9114" s="43">
        <v>500000</v>
      </c>
      <c r="G9114" s="48">
        <f t="shared" si="227"/>
        <v>507559.60159436427</v>
      </c>
      <c r="H9114" s="389" t="s">
        <v>9567</v>
      </c>
      <c r="L9114" s="4">
        <v>20</v>
      </c>
      <c r="M9114" s="4">
        <v>20</v>
      </c>
    </row>
    <row r="9115" spans="1:13" x14ac:dyDescent="0.3">
      <c r="A9115" s="45">
        <v>45420</v>
      </c>
      <c r="B9115" s="396" t="s">
        <v>13131</v>
      </c>
      <c r="C9115" s="5" t="s">
        <v>11174</v>
      </c>
      <c r="D9115" s="5" t="s">
        <v>13606</v>
      </c>
      <c r="E9115" s="43">
        <v>17000</v>
      </c>
      <c r="F9115" s="43"/>
      <c r="G9115" s="48">
        <f t="shared" si="227"/>
        <v>490559.60159436427</v>
      </c>
      <c r="H9115" s="389" t="s">
        <v>9567</v>
      </c>
    </row>
    <row r="9116" spans="1:13" x14ac:dyDescent="0.3">
      <c r="A9116" s="45">
        <v>45420</v>
      </c>
      <c r="B9116" s="396" t="s">
        <v>13131</v>
      </c>
      <c r="C9116" s="5" t="s">
        <v>11174</v>
      </c>
      <c r="D9116" s="5" t="s">
        <v>13607</v>
      </c>
      <c r="E9116" s="43">
        <v>42000</v>
      </c>
      <c r="F9116" s="43"/>
      <c r="G9116" s="48">
        <f t="shared" si="227"/>
        <v>448559.60159436427</v>
      </c>
      <c r="H9116" s="389" t="s">
        <v>9567</v>
      </c>
    </row>
    <row r="9117" spans="1:13" x14ac:dyDescent="0.3">
      <c r="A9117" s="45">
        <v>45420</v>
      </c>
      <c r="B9117" s="396" t="s">
        <v>13131</v>
      </c>
      <c r="C9117" s="5" t="s">
        <v>11174</v>
      </c>
      <c r="D9117" s="5" t="s">
        <v>13608</v>
      </c>
      <c r="E9117" s="43">
        <v>31000</v>
      </c>
      <c r="F9117" s="43"/>
      <c r="G9117" s="48">
        <f t="shared" si="227"/>
        <v>417559.60159436427</v>
      </c>
      <c r="H9117" s="389" t="s">
        <v>9567</v>
      </c>
    </row>
    <row r="9118" spans="1:13" x14ac:dyDescent="0.3">
      <c r="A9118" s="45">
        <v>45420</v>
      </c>
      <c r="B9118" s="396" t="s">
        <v>12230</v>
      </c>
      <c r="C9118" s="5" t="s">
        <v>110</v>
      </c>
      <c r="D9118" s="5" t="s">
        <v>640</v>
      </c>
      <c r="E9118" s="43">
        <v>1500</v>
      </c>
      <c r="F9118" s="43"/>
      <c r="G9118" s="48">
        <f t="shared" si="227"/>
        <v>416059.60159436427</v>
      </c>
      <c r="H9118" s="389" t="s">
        <v>9567</v>
      </c>
    </row>
    <row r="9119" spans="1:13" x14ac:dyDescent="0.3">
      <c r="A9119" s="45">
        <v>45420</v>
      </c>
      <c r="B9119" s="394" t="s">
        <v>12135</v>
      </c>
      <c r="C9119" s="186" t="s">
        <v>54</v>
      </c>
      <c r="D9119" s="186" t="s">
        <v>12755</v>
      </c>
      <c r="E9119" s="187">
        <v>51670</v>
      </c>
      <c r="F9119" s="43"/>
      <c r="G9119" s="48">
        <f t="shared" si="227"/>
        <v>364389.60159436427</v>
      </c>
      <c r="H9119" s="389" t="s">
        <v>9567</v>
      </c>
    </row>
    <row r="9120" spans="1:13" x14ac:dyDescent="0.3">
      <c r="A9120" s="45">
        <v>45420</v>
      </c>
      <c r="B9120" s="394" t="s">
        <v>13188</v>
      </c>
      <c r="C9120" s="186" t="s">
        <v>54</v>
      </c>
      <c r="D9120" s="186" t="s">
        <v>13609</v>
      </c>
      <c r="E9120" s="187">
        <v>56000</v>
      </c>
      <c r="F9120" s="43"/>
      <c r="G9120" s="48">
        <f t="shared" si="227"/>
        <v>308389.60159436427</v>
      </c>
      <c r="H9120" s="389" t="s">
        <v>9567</v>
      </c>
    </row>
    <row r="9121" spans="1:13" x14ac:dyDescent="0.3">
      <c r="A9121" s="45">
        <v>45420</v>
      </c>
      <c r="B9121" s="394" t="s">
        <v>13188</v>
      </c>
      <c r="C9121" s="186" t="s">
        <v>54</v>
      </c>
      <c r="D9121" s="186" t="s">
        <v>12520</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13131</v>
      </c>
      <c r="C9123" s="5" t="s">
        <v>5793</v>
      </c>
      <c r="D9123" s="5" t="s">
        <v>40</v>
      </c>
      <c r="E9123" s="43">
        <v>900</v>
      </c>
      <c r="F9123" s="43"/>
      <c r="G9123" s="48">
        <f t="shared" si="227"/>
        <v>253989.60159436427</v>
      </c>
      <c r="H9123" s="389" t="s">
        <v>9567</v>
      </c>
    </row>
    <row r="9124" spans="1:13" x14ac:dyDescent="0.3">
      <c r="A9124" s="45">
        <v>45420</v>
      </c>
      <c r="B9124" s="394" t="s">
        <v>13321</v>
      </c>
      <c r="C9124" s="186" t="s">
        <v>54</v>
      </c>
      <c r="D9124" s="186" t="s">
        <v>13610</v>
      </c>
      <c r="E9124" s="187">
        <f>38170+25050+43330+30050+78420</f>
        <v>215020</v>
      </c>
      <c r="F9124" s="43"/>
      <c r="G9124" s="48">
        <f t="shared" si="227"/>
        <v>38969.601594364271</v>
      </c>
      <c r="H9124" s="389" t="s">
        <v>9567</v>
      </c>
    </row>
    <row r="9125" spans="1:13" x14ac:dyDescent="0.3">
      <c r="A9125" s="45">
        <v>45420</v>
      </c>
      <c r="B9125" s="565"/>
      <c r="C9125" s="480"/>
      <c r="D9125" s="491" t="s">
        <v>4106</v>
      </c>
      <c r="E9125" s="480"/>
      <c r="F9125" s="43">
        <v>250000</v>
      </c>
      <c r="G9125" s="48">
        <f t="shared" si="227"/>
        <v>288969.60159436427</v>
      </c>
      <c r="H9125" s="389" t="s">
        <v>9567</v>
      </c>
      <c r="L9125" s="4">
        <v>20</v>
      </c>
      <c r="M9125" s="4">
        <v>20</v>
      </c>
    </row>
    <row r="9126" spans="1:13" x14ac:dyDescent="0.3">
      <c r="A9126" s="45">
        <v>45420</v>
      </c>
      <c r="B9126" s="565"/>
      <c r="C9126" s="480"/>
      <c r="D9126" s="491" t="s">
        <v>11014</v>
      </c>
      <c r="E9126" s="480"/>
      <c r="F9126" s="43">
        <v>250000</v>
      </c>
      <c r="G9126" s="48">
        <f t="shared" si="227"/>
        <v>538969.60159436427</v>
      </c>
      <c r="H9126" s="389" t="s">
        <v>9567</v>
      </c>
      <c r="L9126" s="4">
        <v>20</v>
      </c>
      <c r="M9126" s="4">
        <v>20</v>
      </c>
    </row>
    <row r="9127" spans="1:13" x14ac:dyDescent="0.3">
      <c r="A9127" s="45">
        <v>45420</v>
      </c>
      <c r="B9127" s="394" t="s">
        <v>12046</v>
      </c>
      <c r="C9127" s="186" t="s">
        <v>54</v>
      </c>
      <c r="D9127" s="186" t="s">
        <v>13611</v>
      </c>
      <c r="E9127" s="43">
        <f>36000+32190</f>
        <v>68190</v>
      </c>
      <c r="F9127" s="43"/>
      <c r="G9127" s="48">
        <f t="shared" si="227"/>
        <v>470779.60159436427</v>
      </c>
      <c r="H9127" s="389" t="s">
        <v>9567</v>
      </c>
      <c r="I9127" s="52">
        <v>542749</v>
      </c>
    </row>
    <row r="9128" spans="1:13" x14ac:dyDescent="0.3">
      <c r="A9128" s="45">
        <v>45420</v>
      </c>
      <c r="B9128" s="396" t="s">
        <v>13188</v>
      </c>
      <c r="C9128" s="5" t="s">
        <v>11174</v>
      </c>
      <c r="D9128" s="5" t="s">
        <v>13615</v>
      </c>
      <c r="E9128" s="43">
        <v>18000</v>
      </c>
      <c r="F9128" s="43"/>
      <c r="G9128" s="48">
        <f t="shared" si="227"/>
        <v>452779.60159436427</v>
      </c>
      <c r="H9128" s="389" t="s">
        <v>9567</v>
      </c>
      <c r="I9128" s="52">
        <f>I9127*1.18</f>
        <v>640443.81999999995</v>
      </c>
    </row>
    <row r="9129" spans="1:13" x14ac:dyDescent="0.3">
      <c r="A9129" s="45">
        <v>45420</v>
      </c>
      <c r="B9129" s="394" t="s">
        <v>12611</v>
      </c>
      <c r="C9129" s="186" t="s">
        <v>54</v>
      </c>
      <c r="D9129" s="186" t="s">
        <v>13616</v>
      </c>
      <c r="E9129" s="187">
        <f>52500+72800</f>
        <v>125300</v>
      </c>
      <c r="F9129" s="43"/>
      <c r="G9129" s="48">
        <f t="shared" si="227"/>
        <v>327479.60159436427</v>
      </c>
      <c r="H9129" s="389" t="s">
        <v>9567</v>
      </c>
    </row>
    <row r="9130" spans="1:13" x14ac:dyDescent="0.3">
      <c r="A9130" s="45">
        <v>45420</v>
      </c>
      <c r="B9130" s="394" t="s">
        <v>12055</v>
      </c>
      <c r="C9130" s="186" t="s">
        <v>54</v>
      </c>
      <c r="D9130" s="186" t="s">
        <v>6236</v>
      </c>
      <c r="E9130" s="43">
        <v>148780</v>
      </c>
      <c r="F9130" s="43"/>
      <c r="G9130" s="48">
        <f t="shared" si="227"/>
        <v>178699.60159436427</v>
      </c>
      <c r="H9130" s="389" t="s">
        <v>9567</v>
      </c>
    </row>
    <row r="9131" spans="1:13" x14ac:dyDescent="0.3">
      <c r="A9131" s="45">
        <v>45420</v>
      </c>
      <c r="B9131" s="394" t="s">
        <v>12079</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11434</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12133</v>
      </c>
      <c r="C9134" s="5" t="s">
        <v>26</v>
      </c>
      <c r="D9134" s="5" t="s">
        <v>13620</v>
      </c>
      <c r="E9134" s="43">
        <v>9950</v>
      </c>
      <c r="F9134" s="43"/>
      <c r="G9134" s="48">
        <f t="shared" si="227"/>
        <v>876.6849276975845</v>
      </c>
      <c r="H9134" s="389" t="s">
        <v>9567</v>
      </c>
    </row>
    <row r="9135" spans="1:13" x14ac:dyDescent="0.3">
      <c r="A9135" s="45">
        <v>45420</v>
      </c>
      <c r="B9135" s="396" t="s">
        <v>12079</v>
      </c>
      <c r="C9135" s="5" t="s">
        <v>26</v>
      </c>
      <c r="D9135" s="5" t="s">
        <v>13621</v>
      </c>
      <c r="E9135" s="43">
        <v>700</v>
      </c>
      <c r="F9135" s="43"/>
      <c r="G9135" s="48">
        <f t="shared" si="227"/>
        <v>176.6849276975845</v>
      </c>
      <c r="H9135" s="389" t="s">
        <v>9567</v>
      </c>
    </row>
    <row r="9136" spans="1:13" x14ac:dyDescent="0.3">
      <c r="A9136" s="45">
        <v>45422</v>
      </c>
      <c r="B9136" s="565"/>
      <c r="C9136" s="480"/>
      <c r="D9136" s="491" t="s">
        <v>12269</v>
      </c>
      <c r="E9136" s="480"/>
      <c r="F9136" s="43">
        <v>100000</v>
      </c>
      <c r="G9136" s="48">
        <f t="shared" ref="G9136:G9161" si="228">G9135+F9136-E9136</f>
        <v>100176.68492769758</v>
      </c>
      <c r="H9136" s="389" t="s">
        <v>9567</v>
      </c>
      <c r="L9136" s="4">
        <v>20</v>
      </c>
      <c r="M9136" s="4">
        <v>20</v>
      </c>
    </row>
    <row r="9137" spans="1:13" x14ac:dyDescent="0.3">
      <c r="A9137" s="45">
        <v>45422</v>
      </c>
      <c r="B9137" s="394" t="s">
        <v>12055</v>
      </c>
      <c r="C9137" s="186" t="s">
        <v>54</v>
      </c>
      <c r="D9137" s="5" t="s">
        <v>13630</v>
      </c>
      <c r="E9137" s="43">
        <v>1250</v>
      </c>
      <c r="F9137" s="43"/>
      <c r="G9137" s="48">
        <f t="shared" si="228"/>
        <v>98926.684927697584</v>
      </c>
      <c r="H9137" s="389" t="s">
        <v>9567</v>
      </c>
    </row>
    <row r="9138" spans="1:13" x14ac:dyDescent="0.3">
      <c r="A9138" s="45">
        <v>45422</v>
      </c>
      <c r="B9138" s="396" t="s">
        <v>12055</v>
      </c>
      <c r="C9138" s="5" t="s">
        <v>9758</v>
      </c>
      <c r="D9138" s="5" t="s">
        <v>13638</v>
      </c>
      <c r="E9138" s="43">
        <v>24200</v>
      </c>
      <c r="F9138" s="43"/>
      <c r="G9138" s="48">
        <f t="shared" si="228"/>
        <v>74726.684927697584</v>
      </c>
      <c r="H9138" s="389" t="s">
        <v>9567</v>
      </c>
    </row>
    <row r="9139" spans="1:13" x14ac:dyDescent="0.3">
      <c r="A9139" s="45">
        <v>45422</v>
      </c>
      <c r="B9139" s="394" t="s">
        <v>12055</v>
      </c>
      <c r="C9139" s="186" t="s">
        <v>54</v>
      </c>
      <c r="D9139" s="186" t="s">
        <v>13631</v>
      </c>
      <c r="E9139" s="43">
        <v>28000</v>
      </c>
      <c r="F9139" s="43"/>
      <c r="G9139" s="48">
        <f t="shared" si="228"/>
        <v>46726.684927697584</v>
      </c>
      <c r="H9139" s="389" t="s">
        <v>9567</v>
      </c>
    </row>
    <row r="9140" spans="1:13" x14ac:dyDescent="0.3">
      <c r="A9140" s="45">
        <v>45423</v>
      </c>
      <c r="B9140" s="565"/>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13637</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11434</v>
      </c>
      <c r="E9144" s="43">
        <v>3000</v>
      </c>
      <c r="F9144" s="43"/>
      <c r="G9144" s="48">
        <f t="shared" si="228"/>
        <v>225926.68492769758</v>
      </c>
      <c r="H9144" s="389" t="s">
        <v>9567</v>
      </c>
    </row>
    <row r="9145" spans="1:13" x14ac:dyDescent="0.3">
      <c r="A9145" s="45">
        <v>45423</v>
      </c>
      <c r="B9145" s="396" t="s">
        <v>12796</v>
      </c>
      <c r="C9145" s="5" t="s">
        <v>5793</v>
      </c>
      <c r="D9145" s="5" t="s">
        <v>40</v>
      </c>
      <c r="E9145" s="43">
        <v>2200</v>
      </c>
      <c r="F9145" s="43"/>
      <c r="G9145" s="48">
        <f t="shared" si="228"/>
        <v>223726.68492769758</v>
      </c>
      <c r="H9145" s="389" t="s">
        <v>9567</v>
      </c>
    </row>
    <row r="9146" spans="1:13" x14ac:dyDescent="0.3">
      <c r="A9146" s="45">
        <v>45423</v>
      </c>
      <c r="B9146" s="565"/>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13385</v>
      </c>
      <c r="C9147" s="5" t="s">
        <v>13639</v>
      </c>
      <c r="D9147" s="5" t="s">
        <v>294</v>
      </c>
      <c r="E9147" s="43">
        <v>62550</v>
      </c>
      <c r="F9147" s="43"/>
      <c r="G9147" s="48">
        <f t="shared" si="228"/>
        <v>661176.68492769753</v>
      </c>
      <c r="H9147" s="389" t="s">
        <v>9567</v>
      </c>
      <c r="I9147" s="52">
        <v>18000</v>
      </c>
      <c r="J9147" s="52">
        <v>8000</v>
      </c>
    </row>
    <row r="9148" spans="1:13" x14ac:dyDescent="0.3">
      <c r="A9148" s="45">
        <v>45423</v>
      </c>
      <c r="B9148" s="396" t="s">
        <v>12086</v>
      </c>
      <c r="C9148" s="5" t="s">
        <v>13639</v>
      </c>
      <c r="D9148" s="5" t="s">
        <v>294</v>
      </c>
      <c r="E9148" s="43">
        <v>9500</v>
      </c>
      <c r="F9148" s="43"/>
      <c r="G9148" s="48">
        <f t="shared" si="228"/>
        <v>651676.68492769753</v>
      </c>
      <c r="H9148" s="389" t="s">
        <v>9567</v>
      </c>
      <c r="I9148" s="52">
        <v>21850</v>
      </c>
      <c r="J9148" s="52">
        <v>25000</v>
      </c>
    </row>
    <row r="9149" spans="1:13" x14ac:dyDescent="0.3">
      <c r="A9149" s="45">
        <v>45423</v>
      </c>
      <c r="B9149" s="396" t="s">
        <v>12611</v>
      </c>
      <c r="C9149" s="5" t="s">
        <v>12492</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13637</v>
      </c>
      <c r="C9150" s="5" t="s">
        <v>12492</v>
      </c>
      <c r="D9150" s="5" t="s">
        <v>294</v>
      </c>
      <c r="E9150" s="43">
        <v>53000</v>
      </c>
      <c r="F9150" s="43"/>
      <c r="G9150" s="48">
        <f t="shared" si="228"/>
        <v>583876.68492769753</v>
      </c>
      <c r="H9150" s="389" t="s">
        <v>9567</v>
      </c>
      <c r="J9150" s="52">
        <f>J9149-I9149</f>
        <v>3200</v>
      </c>
    </row>
    <row r="9151" spans="1:13" x14ac:dyDescent="0.3">
      <c r="A9151" s="45">
        <v>45423</v>
      </c>
      <c r="B9151" s="396" t="s">
        <v>13131</v>
      </c>
      <c r="C9151" s="5" t="s">
        <v>5793</v>
      </c>
      <c r="D9151" s="5" t="s">
        <v>294</v>
      </c>
      <c r="E9151" s="43">
        <v>1000</v>
      </c>
      <c r="F9151" s="43"/>
      <c r="G9151" s="48">
        <f t="shared" si="228"/>
        <v>582876.68492769753</v>
      </c>
      <c r="H9151" s="389" t="s">
        <v>9567</v>
      </c>
    </row>
    <row r="9152" spans="1:13" x14ac:dyDescent="0.3">
      <c r="A9152" s="45">
        <v>45423</v>
      </c>
      <c r="B9152" s="396" t="s">
        <v>12611</v>
      </c>
      <c r="C9152" s="5" t="s">
        <v>13641</v>
      </c>
      <c r="D9152" s="5" t="s">
        <v>13642</v>
      </c>
      <c r="E9152" s="43">
        <v>21850</v>
      </c>
      <c r="F9152" s="43"/>
      <c r="G9152" s="48">
        <f t="shared" si="228"/>
        <v>561026.68492769753</v>
      </c>
      <c r="H9152" s="389" t="s">
        <v>9567</v>
      </c>
    </row>
    <row r="9153" spans="1:13" x14ac:dyDescent="0.3">
      <c r="A9153" s="45">
        <v>45423</v>
      </c>
      <c r="B9153" s="396" t="s">
        <v>12796</v>
      </c>
      <c r="C9153" s="5" t="s">
        <v>5793</v>
      </c>
      <c r="D9153" s="5" t="s">
        <v>40</v>
      </c>
      <c r="E9153" s="43">
        <v>1800</v>
      </c>
      <c r="F9153" s="43"/>
      <c r="G9153" s="48">
        <f t="shared" si="228"/>
        <v>559226.68492769753</v>
      </c>
      <c r="H9153" s="389" t="s">
        <v>9567</v>
      </c>
      <c r="J9153" s="52">
        <v>82000</v>
      </c>
    </row>
    <row r="9154" spans="1:13" x14ac:dyDescent="0.3">
      <c r="A9154" s="45">
        <v>45423</v>
      </c>
      <c r="B9154" s="396" t="s">
        <v>12796</v>
      </c>
      <c r="C9154" s="5" t="s">
        <v>5793</v>
      </c>
      <c r="D9154" s="5" t="s">
        <v>40</v>
      </c>
      <c r="E9154" s="43">
        <v>800</v>
      </c>
      <c r="F9154" s="43"/>
      <c r="G9154" s="48">
        <f t="shared" si="228"/>
        <v>558426.68492769753</v>
      </c>
      <c r="H9154" s="389" t="s">
        <v>9567</v>
      </c>
      <c r="J9154" s="52">
        <v>2500</v>
      </c>
    </row>
    <row r="9155" spans="1:13" x14ac:dyDescent="0.3">
      <c r="A9155" s="45">
        <v>45423</v>
      </c>
      <c r="B9155" s="396" t="s">
        <v>12133</v>
      </c>
      <c r="C9155" s="5" t="s">
        <v>5162</v>
      </c>
      <c r="D9155" s="5" t="s">
        <v>13643</v>
      </c>
      <c r="E9155" s="43">
        <v>5000</v>
      </c>
      <c r="F9155" s="43"/>
      <c r="G9155" s="48">
        <f t="shared" si="228"/>
        <v>553426.68492769753</v>
      </c>
      <c r="H9155" s="389" t="s">
        <v>9567</v>
      </c>
      <c r="J9155" s="52">
        <f>J9154+J9153</f>
        <v>84500</v>
      </c>
    </row>
    <row r="9156" spans="1:13" x14ac:dyDescent="0.3">
      <c r="A9156" s="45">
        <v>45423</v>
      </c>
      <c r="B9156" s="565"/>
      <c r="C9156" s="480"/>
      <c r="D9156" s="491" t="s">
        <v>13644</v>
      </c>
      <c r="E9156" s="480"/>
      <c r="F9156" s="43">
        <v>93000</v>
      </c>
      <c r="G9156" s="48">
        <f t="shared" si="228"/>
        <v>646426.68492769753</v>
      </c>
      <c r="H9156" s="389" t="s">
        <v>9567</v>
      </c>
      <c r="L9156" s="4">
        <v>20</v>
      </c>
      <c r="M9156" s="4">
        <v>20</v>
      </c>
    </row>
    <row r="9157" spans="1:13" x14ac:dyDescent="0.3">
      <c r="A9157" s="45">
        <v>45423</v>
      </c>
      <c r="B9157" s="396" t="s">
        <v>12055</v>
      </c>
      <c r="C9157" s="5" t="s">
        <v>13645</v>
      </c>
      <c r="D9157" s="5" t="s">
        <v>13646</v>
      </c>
      <c r="E9157" s="43">
        <v>84500</v>
      </c>
      <c r="F9157" s="43"/>
      <c r="G9157" s="48">
        <f t="shared" si="228"/>
        <v>561926.68492769753</v>
      </c>
      <c r="H9157" s="389" t="s">
        <v>9567</v>
      </c>
      <c r="J9157" s="52">
        <v>93000</v>
      </c>
    </row>
    <row r="9158" spans="1:13" x14ac:dyDescent="0.3">
      <c r="A9158" s="45">
        <v>45423</v>
      </c>
      <c r="B9158" s="396" t="s">
        <v>12796</v>
      </c>
      <c r="C9158" s="5" t="s">
        <v>10961</v>
      </c>
      <c r="D9158" s="5" t="s">
        <v>582</v>
      </c>
      <c r="E9158" s="43">
        <v>135900</v>
      </c>
      <c r="F9158" s="43"/>
      <c r="G9158" s="48">
        <f t="shared" si="228"/>
        <v>426026.68492769753</v>
      </c>
      <c r="H9158" s="389" t="s">
        <v>9567</v>
      </c>
      <c r="J9158" s="52">
        <f>J9157-J9155</f>
        <v>8500</v>
      </c>
    </row>
    <row r="9159" spans="1:13" x14ac:dyDescent="0.3">
      <c r="A9159" s="45">
        <v>45425</v>
      </c>
      <c r="B9159" s="565"/>
      <c r="C9159" s="480"/>
      <c r="D9159" s="491" t="s">
        <v>13647</v>
      </c>
      <c r="E9159" s="480"/>
      <c r="F9159" s="43">
        <v>200000</v>
      </c>
      <c r="G9159" s="48">
        <f t="shared" si="228"/>
        <v>626026.68492769753</v>
      </c>
      <c r="H9159" s="389" t="s">
        <v>9567</v>
      </c>
      <c r="L9159" s="4">
        <v>20</v>
      </c>
      <c r="M9159" s="4">
        <v>20</v>
      </c>
    </row>
    <row r="9160" spans="1:13" x14ac:dyDescent="0.3">
      <c r="A9160" s="45">
        <v>45425</v>
      </c>
      <c r="B9160" s="396" t="s">
        <v>12796</v>
      </c>
      <c r="C9160" s="5" t="s">
        <v>13648</v>
      </c>
      <c r="D9160" s="5" t="s">
        <v>13652</v>
      </c>
      <c r="E9160" s="43">
        <v>238800</v>
      </c>
      <c r="F9160" s="43"/>
      <c r="G9160" s="48">
        <f t="shared" si="228"/>
        <v>387226.68492769753</v>
      </c>
      <c r="H9160" s="389" t="s">
        <v>9567</v>
      </c>
    </row>
    <row r="9161" spans="1:13" x14ac:dyDescent="0.3">
      <c r="A9161" s="45">
        <v>45425</v>
      </c>
      <c r="B9161" s="396"/>
      <c r="C9161" s="5" t="s">
        <v>14</v>
      </c>
      <c r="D9161" s="5" t="s">
        <v>12215</v>
      </c>
      <c r="E9161" s="43">
        <v>19682</v>
      </c>
      <c r="F9161" s="43"/>
      <c r="G9161" s="48">
        <f t="shared" si="228"/>
        <v>367544.68492769753</v>
      </c>
      <c r="H9161" s="389" t="s">
        <v>9567</v>
      </c>
    </row>
    <row r="9162" spans="1:13" x14ac:dyDescent="0.3">
      <c r="A9162" s="45">
        <v>45425</v>
      </c>
      <c r="B9162" s="396" t="s">
        <v>25</v>
      </c>
      <c r="C9162" s="5" t="s">
        <v>13649</v>
      </c>
      <c r="D9162" s="5" t="s">
        <v>13650</v>
      </c>
      <c r="E9162" s="43">
        <v>2000</v>
      </c>
      <c r="F9162" s="43"/>
      <c r="G9162" s="48">
        <f t="shared" ref="G9162:G9225" si="229">G9161+F9162-E9162</f>
        <v>365544.68492769753</v>
      </c>
      <c r="H9162" s="389" t="s">
        <v>9567</v>
      </c>
    </row>
    <row r="9163" spans="1:13" x14ac:dyDescent="0.3">
      <c r="A9163" s="45">
        <v>45425</v>
      </c>
      <c r="B9163" s="396" t="s">
        <v>12796</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11434</v>
      </c>
      <c r="E9164" s="43">
        <v>3000</v>
      </c>
      <c r="F9164" s="43"/>
      <c r="G9164" s="48">
        <f t="shared" si="229"/>
        <v>361784.68492769753</v>
      </c>
      <c r="H9164" s="389" t="s">
        <v>9567</v>
      </c>
    </row>
    <row r="9165" spans="1:13" x14ac:dyDescent="0.3">
      <c r="A9165" s="45">
        <v>45425</v>
      </c>
      <c r="B9165" s="396" t="s">
        <v>12611</v>
      </c>
      <c r="C9165" s="5" t="s">
        <v>5793</v>
      </c>
      <c r="D9165" s="5" t="s">
        <v>40</v>
      </c>
      <c r="E9165" s="43">
        <v>900</v>
      </c>
      <c r="F9165" s="43"/>
      <c r="G9165" s="48">
        <f t="shared" si="229"/>
        <v>360884.68492769753</v>
      </c>
      <c r="H9165" s="389" t="s">
        <v>9567</v>
      </c>
    </row>
    <row r="9166" spans="1:13" x14ac:dyDescent="0.3">
      <c r="A9166" s="45">
        <v>45425</v>
      </c>
      <c r="B9166" s="396" t="s">
        <v>12133</v>
      </c>
      <c r="C9166" s="5" t="s">
        <v>13233</v>
      </c>
      <c r="D9166" s="5" t="s">
        <v>294</v>
      </c>
      <c r="E9166" s="43">
        <v>20000</v>
      </c>
      <c r="F9166" s="43"/>
      <c r="G9166" s="48">
        <f t="shared" si="229"/>
        <v>340884.68492769753</v>
      </c>
      <c r="H9166" s="389" t="s">
        <v>9567</v>
      </c>
    </row>
    <row r="9167" spans="1:13" x14ac:dyDescent="0.3">
      <c r="A9167" s="45">
        <v>45425</v>
      </c>
      <c r="B9167" s="396" t="s">
        <v>12796</v>
      </c>
      <c r="C9167" s="5" t="s">
        <v>5793</v>
      </c>
      <c r="D9167" s="5" t="s">
        <v>40</v>
      </c>
      <c r="E9167" s="43">
        <v>3000</v>
      </c>
      <c r="F9167" s="43"/>
      <c r="G9167" s="48">
        <f t="shared" si="229"/>
        <v>337884.68492769753</v>
      </c>
      <c r="H9167" s="389" t="s">
        <v>9567</v>
      </c>
    </row>
    <row r="9168" spans="1:13" x14ac:dyDescent="0.3">
      <c r="A9168" s="45">
        <v>45425</v>
      </c>
      <c r="B9168" s="396" t="s">
        <v>12611</v>
      </c>
      <c r="C9168" s="5" t="s">
        <v>6430</v>
      </c>
      <c r="D9168" s="5" t="s">
        <v>13653</v>
      </c>
      <c r="E9168" s="43">
        <v>5000</v>
      </c>
      <c r="F9168" s="43"/>
      <c r="G9168" s="48">
        <f t="shared" si="229"/>
        <v>332884.68492769753</v>
      </c>
      <c r="H9168" s="389" t="s">
        <v>9567</v>
      </c>
    </row>
    <row r="9169" spans="1:8" x14ac:dyDescent="0.3">
      <c r="A9169" s="45">
        <v>45426</v>
      </c>
      <c r="B9169" s="396" t="s">
        <v>13654</v>
      </c>
      <c r="C9169" s="5" t="s">
        <v>11174</v>
      </c>
      <c r="D9169" s="5" t="s">
        <v>13655</v>
      </c>
      <c r="E9169" s="43">
        <v>2250</v>
      </c>
      <c r="F9169" s="43"/>
      <c r="G9169" s="48">
        <f t="shared" si="229"/>
        <v>330634.68492769753</v>
      </c>
      <c r="H9169" s="389" t="s">
        <v>9567</v>
      </c>
    </row>
    <row r="9170" spans="1:8" x14ac:dyDescent="0.3">
      <c r="A9170" s="45">
        <v>45426</v>
      </c>
      <c r="B9170" s="396" t="s">
        <v>12045</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11434</v>
      </c>
      <c r="E9171" s="43">
        <v>3000</v>
      </c>
      <c r="F9171" s="43"/>
      <c r="G9171" s="48">
        <f t="shared" si="229"/>
        <v>326934.68492769753</v>
      </c>
      <c r="H9171" s="389" t="s">
        <v>9567</v>
      </c>
    </row>
    <row r="9172" spans="1:8" x14ac:dyDescent="0.3">
      <c r="A9172" s="45">
        <v>45426</v>
      </c>
      <c r="B9172" s="396" t="s">
        <v>13321</v>
      </c>
      <c r="C9172" s="5" t="s">
        <v>13658</v>
      </c>
      <c r="D9172" s="5" t="s">
        <v>13659</v>
      </c>
      <c r="E9172" s="43">
        <v>10000</v>
      </c>
      <c r="F9172" s="43"/>
      <c r="G9172" s="48">
        <f t="shared" si="229"/>
        <v>316934.68492769753</v>
      </c>
      <c r="H9172" s="389" t="s">
        <v>9567</v>
      </c>
    </row>
    <row r="9173" spans="1:8" x14ac:dyDescent="0.3">
      <c r="A9173" s="45">
        <v>45426</v>
      </c>
      <c r="B9173" s="396" t="s">
        <v>12796</v>
      </c>
      <c r="C9173" s="5" t="s">
        <v>11174</v>
      </c>
      <c r="D9173" s="5" t="s">
        <v>13660</v>
      </c>
      <c r="E9173" s="43">
        <v>1260</v>
      </c>
      <c r="F9173" s="43"/>
      <c r="G9173" s="48">
        <f t="shared" si="229"/>
        <v>315674.68492769753</v>
      </c>
      <c r="H9173" s="389" t="s">
        <v>9567</v>
      </c>
    </row>
    <row r="9174" spans="1:8" x14ac:dyDescent="0.3">
      <c r="A9174" s="45">
        <v>45426</v>
      </c>
      <c r="B9174" s="396" t="s">
        <v>10319</v>
      </c>
      <c r="C9174" s="5" t="s">
        <v>7737</v>
      </c>
      <c r="D9174" s="5" t="s">
        <v>13661</v>
      </c>
      <c r="E9174" s="43">
        <v>14000</v>
      </c>
      <c r="F9174" s="43"/>
      <c r="G9174" s="48">
        <f t="shared" si="229"/>
        <v>301674.68492769753</v>
      </c>
      <c r="H9174" s="389" t="s">
        <v>9567</v>
      </c>
    </row>
    <row r="9175" spans="1:8" x14ac:dyDescent="0.3">
      <c r="A9175" s="45">
        <v>45426</v>
      </c>
      <c r="B9175" s="396" t="s">
        <v>13131</v>
      </c>
      <c r="C9175" s="5" t="s">
        <v>12154</v>
      </c>
      <c r="D9175" s="5" t="s">
        <v>13662</v>
      </c>
      <c r="E9175" s="43">
        <v>33000</v>
      </c>
      <c r="F9175" s="43"/>
      <c r="G9175" s="48">
        <f t="shared" si="229"/>
        <v>268674.68492769753</v>
      </c>
      <c r="H9175" s="389" t="s">
        <v>9567</v>
      </c>
    </row>
    <row r="9176" spans="1:8" x14ac:dyDescent="0.3">
      <c r="A9176" s="45">
        <v>45426</v>
      </c>
      <c r="B9176" s="396" t="s">
        <v>12611</v>
      </c>
      <c r="C9176" s="5" t="s">
        <v>84</v>
      </c>
      <c r="D9176" s="5" t="s">
        <v>13663</v>
      </c>
      <c r="E9176" s="43">
        <v>15000</v>
      </c>
      <c r="F9176" s="43"/>
      <c r="G9176" s="48">
        <f t="shared" si="229"/>
        <v>253674.68492769753</v>
      </c>
      <c r="H9176" s="389" t="s">
        <v>9567</v>
      </c>
    </row>
    <row r="9177" spans="1:8" x14ac:dyDescent="0.3">
      <c r="A9177" s="45">
        <v>45426</v>
      </c>
      <c r="B9177" s="396" t="s">
        <v>12611</v>
      </c>
      <c r="C9177" s="5" t="s">
        <v>11174</v>
      </c>
      <c r="D9177" s="5" t="s">
        <v>13664</v>
      </c>
      <c r="E9177" s="43">
        <v>1500</v>
      </c>
      <c r="F9177" s="43"/>
      <c r="G9177" s="48">
        <f t="shared" si="229"/>
        <v>252174.68492769753</v>
      </c>
      <c r="H9177" s="389" t="s">
        <v>9567</v>
      </c>
    </row>
    <row r="9178" spans="1:8" x14ac:dyDescent="0.3">
      <c r="A9178" s="45">
        <v>45426</v>
      </c>
      <c r="B9178" s="396" t="s">
        <v>12133</v>
      </c>
      <c r="C9178" s="5" t="s">
        <v>11174</v>
      </c>
      <c r="D9178" s="5" t="s">
        <v>13665</v>
      </c>
      <c r="E9178" s="43">
        <v>1960</v>
      </c>
      <c r="F9178" s="43"/>
      <c r="G9178" s="48">
        <f t="shared" si="229"/>
        <v>250214.68492769753</v>
      </c>
      <c r="H9178" s="389" t="s">
        <v>9567</v>
      </c>
    </row>
    <row r="9179" spans="1:8" x14ac:dyDescent="0.3">
      <c r="A9179" s="45">
        <v>45426</v>
      </c>
      <c r="B9179" s="396" t="s">
        <v>12796</v>
      </c>
      <c r="C9179" s="5" t="s">
        <v>11174</v>
      </c>
      <c r="D9179" s="5" t="s">
        <v>13666</v>
      </c>
      <c r="E9179" s="43">
        <v>4930</v>
      </c>
      <c r="F9179" s="43"/>
      <c r="G9179" s="48">
        <f t="shared" si="229"/>
        <v>245284.68492769753</v>
      </c>
      <c r="H9179" s="389" t="s">
        <v>9567</v>
      </c>
    </row>
    <row r="9180" spans="1:8" x14ac:dyDescent="0.3">
      <c r="A9180" s="45">
        <v>45426</v>
      </c>
      <c r="B9180" s="396" t="s">
        <v>12796</v>
      </c>
      <c r="C9180" s="5" t="s">
        <v>26</v>
      </c>
      <c r="D9180" s="5" t="s">
        <v>13667</v>
      </c>
      <c r="E9180" s="43">
        <v>6650</v>
      </c>
      <c r="F9180" s="43"/>
      <c r="G9180" s="48">
        <f t="shared" si="229"/>
        <v>238634.68492769753</v>
      </c>
      <c r="H9180" s="389" t="s">
        <v>9567</v>
      </c>
    </row>
    <row r="9181" spans="1:8" x14ac:dyDescent="0.3">
      <c r="A9181" s="45">
        <v>45427</v>
      </c>
      <c r="B9181" s="396" t="s">
        <v>12611</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11434</v>
      </c>
      <c r="E9182" s="43">
        <v>3000</v>
      </c>
      <c r="F9182" s="43"/>
      <c r="G9182" s="48">
        <f t="shared" si="229"/>
        <v>230134.68492769753</v>
      </c>
      <c r="H9182" s="389" t="s">
        <v>9567</v>
      </c>
    </row>
    <row r="9183" spans="1:8" x14ac:dyDescent="0.3">
      <c r="A9183" s="45">
        <v>45427</v>
      </c>
      <c r="B9183" s="396" t="s">
        <v>12796</v>
      </c>
      <c r="C9183" s="5" t="s">
        <v>11174</v>
      </c>
      <c r="D9183" s="5" t="s">
        <v>13668</v>
      </c>
      <c r="E9183" s="43">
        <v>19700</v>
      </c>
      <c r="F9183" s="43"/>
      <c r="G9183" s="48">
        <f t="shared" si="229"/>
        <v>210434.68492769753</v>
      </c>
      <c r="H9183" s="389" t="s">
        <v>9567</v>
      </c>
    </row>
    <row r="9184" spans="1:8" x14ac:dyDescent="0.3">
      <c r="A9184" s="45">
        <v>45427</v>
      </c>
      <c r="B9184" s="396" t="s">
        <v>12796</v>
      </c>
      <c r="C9184" s="5" t="s">
        <v>18</v>
      </c>
      <c r="D9184" s="5" t="s">
        <v>294</v>
      </c>
      <c r="E9184" s="43">
        <v>10000</v>
      </c>
      <c r="F9184" s="43"/>
      <c r="G9184" s="48">
        <f t="shared" si="229"/>
        <v>200434.68492769753</v>
      </c>
      <c r="H9184" s="389" t="s">
        <v>9567</v>
      </c>
    </row>
    <row r="9185" spans="1:8" x14ac:dyDescent="0.3">
      <c r="A9185" s="45">
        <v>45427</v>
      </c>
      <c r="B9185" s="396" t="s">
        <v>13551</v>
      </c>
      <c r="C9185" s="5" t="s">
        <v>5793</v>
      </c>
      <c r="D9185" s="5" t="s">
        <v>40</v>
      </c>
      <c r="E9185" s="43">
        <v>500</v>
      </c>
      <c r="F9185" s="43"/>
      <c r="G9185" s="48">
        <f t="shared" si="229"/>
        <v>199934.68492769753</v>
      </c>
      <c r="H9185" s="389" t="s">
        <v>9567</v>
      </c>
    </row>
    <row r="9186" spans="1:8" x14ac:dyDescent="0.3">
      <c r="A9186" s="45">
        <v>45427</v>
      </c>
      <c r="B9186" s="396" t="s">
        <v>13188</v>
      </c>
      <c r="C9186" s="5" t="s">
        <v>5793</v>
      </c>
      <c r="D9186" s="5" t="s">
        <v>13669</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13188</v>
      </c>
      <c r="C9188" s="5" t="s">
        <v>5793</v>
      </c>
      <c r="D9188" s="5" t="s">
        <v>10907</v>
      </c>
      <c r="E9188" s="43">
        <v>2000</v>
      </c>
      <c r="F9188" s="43"/>
      <c r="G9188" s="48">
        <f t="shared" si="229"/>
        <v>185934.68492769753</v>
      </c>
      <c r="H9188" s="389" t="s">
        <v>9567</v>
      </c>
    </row>
    <row r="9189" spans="1:8" x14ac:dyDescent="0.3">
      <c r="A9189" s="45">
        <v>45428</v>
      </c>
      <c r="B9189" s="396" t="s">
        <v>13427</v>
      </c>
      <c r="C9189" s="5" t="s">
        <v>12826</v>
      </c>
      <c r="D9189" s="5" t="s">
        <v>582</v>
      </c>
      <c r="E9189" s="43">
        <v>10000</v>
      </c>
      <c r="F9189" s="43"/>
      <c r="G9189" s="48">
        <f t="shared" si="229"/>
        <v>175934.68492769753</v>
      </c>
      <c r="H9189" s="389" t="s">
        <v>9567</v>
      </c>
    </row>
    <row r="9190" spans="1:8" x14ac:dyDescent="0.3">
      <c r="A9190" s="45">
        <v>45428</v>
      </c>
      <c r="B9190" s="396"/>
      <c r="C9190" s="5" t="s">
        <v>4550</v>
      </c>
      <c r="D9190" s="5" t="s">
        <v>13672</v>
      </c>
      <c r="E9190" s="43">
        <v>15000</v>
      </c>
      <c r="F9190" s="43"/>
      <c r="G9190" s="48">
        <f t="shared" si="229"/>
        <v>160934.68492769753</v>
      </c>
      <c r="H9190" s="389" t="s">
        <v>9567</v>
      </c>
    </row>
    <row r="9191" spans="1:8" x14ac:dyDescent="0.3">
      <c r="A9191" s="45">
        <v>45428</v>
      </c>
      <c r="B9191" s="396" t="s">
        <v>12796</v>
      </c>
      <c r="C9191" s="5" t="s">
        <v>30</v>
      </c>
      <c r="D9191" s="5" t="s">
        <v>10637</v>
      </c>
      <c r="E9191" s="43">
        <v>1000</v>
      </c>
      <c r="F9191" s="43"/>
      <c r="G9191" s="48">
        <f t="shared" si="229"/>
        <v>159934.68492769753</v>
      </c>
      <c r="H9191" s="389" t="s">
        <v>9567</v>
      </c>
    </row>
    <row r="9192" spans="1:8" x14ac:dyDescent="0.3">
      <c r="A9192" s="45">
        <v>45428</v>
      </c>
      <c r="B9192" s="396" t="s">
        <v>13321</v>
      </c>
      <c r="C9192" s="5" t="s">
        <v>10773</v>
      </c>
      <c r="D9192" s="5" t="s">
        <v>294</v>
      </c>
      <c r="E9192" s="43">
        <v>35000</v>
      </c>
      <c r="F9192" s="43"/>
      <c r="G9192" s="48">
        <f t="shared" si="229"/>
        <v>124934.68492769753</v>
      </c>
      <c r="H9192" s="389" t="s">
        <v>9567</v>
      </c>
    </row>
    <row r="9193" spans="1:8" x14ac:dyDescent="0.3">
      <c r="A9193" s="45">
        <v>45428</v>
      </c>
      <c r="B9193" s="396" t="s">
        <v>12133</v>
      </c>
      <c r="C9193" s="5" t="s">
        <v>13233</v>
      </c>
      <c r="D9193" s="5" t="s">
        <v>294</v>
      </c>
      <c r="E9193" s="43">
        <v>20000</v>
      </c>
      <c r="F9193" s="43"/>
      <c r="G9193" s="48">
        <f t="shared" si="229"/>
        <v>104934.68492769753</v>
      </c>
      <c r="H9193" s="389" t="s">
        <v>9567</v>
      </c>
    </row>
    <row r="9194" spans="1:8" x14ac:dyDescent="0.3">
      <c r="A9194" s="45">
        <v>45428</v>
      </c>
      <c r="B9194" s="396" t="s">
        <v>13188</v>
      </c>
      <c r="C9194" s="5" t="s">
        <v>11174</v>
      </c>
      <c r="D9194" s="5" t="s">
        <v>13673</v>
      </c>
      <c r="E9194" s="43">
        <v>25600</v>
      </c>
      <c r="F9194" s="43"/>
      <c r="G9194" s="48">
        <f t="shared" si="229"/>
        <v>79334.684927697526</v>
      </c>
      <c r="H9194" s="389" t="s">
        <v>9567</v>
      </c>
    </row>
    <row r="9195" spans="1:8" x14ac:dyDescent="0.3">
      <c r="A9195" s="45">
        <v>45428</v>
      </c>
      <c r="B9195" s="396" t="s">
        <v>13654</v>
      </c>
      <c r="C9195" s="5" t="s">
        <v>5793</v>
      </c>
      <c r="D9195" s="5" t="s">
        <v>294</v>
      </c>
      <c r="E9195" s="43">
        <v>300</v>
      </c>
      <c r="F9195" s="43"/>
      <c r="G9195" s="48">
        <f t="shared" si="229"/>
        <v>79034.684927697526</v>
      </c>
      <c r="H9195" s="389" t="s">
        <v>9567</v>
      </c>
    </row>
    <row r="9196" spans="1:8" x14ac:dyDescent="0.3">
      <c r="A9196" s="45">
        <v>45428</v>
      </c>
      <c r="B9196" s="396" t="s">
        <v>12796</v>
      </c>
      <c r="C9196" s="5" t="s">
        <v>11174</v>
      </c>
      <c r="D9196" s="5" t="s">
        <v>13695</v>
      </c>
      <c r="E9196" s="43">
        <v>10000</v>
      </c>
      <c r="F9196" s="43"/>
      <c r="G9196" s="48">
        <f t="shared" si="229"/>
        <v>69034.684927697526</v>
      </c>
      <c r="H9196" s="389" t="s">
        <v>9567</v>
      </c>
    </row>
    <row r="9197" spans="1:8" x14ac:dyDescent="0.3">
      <c r="A9197" s="45">
        <v>45428</v>
      </c>
      <c r="B9197" s="396" t="s">
        <v>13188</v>
      </c>
      <c r="C9197" s="5" t="s">
        <v>5793</v>
      </c>
      <c r="D9197" s="5" t="s">
        <v>10907</v>
      </c>
      <c r="E9197" s="43">
        <v>2000</v>
      </c>
      <c r="F9197" s="43"/>
      <c r="G9197" s="48">
        <f t="shared" si="229"/>
        <v>67034.684927697526</v>
      </c>
      <c r="H9197" s="389" t="s">
        <v>9567</v>
      </c>
    </row>
    <row r="9198" spans="1:8" x14ac:dyDescent="0.3">
      <c r="A9198" s="45">
        <v>45428</v>
      </c>
      <c r="B9198" s="396" t="s">
        <v>13605</v>
      </c>
      <c r="C9198" s="5" t="s">
        <v>11174</v>
      </c>
      <c r="D9198" s="5" t="s">
        <v>13674</v>
      </c>
      <c r="E9198" s="43">
        <v>23500</v>
      </c>
      <c r="F9198" s="43"/>
      <c r="G9198" s="48">
        <f t="shared" si="229"/>
        <v>43534.684927697526</v>
      </c>
      <c r="H9198" s="389" t="s">
        <v>9567</v>
      </c>
    </row>
    <row r="9199" spans="1:8" x14ac:dyDescent="0.3">
      <c r="A9199" s="45">
        <v>45429</v>
      </c>
      <c r="B9199" s="396" t="s">
        <v>25</v>
      </c>
      <c r="C9199" s="5" t="s">
        <v>25</v>
      </c>
      <c r="D9199" s="5" t="s">
        <v>11434</v>
      </c>
      <c r="E9199" s="43">
        <v>3000</v>
      </c>
      <c r="F9199" s="43"/>
      <c r="G9199" s="48">
        <f t="shared" si="229"/>
        <v>40534.684927697526</v>
      </c>
      <c r="H9199" s="389" t="s">
        <v>9567</v>
      </c>
    </row>
    <row r="9200" spans="1:8" x14ac:dyDescent="0.3">
      <c r="A9200" s="45">
        <v>45429</v>
      </c>
      <c r="B9200" s="396" t="s">
        <v>12079</v>
      </c>
      <c r="C9200" s="5"/>
      <c r="D9200" s="5" t="s">
        <v>13681</v>
      </c>
      <c r="E9200" s="43">
        <v>15000</v>
      </c>
      <c r="F9200" s="43"/>
      <c r="G9200" s="48">
        <f t="shared" si="229"/>
        <v>25534.684927697526</v>
      </c>
      <c r="H9200" s="389" t="s">
        <v>9567</v>
      </c>
    </row>
    <row r="9201" spans="1:13" x14ac:dyDescent="0.3">
      <c r="A9201" s="45">
        <v>45429</v>
      </c>
      <c r="B9201" s="396" t="s">
        <v>13138</v>
      </c>
      <c r="C9201" s="5" t="s">
        <v>84</v>
      </c>
      <c r="D9201" s="5" t="s">
        <v>13680</v>
      </c>
      <c r="E9201" s="43">
        <v>10000</v>
      </c>
      <c r="F9201" s="43"/>
      <c r="G9201" s="48">
        <f t="shared" si="229"/>
        <v>15534.684927697526</v>
      </c>
      <c r="H9201" s="389" t="s">
        <v>9567</v>
      </c>
    </row>
    <row r="9202" spans="1:13" x14ac:dyDescent="0.3">
      <c r="A9202" s="45">
        <v>45429</v>
      </c>
      <c r="B9202" s="396" t="s">
        <v>13138</v>
      </c>
      <c r="C9202" s="5" t="s">
        <v>3618</v>
      </c>
      <c r="D9202" s="5" t="s">
        <v>13696</v>
      </c>
      <c r="E9202" s="43">
        <v>5000</v>
      </c>
      <c r="F9202" s="43"/>
      <c r="G9202" s="48">
        <f t="shared" si="229"/>
        <v>10534.684927697526</v>
      </c>
      <c r="H9202" s="389" t="s">
        <v>9567</v>
      </c>
    </row>
    <row r="9203" spans="1:13" x14ac:dyDescent="0.3">
      <c r="A9203" s="45">
        <v>45429</v>
      </c>
      <c r="B9203" s="396" t="s">
        <v>13188</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11434</v>
      </c>
      <c r="E9204" s="43">
        <v>3000</v>
      </c>
      <c r="F9204" s="43"/>
      <c r="G9204" s="48">
        <f t="shared" si="229"/>
        <v>4534.6849276975263</v>
      </c>
      <c r="H9204" s="389" t="s">
        <v>9567</v>
      </c>
    </row>
    <row r="9205" spans="1:13" x14ac:dyDescent="0.3">
      <c r="A9205" s="45">
        <v>45430</v>
      </c>
      <c r="B9205" s="565"/>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13188</v>
      </c>
      <c r="C9206" s="5" t="s">
        <v>11174</v>
      </c>
      <c r="D9206" s="5" t="s">
        <v>13685</v>
      </c>
      <c r="E9206" s="43">
        <v>35400</v>
      </c>
      <c r="F9206" s="43"/>
      <c r="G9206" s="48">
        <f t="shared" si="229"/>
        <v>119134.68492769753</v>
      </c>
      <c r="H9206" s="389" t="s">
        <v>9567</v>
      </c>
    </row>
    <row r="9207" spans="1:13" x14ac:dyDescent="0.3">
      <c r="A9207" s="45">
        <v>45430</v>
      </c>
      <c r="B9207" s="396" t="s">
        <v>13385</v>
      </c>
      <c r="C9207" s="5" t="s">
        <v>4055</v>
      </c>
      <c r="D9207" s="5" t="s">
        <v>13686</v>
      </c>
      <c r="E9207" s="43">
        <v>100000</v>
      </c>
      <c r="F9207" s="43"/>
      <c r="G9207" s="48">
        <f t="shared" si="229"/>
        <v>19134.684927697526</v>
      </c>
      <c r="H9207" s="389" t="s">
        <v>9567</v>
      </c>
    </row>
    <row r="9208" spans="1:13" x14ac:dyDescent="0.3">
      <c r="A9208" s="45">
        <v>45430</v>
      </c>
      <c r="B9208" s="396" t="s">
        <v>13385</v>
      </c>
      <c r="C9208" s="5" t="s">
        <v>26</v>
      </c>
      <c r="D9208" s="5" t="s">
        <v>13687</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12796</v>
      </c>
      <c r="C9210" s="5" t="s">
        <v>84</v>
      </c>
      <c r="D9210" s="5" t="s">
        <v>13688</v>
      </c>
      <c r="E9210" s="43">
        <v>2000</v>
      </c>
      <c r="F9210" s="43"/>
      <c r="G9210" s="48">
        <f t="shared" si="229"/>
        <v>13134.684927697526</v>
      </c>
      <c r="H9210" s="389" t="s">
        <v>9567</v>
      </c>
    </row>
    <row r="9211" spans="1:13" x14ac:dyDescent="0.3">
      <c r="A9211" s="45">
        <v>45430</v>
      </c>
      <c r="B9211" s="396" t="s">
        <v>12133</v>
      </c>
      <c r="C9211" s="5" t="s">
        <v>84</v>
      </c>
      <c r="D9211" s="5" t="s">
        <v>13689</v>
      </c>
      <c r="E9211" s="43">
        <v>3000</v>
      </c>
      <c r="F9211" s="43"/>
      <c r="G9211" s="48">
        <f t="shared" si="229"/>
        <v>10134.684927697526</v>
      </c>
      <c r="H9211" s="389" t="s">
        <v>9567</v>
      </c>
    </row>
    <row r="9212" spans="1:13" x14ac:dyDescent="0.3">
      <c r="A9212" s="45">
        <v>45430</v>
      </c>
      <c r="B9212" s="396" t="s">
        <v>12611</v>
      </c>
      <c r="C9212" s="5" t="s">
        <v>5793</v>
      </c>
      <c r="D9212" s="5" t="s">
        <v>13690</v>
      </c>
      <c r="E9212" s="43">
        <v>3700</v>
      </c>
      <c r="F9212" s="43"/>
      <c r="G9212" s="48">
        <f t="shared" si="229"/>
        <v>6434.6849276975263</v>
      </c>
      <c r="H9212" s="389" t="s">
        <v>9567</v>
      </c>
    </row>
    <row r="9213" spans="1:13" x14ac:dyDescent="0.3">
      <c r="A9213" s="45">
        <v>45432</v>
      </c>
      <c r="B9213" s="396" t="s">
        <v>13321</v>
      </c>
      <c r="C9213" s="5" t="s">
        <v>7040</v>
      </c>
      <c r="D9213" s="5" t="s">
        <v>294</v>
      </c>
      <c r="E9213" s="43">
        <v>2000</v>
      </c>
      <c r="F9213" s="43"/>
      <c r="G9213" s="48">
        <f t="shared" si="229"/>
        <v>4434.6849276975263</v>
      </c>
      <c r="H9213" s="389" t="s">
        <v>9567</v>
      </c>
    </row>
    <row r="9214" spans="1:13" x14ac:dyDescent="0.3">
      <c r="A9214" s="45">
        <v>45432</v>
      </c>
      <c r="B9214" s="396" t="s">
        <v>13385</v>
      </c>
      <c r="C9214" s="5" t="s">
        <v>5793</v>
      </c>
      <c r="D9214" s="5" t="s">
        <v>2726</v>
      </c>
      <c r="E9214" s="43">
        <v>2000</v>
      </c>
      <c r="F9214" s="43"/>
      <c r="G9214" s="48">
        <f t="shared" si="229"/>
        <v>2434.6849276975263</v>
      </c>
      <c r="H9214" s="389" t="s">
        <v>9567</v>
      </c>
    </row>
    <row r="9215" spans="1:13" x14ac:dyDescent="0.3">
      <c r="A9215" s="45">
        <v>45432</v>
      </c>
      <c r="B9215" s="565"/>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11434</v>
      </c>
      <c r="E9217" s="43">
        <v>5000</v>
      </c>
      <c r="F9217" s="43"/>
      <c r="G9217" s="48">
        <f t="shared" si="229"/>
        <v>232434.68492769753</v>
      </c>
      <c r="H9217" s="389" t="s">
        <v>9567</v>
      </c>
    </row>
    <row r="9218" spans="1:8" x14ac:dyDescent="0.3">
      <c r="A9218" s="45">
        <v>45432</v>
      </c>
      <c r="B9218" s="396" t="s">
        <v>12133</v>
      </c>
      <c r="C9218" s="5" t="s">
        <v>11174</v>
      </c>
      <c r="D9218" s="5" t="s">
        <v>13692</v>
      </c>
      <c r="E9218" s="43">
        <v>6000</v>
      </c>
      <c r="F9218" s="43"/>
      <c r="G9218" s="48">
        <f t="shared" si="229"/>
        <v>226434.68492769753</v>
      </c>
      <c r="H9218" s="389" t="s">
        <v>9567</v>
      </c>
    </row>
    <row r="9219" spans="1:8" x14ac:dyDescent="0.3">
      <c r="A9219" s="45">
        <v>45432</v>
      </c>
      <c r="B9219" s="396" t="s">
        <v>12230</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13694</v>
      </c>
      <c r="E9221" s="43">
        <v>25000</v>
      </c>
      <c r="F9221" s="43"/>
      <c r="G9221" s="48">
        <f t="shared" si="229"/>
        <v>189969.68492769753</v>
      </c>
      <c r="H9221" s="389" t="s">
        <v>9567</v>
      </c>
    </row>
    <row r="9222" spans="1:8" x14ac:dyDescent="0.3">
      <c r="A9222" s="45">
        <v>45433</v>
      </c>
      <c r="B9222" s="396" t="s">
        <v>13385</v>
      </c>
      <c r="C9222" s="5" t="s">
        <v>5793</v>
      </c>
      <c r="D9222" s="5" t="s">
        <v>13697</v>
      </c>
      <c r="E9222" s="43">
        <v>3500</v>
      </c>
      <c r="F9222" s="43"/>
      <c r="G9222" s="48">
        <f t="shared" si="229"/>
        <v>186469.68492769753</v>
      </c>
      <c r="H9222" s="389" t="s">
        <v>9567</v>
      </c>
    </row>
    <row r="9223" spans="1:8" x14ac:dyDescent="0.3">
      <c r="A9223" s="45">
        <v>45433</v>
      </c>
      <c r="B9223" s="396" t="s">
        <v>12133</v>
      </c>
      <c r="C9223" s="5" t="s">
        <v>84</v>
      </c>
      <c r="D9223" s="5" t="s">
        <v>13689</v>
      </c>
      <c r="E9223" s="43">
        <v>5000</v>
      </c>
      <c r="F9223" s="43"/>
      <c r="G9223" s="48">
        <f t="shared" si="229"/>
        <v>181469.68492769753</v>
      </c>
      <c r="H9223" s="389" t="s">
        <v>9567</v>
      </c>
    </row>
    <row r="9224" spans="1:8" x14ac:dyDescent="0.3">
      <c r="A9224" s="45">
        <v>45433</v>
      </c>
      <c r="B9224" s="396" t="s">
        <v>12796</v>
      </c>
      <c r="C9224" s="5" t="s">
        <v>84</v>
      </c>
      <c r="D9224" s="5" t="s">
        <v>13702</v>
      </c>
      <c r="E9224" s="43">
        <v>20000</v>
      </c>
      <c r="F9224" s="43"/>
      <c r="G9224" s="48">
        <f t="shared" si="229"/>
        <v>161469.68492769753</v>
      </c>
      <c r="H9224" s="389" t="s">
        <v>9567</v>
      </c>
    </row>
    <row r="9225" spans="1:8" x14ac:dyDescent="0.3">
      <c r="A9225" s="45">
        <v>45433</v>
      </c>
      <c r="B9225" s="396" t="s">
        <v>12055</v>
      </c>
      <c r="C9225" s="5" t="s">
        <v>5793</v>
      </c>
      <c r="D9225" s="5" t="s">
        <v>40</v>
      </c>
      <c r="E9225" s="43">
        <v>1000</v>
      </c>
      <c r="F9225" s="43"/>
      <c r="G9225" s="48">
        <f t="shared" si="229"/>
        <v>160469.68492769753</v>
      </c>
      <c r="H9225" s="389" t="s">
        <v>9567</v>
      </c>
    </row>
    <row r="9226" spans="1:8" x14ac:dyDescent="0.3">
      <c r="A9226" s="45">
        <v>45433</v>
      </c>
      <c r="B9226" s="396" t="s">
        <v>13379</v>
      </c>
      <c r="C9226" s="5" t="s">
        <v>5793</v>
      </c>
      <c r="D9226" s="5" t="s">
        <v>40</v>
      </c>
      <c r="E9226" s="43">
        <v>1000</v>
      </c>
      <c r="F9226" s="43"/>
      <c r="G9226" s="48">
        <f t="shared" ref="G9226:G9290" si="230">G9225+F9226-E9226</f>
        <v>159469.68492769753</v>
      </c>
      <c r="H9226" s="389" t="s">
        <v>9567</v>
      </c>
    </row>
    <row r="9227" spans="1:8" x14ac:dyDescent="0.3">
      <c r="A9227" s="45">
        <v>45433</v>
      </c>
      <c r="B9227" s="394" t="s">
        <v>12133</v>
      </c>
      <c r="C9227" s="186" t="s">
        <v>54</v>
      </c>
      <c r="D9227" s="186" t="s">
        <v>13704</v>
      </c>
      <c r="E9227" s="187">
        <v>6000</v>
      </c>
      <c r="F9227" s="43"/>
      <c r="G9227" s="48">
        <f t="shared" si="230"/>
        <v>153469.68492769753</v>
      </c>
      <c r="H9227" s="389" t="s">
        <v>9567</v>
      </c>
    </row>
    <row r="9228" spans="1:8" x14ac:dyDescent="0.3">
      <c r="A9228" s="45">
        <v>45433</v>
      </c>
      <c r="B9228" s="396" t="s">
        <v>13131</v>
      </c>
      <c r="C9228" s="5" t="s">
        <v>5288</v>
      </c>
      <c r="D9228" s="5" t="s">
        <v>294</v>
      </c>
      <c r="E9228" s="43">
        <v>10000</v>
      </c>
      <c r="F9228" s="43"/>
      <c r="G9228" s="48">
        <f t="shared" si="230"/>
        <v>143469.68492769753</v>
      </c>
      <c r="H9228" s="389" t="s">
        <v>9567</v>
      </c>
    </row>
    <row r="9229" spans="1:8" x14ac:dyDescent="0.3">
      <c r="A9229" s="45">
        <v>45434</v>
      </c>
      <c r="B9229" s="396" t="s">
        <v>11743</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11434</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13379</v>
      </c>
      <c r="C9232" s="5" t="s">
        <v>13705</v>
      </c>
      <c r="D9232" s="5" t="s">
        <v>13706</v>
      </c>
      <c r="E9232" s="43">
        <v>50000</v>
      </c>
      <c r="F9232" s="43"/>
      <c r="G9232" s="48">
        <f t="shared" si="230"/>
        <v>88169.684927697526</v>
      </c>
      <c r="H9232" s="389" t="s">
        <v>9567</v>
      </c>
    </row>
    <row r="9233" spans="1:13" x14ac:dyDescent="0.3">
      <c r="A9233" s="45">
        <v>45434</v>
      </c>
      <c r="B9233" s="565"/>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12611</v>
      </c>
      <c r="C9234" s="5" t="s">
        <v>26</v>
      </c>
      <c r="D9234" s="5" t="s">
        <v>13708</v>
      </c>
      <c r="E9234" s="43">
        <v>4000</v>
      </c>
      <c r="F9234" s="43"/>
      <c r="G9234" s="48">
        <f t="shared" si="230"/>
        <v>184169.68492769753</v>
      </c>
      <c r="H9234" s="389" t="s">
        <v>9567</v>
      </c>
    </row>
    <row r="9235" spans="1:13" x14ac:dyDescent="0.3">
      <c r="A9235" s="45">
        <v>45434</v>
      </c>
      <c r="B9235" s="396" t="s">
        <v>13379</v>
      </c>
      <c r="C9235" s="5" t="s">
        <v>9794</v>
      </c>
      <c r="D9235" s="5" t="s">
        <v>9795</v>
      </c>
      <c r="E9235" s="43">
        <v>3150</v>
      </c>
      <c r="F9235" s="43"/>
      <c r="G9235" s="48">
        <f t="shared" si="230"/>
        <v>181019.68492769753</v>
      </c>
      <c r="H9235" s="389" t="s">
        <v>9567</v>
      </c>
    </row>
    <row r="9236" spans="1:13" x14ac:dyDescent="0.3">
      <c r="A9236" s="45">
        <v>45434</v>
      </c>
      <c r="B9236" s="396" t="s">
        <v>13709</v>
      </c>
      <c r="C9236" s="5" t="s">
        <v>9794</v>
      </c>
      <c r="D9236" s="5" t="s">
        <v>9795</v>
      </c>
      <c r="E9236" s="43">
        <v>3150</v>
      </c>
      <c r="F9236" s="43"/>
      <c r="G9236" s="48">
        <f t="shared" si="230"/>
        <v>177869.68492769753</v>
      </c>
      <c r="H9236" s="389" t="s">
        <v>9567</v>
      </c>
    </row>
    <row r="9237" spans="1:13" x14ac:dyDescent="0.3">
      <c r="A9237" s="45">
        <v>45434</v>
      </c>
      <c r="B9237" s="396" t="s">
        <v>13321</v>
      </c>
      <c r="C9237" s="5" t="s">
        <v>10773</v>
      </c>
      <c r="D9237" s="5" t="s">
        <v>13711</v>
      </c>
      <c r="E9237" s="43">
        <v>6000</v>
      </c>
      <c r="F9237" s="43"/>
      <c r="G9237" s="48">
        <f t="shared" si="230"/>
        <v>171869.68492769753</v>
      </c>
      <c r="H9237" s="389" t="s">
        <v>9567</v>
      </c>
    </row>
    <row r="9238" spans="1:13" x14ac:dyDescent="0.3">
      <c r="A9238" s="45">
        <v>45434</v>
      </c>
      <c r="B9238" s="396" t="s">
        <v>12796</v>
      </c>
      <c r="C9238" s="5" t="s">
        <v>13639</v>
      </c>
      <c r="D9238" s="5" t="s">
        <v>13712</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12133</v>
      </c>
      <c r="C9240" s="5" t="s">
        <v>9287</v>
      </c>
      <c r="D9240" s="5" t="s">
        <v>13715</v>
      </c>
      <c r="E9240" s="43">
        <v>35000</v>
      </c>
      <c r="F9240" s="43"/>
      <c r="G9240" s="48">
        <f t="shared" si="230"/>
        <v>128719.68492769753</v>
      </c>
      <c r="H9240" s="389" t="s">
        <v>9567</v>
      </c>
    </row>
    <row r="9241" spans="1:13" x14ac:dyDescent="0.3">
      <c r="A9241" s="45">
        <v>45435</v>
      </c>
      <c r="B9241" s="396" t="s">
        <v>12133</v>
      </c>
      <c r="C9241" s="5" t="s">
        <v>5162</v>
      </c>
      <c r="D9241" s="5" t="s">
        <v>3910</v>
      </c>
      <c r="E9241" s="43">
        <v>5000</v>
      </c>
      <c r="F9241" s="43"/>
      <c r="G9241" s="48">
        <f t="shared" si="230"/>
        <v>123719.68492769753</v>
      </c>
      <c r="H9241" s="389" t="s">
        <v>9567</v>
      </c>
    </row>
    <row r="9242" spans="1:13" x14ac:dyDescent="0.3">
      <c r="A9242" s="45">
        <v>45435</v>
      </c>
      <c r="B9242" s="396" t="s">
        <v>13458</v>
      </c>
      <c r="C9242" s="5" t="s">
        <v>5793</v>
      </c>
      <c r="D9242" s="5" t="s">
        <v>40</v>
      </c>
      <c r="E9242" s="43">
        <v>1000</v>
      </c>
      <c r="F9242" s="43"/>
      <c r="G9242" s="48">
        <f t="shared" si="230"/>
        <v>122719.68492769753</v>
      </c>
      <c r="H9242" s="389" t="s">
        <v>9567</v>
      </c>
    </row>
    <row r="9243" spans="1:13" x14ac:dyDescent="0.3">
      <c r="A9243" s="45">
        <v>45435</v>
      </c>
      <c r="B9243" s="396" t="s">
        <v>13458</v>
      </c>
      <c r="C9243" s="5" t="s">
        <v>26</v>
      </c>
      <c r="D9243" s="5" t="s">
        <v>13716</v>
      </c>
      <c r="E9243" s="43">
        <v>5000</v>
      </c>
      <c r="F9243" s="43"/>
      <c r="G9243" s="48">
        <f t="shared" si="230"/>
        <v>117719.68492769753</v>
      </c>
      <c r="H9243" s="389" t="s">
        <v>9567</v>
      </c>
    </row>
    <row r="9244" spans="1:13" x14ac:dyDescent="0.3">
      <c r="A9244" s="45">
        <v>45435</v>
      </c>
      <c r="B9244" s="396" t="s">
        <v>13379</v>
      </c>
      <c r="C9244" s="5" t="s">
        <v>5793</v>
      </c>
      <c r="D9244" s="5" t="s">
        <v>294</v>
      </c>
      <c r="E9244" s="43">
        <v>300</v>
      </c>
      <c r="F9244" s="43"/>
      <c r="G9244" s="48">
        <f t="shared" si="230"/>
        <v>117419.68492769753</v>
      </c>
      <c r="H9244" s="389" t="s">
        <v>9567</v>
      </c>
    </row>
    <row r="9245" spans="1:13" x14ac:dyDescent="0.3">
      <c r="A9245" s="45">
        <v>45435</v>
      </c>
      <c r="B9245" s="396" t="s">
        <v>12080</v>
      </c>
      <c r="C9245" s="5" t="s">
        <v>84</v>
      </c>
      <c r="D9245" s="5" t="s">
        <v>13717</v>
      </c>
      <c r="E9245" s="43">
        <v>20000</v>
      </c>
      <c r="F9245" s="43"/>
      <c r="G9245" s="48">
        <f t="shared" si="230"/>
        <v>97419.684927697526</v>
      </c>
      <c r="H9245" s="389" t="s">
        <v>9567</v>
      </c>
    </row>
    <row r="9246" spans="1:13" x14ac:dyDescent="0.3">
      <c r="A9246" s="45">
        <v>45435</v>
      </c>
      <c r="B9246" s="396" t="s">
        <v>12321</v>
      </c>
      <c r="C9246" s="5" t="s">
        <v>5793</v>
      </c>
      <c r="D9246" s="5" t="s">
        <v>40</v>
      </c>
      <c r="E9246" s="43">
        <v>2000</v>
      </c>
      <c r="F9246" s="43"/>
      <c r="G9246" s="48">
        <f t="shared" si="230"/>
        <v>95419.684927697526</v>
      </c>
      <c r="H9246" s="389" t="s">
        <v>9567</v>
      </c>
    </row>
    <row r="9247" spans="1:13" x14ac:dyDescent="0.3">
      <c r="A9247" s="45">
        <v>45435</v>
      </c>
      <c r="B9247" s="396" t="s">
        <v>12133</v>
      </c>
      <c r="C9247" s="5" t="s">
        <v>5793</v>
      </c>
      <c r="D9247" s="5" t="s">
        <v>13718</v>
      </c>
      <c r="E9247" s="43">
        <v>1200</v>
      </c>
      <c r="F9247" s="43"/>
      <c r="G9247" s="48">
        <f t="shared" si="230"/>
        <v>94219.684927697526</v>
      </c>
      <c r="H9247" s="389" t="s">
        <v>9567</v>
      </c>
      <c r="I9247" s="52">
        <v>1650710</v>
      </c>
    </row>
    <row r="9248" spans="1:13" x14ac:dyDescent="0.3">
      <c r="A9248" s="45">
        <v>45435</v>
      </c>
      <c r="B9248" s="396" t="s">
        <v>13188</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11434</v>
      </c>
      <c r="E9249" s="43">
        <v>3000</v>
      </c>
      <c r="F9249" s="43"/>
      <c r="G9249" s="48">
        <f t="shared" si="230"/>
        <v>90619.684927697526</v>
      </c>
      <c r="H9249" s="389" t="s">
        <v>9567</v>
      </c>
      <c r="I9249" s="52">
        <f>I9247+I9248</f>
        <v>1898316.5</v>
      </c>
    </row>
    <row r="9250" spans="1:12" x14ac:dyDescent="0.3">
      <c r="A9250" s="45">
        <v>45436</v>
      </c>
      <c r="B9250" s="396" t="s">
        <v>12796</v>
      </c>
      <c r="C9250" s="5" t="s">
        <v>26</v>
      </c>
      <c r="D9250" s="5" t="s">
        <v>11536</v>
      </c>
      <c r="E9250" s="43">
        <v>1300</v>
      </c>
      <c r="F9250" s="43"/>
      <c r="G9250" s="48">
        <f t="shared" si="230"/>
        <v>89319.684927697526</v>
      </c>
      <c r="H9250" s="389" t="s">
        <v>9567</v>
      </c>
    </row>
    <row r="9251" spans="1:12" x14ac:dyDescent="0.3">
      <c r="A9251" s="45">
        <v>45436</v>
      </c>
      <c r="B9251" s="396" t="s">
        <v>13709</v>
      </c>
      <c r="C9251" s="5" t="s">
        <v>9758</v>
      </c>
      <c r="D9251" s="5" t="s">
        <v>13728</v>
      </c>
      <c r="E9251" s="43">
        <v>5000</v>
      </c>
      <c r="F9251" s="43"/>
      <c r="G9251" s="48">
        <f t="shared" si="230"/>
        <v>84319.684927697526</v>
      </c>
      <c r="H9251" s="389" t="s">
        <v>9567</v>
      </c>
    </row>
    <row r="9252" spans="1:12" x14ac:dyDescent="0.3">
      <c r="A9252" s="45">
        <v>45436</v>
      </c>
      <c r="B9252" s="396" t="s">
        <v>13321</v>
      </c>
      <c r="C9252" s="5" t="s">
        <v>57</v>
      </c>
      <c r="D9252" s="5" t="s">
        <v>294</v>
      </c>
      <c r="E9252" s="43">
        <v>20000</v>
      </c>
      <c r="F9252" s="43"/>
      <c r="G9252" s="48">
        <f t="shared" si="230"/>
        <v>64319.684927697526</v>
      </c>
      <c r="H9252" s="389" t="s">
        <v>9567</v>
      </c>
    </row>
    <row r="9253" spans="1:12" x14ac:dyDescent="0.3">
      <c r="A9253" s="45">
        <v>45436</v>
      </c>
      <c r="B9253" s="396" t="s">
        <v>13427</v>
      </c>
      <c r="C9253" s="5" t="s">
        <v>3220</v>
      </c>
      <c r="D9253" s="5" t="s">
        <v>294</v>
      </c>
      <c r="E9253" s="43">
        <v>3000</v>
      </c>
      <c r="F9253" s="43"/>
      <c r="G9253" s="48">
        <f t="shared" si="230"/>
        <v>61319.684927697526</v>
      </c>
      <c r="H9253" s="389" t="s">
        <v>9567</v>
      </c>
    </row>
    <row r="9254" spans="1:12" x14ac:dyDescent="0.3">
      <c r="A9254" s="45">
        <v>45436</v>
      </c>
      <c r="B9254" s="396" t="s">
        <v>13709</v>
      </c>
      <c r="C9254" s="5" t="s">
        <v>11174</v>
      </c>
      <c r="D9254" s="5" t="s">
        <v>13727</v>
      </c>
      <c r="E9254" s="43">
        <v>5000</v>
      </c>
      <c r="F9254" s="43"/>
      <c r="G9254" s="48">
        <f t="shared" si="230"/>
        <v>56319.684927697526</v>
      </c>
      <c r="H9254" s="389" t="s">
        <v>9567</v>
      </c>
    </row>
    <row r="9255" spans="1:12" x14ac:dyDescent="0.3">
      <c r="A9255" s="45">
        <v>45436</v>
      </c>
      <c r="B9255" s="396" t="s">
        <v>13188</v>
      </c>
      <c r="C9255" s="5" t="s">
        <v>5793</v>
      </c>
      <c r="D9255" s="5" t="s">
        <v>40</v>
      </c>
      <c r="E9255" s="43">
        <v>600</v>
      </c>
      <c r="F9255" s="43"/>
      <c r="G9255" s="48">
        <f t="shared" si="230"/>
        <v>55719.684927697526</v>
      </c>
      <c r="H9255" s="389" t="s">
        <v>9567</v>
      </c>
      <c r="I9255" s="52">
        <v>6020920</v>
      </c>
    </row>
    <row r="9256" spans="1:12" x14ac:dyDescent="0.3">
      <c r="A9256" s="45">
        <v>45436</v>
      </c>
      <c r="B9256" s="396" t="s">
        <v>13188</v>
      </c>
      <c r="C9256" s="5" t="s">
        <v>30</v>
      </c>
      <c r="D9256" s="5" t="s">
        <v>10629</v>
      </c>
      <c r="E9256" s="43">
        <v>300</v>
      </c>
      <c r="F9256" s="43"/>
      <c r="G9256" s="48">
        <f t="shared" si="230"/>
        <v>55419.684927697526</v>
      </c>
      <c r="H9256" s="389" t="s">
        <v>9567</v>
      </c>
    </row>
    <row r="9257" spans="1:12" x14ac:dyDescent="0.3">
      <c r="A9257" s="45">
        <v>45436</v>
      </c>
      <c r="B9257" s="396" t="s">
        <v>13138</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11434</v>
      </c>
      <c r="E9258" s="43">
        <v>4000</v>
      </c>
      <c r="F9258" s="43"/>
      <c r="G9258" s="48">
        <f t="shared" si="230"/>
        <v>44419.684927697526</v>
      </c>
      <c r="H9258" s="389" t="s">
        <v>9567</v>
      </c>
    </row>
    <row r="9259" spans="1:12" x14ac:dyDescent="0.3">
      <c r="A9259" s="45">
        <v>45437</v>
      </c>
      <c r="B9259" s="396" t="s">
        <v>12796</v>
      </c>
      <c r="C9259" s="5" t="s">
        <v>84</v>
      </c>
      <c r="D9259" s="5" t="s">
        <v>13731</v>
      </c>
      <c r="E9259" s="43">
        <v>6000</v>
      </c>
      <c r="F9259" s="43"/>
      <c r="G9259" s="48">
        <f t="shared" si="230"/>
        <v>38419.684927697526</v>
      </c>
      <c r="H9259" s="389" t="s">
        <v>9567</v>
      </c>
      <c r="I9259" s="166" t="s">
        <v>13720</v>
      </c>
      <c r="J9259" s="166">
        <v>5102474.5762711866</v>
      </c>
      <c r="K9259" s="166">
        <v>854500</v>
      </c>
      <c r="L9259" s="166">
        <f>K9259+J9259</f>
        <v>5956974.5762711866</v>
      </c>
    </row>
    <row r="9260" spans="1:12" x14ac:dyDescent="0.3">
      <c r="A9260" s="45">
        <v>45437</v>
      </c>
      <c r="B9260" s="396" t="s">
        <v>13379</v>
      </c>
      <c r="C9260" s="5" t="s">
        <v>5793</v>
      </c>
      <c r="D9260" s="5" t="s">
        <v>40</v>
      </c>
      <c r="E9260" s="43">
        <v>1500</v>
      </c>
      <c r="F9260" s="43"/>
      <c r="G9260" s="48">
        <f t="shared" si="230"/>
        <v>36919.684927697526</v>
      </c>
      <c r="H9260" s="389" t="s">
        <v>9567</v>
      </c>
      <c r="I9260" s="166" t="s">
        <v>13721</v>
      </c>
      <c r="J9260" s="166">
        <f>J9259*18%</f>
        <v>918445.42372881353</v>
      </c>
      <c r="K9260" s="166">
        <v>0</v>
      </c>
      <c r="L9260" s="643">
        <f>K9260+J9260</f>
        <v>918445.42372881353</v>
      </c>
    </row>
    <row r="9261" spans="1:12" x14ac:dyDescent="0.3">
      <c r="A9261" s="45">
        <v>45437</v>
      </c>
      <c r="B9261" s="396" t="s">
        <v>25</v>
      </c>
      <c r="C9261" s="5" t="s">
        <v>25</v>
      </c>
      <c r="D9261" s="5" t="s">
        <v>11434</v>
      </c>
      <c r="E9261" s="43">
        <v>4000</v>
      </c>
      <c r="F9261" s="43"/>
      <c r="G9261" s="48">
        <f t="shared" si="230"/>
        <v>32919.684927697526</v>
      </c>
      <c r="H9261" s="389" t="s">
        <v>9567</v>
      </c>
      <c r="I9261" s="166" t="s">
        <v>13722</v>
      </c>
      <c r="J9261" s="166">
        <v>0</v>
      </c>
      <c r="K9261" s="166">
        <f>K9259*13%</f>
        <v>111085</v>
      </c>
      <c r="L9261" s="643">
        <f>K9261+J9261</f>
        <v>111085</v>
      </c>
    </row>
    <row r="9262" spans="1:12" x14ac:dyDescent="0.3">
      <c r="A9262" s="45">
        <v>45439</v>
      </c>
      <c r="B9262" s="396" t="s">
        <v>13131</v>
      </c>
      <c r="C9262" s="5" t="s">
        <v>5793</v>
      </c>
      <c r="D9262" s="5" t="s">
        <v>40</v>
      </c>
      <c r="E9262" s="43">
        <v>1000</v>
      </c>
      <c r="F9262" s="43"/>
      <c r="G9262" s="48">
        <f t="shared" si="230"/>
        <v>31919.684927697526</v>
      </c>
      <c r="H9262" s="389" t="s">
        <v>9567</v>
      </c>
      <c r="I9262" s="166" t="s">
        <v>13723</v>
      </c>
      <c r="J9262" s="166">
        <f>SUM(J9259:J9261)</f>
        <v>6020920</v>
      </c>
      <c r="K9262" s="166">
        <f>SUM(K9259:K9261)</f>
        <v>965585</v>
      </c>
      <c r="L9262" s="166">
        <f>SUM(L9259:L9261)</f>
        <v>6986505</v>
      </c>
    </row>
    <row r="9263" spans="1:12" x14ac:dyDescent="0.3">
      <c r="A9263" s="45">
        <v>45439</v>
      </c>
      <c r="B9263" s="396" t="s">
        <v>13454</v>
      </c>
      <c r="C9263" s="5" t="s">
        <v>5793</v>
      </c>
      <c r="D9263" s="5" t="s">
        <v>40</v>
      </c>
      <c r="E9263" s="43">
        <v>600</v>
      </c>
      <c r="F9263" s="43"/>
      <c r="G9263" s="48">
        <f t="shared" si="230"/>
        <v>31319.684927697526</v>
      </c>
      <c r="H9263" s="389" t="s">
        <v>9567</v>
      </c>
    </row>
    <row r="9264" spans="1:12" x14ac:dyDescent="0.3">
      <c r="A9264" s="45">
        <v>45439</v>
      </c>
      <c r="B9264" s="396" t="s">
        <v>13379</v>
      </c>
      <c r="C9264" s="5" t="s">
        <v>11174</v>
      </c>
      <c r="D9264" s="5" t="s">
        <v>13732</v>
      </c>
      <c r="E9264" s="43">
        <v>6700</v>
      </c>
      <c r="F9264" s="43"/>
      <c r="G9264" s="48">
        <f t="shared" si="230"/>
        <v>24619.684927697526</v>
      </c>
      <c r="H9264" s="389" t="s">
        <v>9567</v>
      </c>
    </row>
    <row r="9265" spans="1:10" ht="18" customHeight="1" x14ac:dyDescent="0.3">
      <c r="A9265" s="45">
        <v>45439</v>
      </c>
      <c r="B9265" s="396" t="s">
        <v>13379</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5"/>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12230</v>
      </c>
      <c r="C9267" s="5" t="s">
        <v>1074</v>
      </c>
      <c r="D9267" s="5" t="s">
        <v>12215</v>
      </c>
      <c r="E9267" s="43">
        <v>57681</v>
      </c>
      <c r="F9267" s="43"/>
      <c r="G9267" s="48">
        <f t="shared" si="230"/>
        <v>165938.68492769753</v>
      </c>
      <c r="H9267" s="389" t="s">
        <v>9567</v>
      </c>
      <c r="I9267" s="644"/>
      <c r="J9267" s="646"/>
    </row>
    <row r="9268" spans="1:10" ht="18" customHeight="1" x14ac:dyDescent="0.3">
      <c r="A9268" s="45">
        <v>45439</v>
      </c>
      <c r="B9268" s="396" t="s">
        <v>25</v>
      </c>
      <c r="C9268" s="5" t="s">
        <v>1074</v>
      </c>
      <c r="D9268" s="5" t="s">
        <v>12215</v>
      </c>
      <c r="E9268" s="43">
        <v>31010</v>
      </c>
      <c r="F9268" s="43"/>
      <c r="G9268" s="48">
        <f t="shared" si="230"/>
        <v>134928.68492769753</v>
      </c>
      <c r="H9268" s="389" t="s">
        <v>9567</v>
      </c>
      <c r="I9268" s="644"/>
      <c r="J9268" s="647"/>
    </row>
    <row r="9269" spans="1:10" ht="18" customHeight="1" x14ac:dyDescent="0.3">
      <c r="A9269" s="45">
        <v>45439</v>
      </c>
      <c r="B9269" s="396" t="s">
        <v>12133</v>
      </c>
      <c r="C9269" s="5" t="s">
        <v>5162</v>
      </c>
      <c r="D9269" s="5" t="s">
        <v>5813</v>
      </c>
      <c r="E9269" s="43">
        <v>3000</v>
      </c>
      <c r="F9269" s="43"/>
      <c r="G9269" s="48">
        <f t="shared" si="230"/>
        <v>131928.68492769753</v>
      </c>
      <c r="H9269" s="389" t="s">
        <v>9567</v>
      </c>
      <c r="I9269" s="644"/>
      <c r="J9269" s="647"/>
    </row>
    <row r="9270" spans="1:10" ht="18" customHeight="1" x14ac:dyDescent="0.3">
      <c r="A9270" s="45">
        <v>45439</v>
      </c>
      <c r="B9270" s="396" t="s">
        <v>13138</v>
      </c>
      <c r="C9270" s="5" t="s">
        <v>30</v>
      </c>
      <c r="D9270" s="5" t="s">
        <v>13735</v>
      </c>
      <c r="E9270" s="43">
        <v>5000</v>
      </c>
      <c r="F9270" s="43"/>
      <c r="G9270" s="48">
        <f t="shared" si="230"/>
        <v>126928.68492769753</v>
      </c>
      <c r="H9270" s="389" t="s">
        <v>9567</v>
      </c>
      <c r="I9270" s="644"/>
      <c r="J9270" s="645"/>
    </row>
    <row r="9271" spans="1:10" ht="18" customHeight="1" x14ac:dyDescent="0.3">
      <c r="A9271" s="45">
        <v>45441</v>
      </c>
      <c r="B9271" s="396" t="s">
        <v>12796</v>
      </c>
      <c r="C9271" s="5" t="s">
        <v>5288</v>
      </c>
      <c r="D9271" s="5" t="s">
        <v>13736</v>
      </c>
      <c r="E9271" s="43">
        <v>4000</v>
      </c>
      <c r="F9271" s="43"/>
      <c r="G9271" s="48">
        <f t="shared" si="230"/>
        <v>122928.68492769753</v>
      </c>
      <c r="H9271" s="389" t="s">
        <v>9567</v>
      </c>
      <c r="I9271" s="644"/>
      <c r="J9271" s="645"/>
    </row>
    <row r="9272" spans="1:10" x14ac:dyDescent="0.3">
      <c r="A9272" s="45">
        <v>45441</v>
      </c>
      <c r="B9272" s="396" t="s">
        <v>13605</v>
      </c>
      <c r="C9272" s="5" t="s">
        <v>11174</v>
      </c>
      <c r="D9272" s="5" t="s">
        <v>13738</v>
      </c>
      <c r="E9272" s="43">
        <v>4870</v>
      </c>
      <c r="F9272" s="43"/>
      <c r="G9272" s="48">
        <f t="shared" si="230"/>
        <v>118058.68492769753</v>
      </c>
      <c r="H9272" s="389" t="s">
        <v>9567</v>
      </c>
      <c r="I9272" s="167"/>
      <c r="J9272" s="167"/>
    </row>
    <row r="9273" spans="1:10" x14ac:dyDescent="0.3">
      <c r="A9273" s="45">
        <v>45441</v>
      </c>
      <c r="B9273" s="396" t="s">
        <v>13314</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11434</v>
      </c>
      <c r="E9274" s="43">
        <v>3000</v>
      </c>
      <c r="F9274" s="43"/>
      <c r="G9274" s="48">
        <f t="shared" si="230"/>
        <v>114858.68492769753</v>
      </c>
      <c r="H9274" s="389" t="s">
        <v>9567</v>
      </c>
    </row>
    <row r="9275" spans="1:10" x14ac:dyDescent="0.3">
      <c r="A9275" s="45">
        <v>45441</v>
      </c>
      <c r="B9275" s="396" t="s">
        <v>13458</v>
      </c>
      <c r="C9275" s="5" t="s">
        <v>13739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12133</v>
      </c>
      <c r="C9277" s="5" t="s">
        <v>68</v>
      </c>
      <c r="D9277" s="5" t="s">
        <v>294</v>
      </c>
      <c r="E9277" s="43">
        <v>10000</v>
      </c>
      <c r="F9277" s="43"/>
      <c r="G9277" s="48">
        <f t="shared" si="230"/>
        <v>89528.684927697526</v>
      </c>
      <c r="H9277" s="389" t="s">
        <v>9567</v>
      </c>
    </row>
    <row r="9278" spans="1:10" x14ac:dyDescent="0.3">
      <c r="A9278" s="45">
        <v>45442</v>
      </c>
      <c r="B9278" s="396" t="s">
        <v>13314</v>
      </c>
      <c r="C9278" s="5" t="s">
        <v>10695</v>
      </c>
      <c r="D9278" s="5" t="s">
        <v>3910</v>
      </c>
      <c r="E9278" s="43">
        <v>10000</v>
      </c>
      <c r="F9278" s="43"/>
      <c r="G9278" s="48">
        <f t="shared" si="230"/>
        <v>79528.684927697526</v>
      </c>
      <c r="H9278" s="389" t="s">
        <v>9567</v>
      </c>
    </row>
    <row r="9279" spans="1:10" x14ac:dyDescent="0.3">
      <c r="A9279" s="45">
        <v>45442</v>
      </c>
      <c r="B9279" s="396" t="s">
        <v>13314</v>
      </c>
      <c r="C9279" s="5" t="s">
        <v>5793</v>
      </c>
      <c r="D9279" s="5" t="s">
        <v>40</v>
      </c>
      <c r="E9279" s="43">
        <v>400</v>
      </c>
      <c r="F9279" s="43"/>
      <c r="G9279" s="48">
        <f t="shared" si="230"/>
        <v>79128.684927697526</v>
      </c>
      <c r="H9279" s="389" t="s">
        <v>9567</v>
      </c>
    </row>
    <row r="9280" spans="1:10" x14ac:dyDescent="0.3">
      <c r="A9280" s="45">
        <v>45442</v>
      </c>
      <c r="B9280" s="396" t="s">
        <v>13427</v>
      </c>
      <c r="C9280" s="5" t="s">
        <v>12826</v>
      </c>
      <c r="D9280" s="5" t="s">
        <v>13742</v>
      </c>
      <c r="E9280" s="43">
        <v>26000</v>
      </c>
      <c r="F9280" s="43"/>
      <c r="G9280" s="48">
        <f t="shared" si="230"/>
        <v>53128.684927697526</v>
      </c>
      <c r="H9280" s="389" t="s">
        <v>9567</v>
      </c>
    </row>
    <row r="9281" spans="1:10" x14ac:dyDescent="0.3">
      <c r="A9281" s="45">
        <v>45442</v>
      </c>
      <c r="B9281" s="396" t="s">
        <v>12133</v>
      </c>
      <c r="C9281" s="5" t="s">
        <v>9620</v>
      </c>
      <c r="D9281" s="5" t="s">
        <v>13743</v>
      </c>
      <c r="E9281" s="43">
        <v>7000</v>
      </c>
      <c r="F9281" s="43"/>
      <c r="G9281" s="48">
        <f t="shared" si="230"/>
        <v>46128.684927697526</v>
      </c>
      <c r="H9281" s="389" t="s">
        <v>9567</v>
      </c>
      <c r="I9281" s="52">
        <v>2766923</v>
      </c>
      <c r="J9281" s="52">
        <v>2766923</v>
      </c>
    </row>
    <row r="9282" spans="1:10" x14ac:dyDescent="0.3">
      <c r="A9282" s="45">
        <v>45442</v>
      </c>
      <c r="B9282" s="396" t="s">
        <v>13314</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11434</v>
      </c>
      <c r="E9283" s="43">
        <v>5000</v>
      </c>
      <c r="F9283" s="43"/>
      <c r="G9283" s="48">
        <f t="shared" si="230"/>
        <v>40028.684927697526</v>
      </c>
      <c r="H9283" s="389" t="s">
        <v>9567</v>
      </c>
    </row>
    <row r="9284" spans="1:10" x14ac:dyDescent="0.3">
      <c r="A9284" s="45">
        <v>45443</v>
      </c>
      <c r="B9284" s="396" t="s">
        <v>12133</v>
      </c>
      <c r="C9284" s="5" t="s">
        <v>5793</v>
      </c>
      <c r="D9284" s="5" t="s">
        <v>40</v>
      </c>
      <c r="E9284" s="43">
        <v>1500</v>
      </c>
      <c r="F9284" s="43"/>
      <c r="G9284" s="48">
        <f t="shared" si="230"/>
        <v>38528.684927697526</v>
      </c>
      <c r="H9284" s="389" t="s">
        <v>9567</v>
      </c>
    </row>
    <row r="9285" spans="1:10" x14ac:dyDescent="0.3">
      <c r="A9285" s="45">
        <v>45443</v>
      </c>
      <c r="B9285" s="396" t="s">
        <v>12050</v>
      </c>
      <c r="C9285" s="5" t="s">
        <v>11174</v>
      </c>
      <c r="D9285" s="5" t="s">
        <v>13752</v>
      </c>
      <c r="E9285" s="43">
        <v>4600</v>
      </c>
      <c r="F9285" s="43"/>
      <c r="G9285" s="48">
        <f t="shared" si="230"/>
        <v>33928.684927697526</v>
      </c>
      <c r="H9285" s="389" t="s">
        <v>9567</v>
      </c>
    </row>
    <row r="9286" spans="1:10" x14ac:dyDescent="0.3">
      <c r="A9286" s="45">
        <v>45443</v>
      </c>
      <c r="B9286" s="396" t="s">
        <v>12050</v>
      </c>
      <c r="C9286" s="5" t="s">
        <v>5288</v>
      </c>
      <c r="D9286" s="5" t="s">
        <v>13753</v>
      </c>
      <c r="E9286" s="43">
        <v>400</v>
      </c>
      <c r="F9286" s="43"/>
      <c r="G9286" s="48">
        <f t="shared" si="230"/>
        <v>33528.684927697526</v>
      </c>
      <c r="H9286" s="389" t="s">
        <v>9567</v>
      </c>
    </row>
    <row r="9287" spans="1:10" x14ac:dyDescent="0.3">
      <c r="A9287" s="45">
        <v>45443</v>
      </c>
      <c r="B9287" s="396" t="s">
        <v>13138</v>
      </c>
      <c r="C9287" s="5" t="s">
        <v>13755</v>
      </c>
      <c r="D9287" s="5" t="s">
        <v>13754</v>
      </c>
      <c r="E9287" s="43">
        <v>10000</v>
      </c>
      <c r="F9287" s="43"/>
      <c r="G9287" s="48">
        <f t="shared" si="230"/>
        <v>23528.684927697526</v>
      </c>
      <c r="H9287" s="389" t="s">
        <v>9567</v>
      </c>
    </row>
    <row r="9288" spans="1:10" x14ac:dyDescent="0.3">
      <c r="A9288" s="45">
        <v>45443</v>
      </c>
      <c r="B9288" s="396" t="s">
        <v>25</v>
      </c>
      <c r="C9288" s="5" t="s">
        <v>25</v>
      </c>
      <c r="D9288" s="5" t="s">
        <v>11434</v>
      </c>
      <c r="E9288" s="43">
        <v>5000</v>
      </c>
      <c r="F9288" s="43"/>
      <c r="G9288" s="48">
        <f t="shared" si="230"/>
        <v>18528.684927697526</v>
      </c>
      <c r="H9288" s="389" t="s">
        <v>9567</v>
      </c>
    </row>
    <row r="9289" spans="1:10" x14ac:dyDescent="0.3">
      <c r="A9289" s="45">
        <v>45443</v>
      </c>
      <c r="B9289" s="396" t="s">
        <v>13454</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13756</v>
      </c>
      <c r="E9290" s="43">
        <v>380</v>
      </c>
      <c r="F9290" s="43"/>
      <c r="G9290" s="48">
        <f t="shared" si="230"/>
        <v>16948.684927697526</v>
      </c>
      <c r="H9290" s="389" t="s">
        <v>9567</v>
      </c>
    </row>
    <row r="9291" spans="1:10" x14ac:dyDescent="0.3">
      <c r="A9291" s="45">
        <v>45443</v>
      </c>
      <c r="B9291" s="396" t="s">
        <v>12133</v>
      </c>
      <c r="C9291" s="5" t="s">
        <v>84</v>
      </c>
      <c r="D9291" s="5" t="s">
        <v>13759</v>
      </c>
      <c r="E9291" s="43">
        <v>2000</v>
      </c>
      <c r="F9291" s="43"/>
      <c r="G9291" s="48">
        <f t="shared" ref="G9291:G9357" si="231">G9290+F9291-E9291</f>
        <v>14948.684927697526</v>
      </c>
      <c r="H9291" s="389" t="s">
        <v>9567</v>
      </c>
    </row>
    <row r="9292" spans="1:10" x14ac:dyDescent="0.3">
      <c r="A9292" s="45">
        <v>45443</v>
      </c>
      <c r="B9292" s="396" t="s">
        <v>12230</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5"/>
      <c r="C9295" s="480"/>
      <c r="D9295" s="491" t="s">
        <v>11014</v>
      </c>
      <c r="E9295" s="480"/>
      <c r="F9295" s="43">
        <v>500000</v>
      </c>
      <c r="G9295" s="48">
        <f t="shared" si="231"/>
        <v>511698.68492769753</v>
      </c>
      <c r="H9295" s="389" t="s">
        <v>9567</v>
      </c>
      <c r="I9295" s="167"/>
      <c r="J9295" s="167"/>
    </row>
    <row r="9296" spans="1:10" x14ac:dyDescent="0.3">
      <c r="A9296" s="45">
        <v>45444</v>
      </c>
      <c r="B9296" s="396" t="s">
        <v>13764</v>
      </c>
      <c r="C9296" s="5" t="s">
        <v>13765</v>
      </c>
      <c r="D9296" s="5" t="s">
        <v>13766</v>
      </c>
      <c r="E9296" s="43">
        <v>40000</v>
      </c>
      <c r="F9296" s="43"/>
      <c r="G9296" s="48">
        <f t="shared" si="231"/>
        <v>471698.68492769753</v>
      </c>
      <c r="H9296" s="389" t="s">
        <v>9567</v>
      </c>
    </row>
    <row r="9297" spans="1:10" x14ac:dyDescent="0.3">
      <c r="A9297" s="45">
        <v>45444</v>
      </c>
      <c r="B9297" s="396" t="s">
        <v>12573</v>
      </c>
      <c r="C9297" s="5" t="s">
        <v>26</v>
      </c>
      <c r="D9297" s="5" t="s">
        <v>13767</v>
      </c>
      <c r="E9297" s="43">
        <v>35000</v>
      </c>
      <c r="F9297" s="43"/>
      <c r="G9297" s="48">
        <f t="shared" si="231"/>
        <v>436698.68492769753</v>
      </c>
      <c r="H9297" s="389" t="s">
        <v>9567</v>
      </c>
    </row>
    <row r="9298" spans="1:10" x14ac:dyDescent="0.3">
      <c r="A9298" s="45">
        <v>45444</v>
      </c>
      <c r="B9298" s="396" t="s">
        <v>10319</v>
      </c>
      <c r="C9298" s="5" t="s">
        <v>13768</v>
      </c>
      <c r="D9298" s="5" t="s">
        <v>294</v>
      </c>
      <c r="E9298" s="43">
        <v>33000</v>
      </c>
      <c r="F9298" s="43"/>
      <c r="G9298" s="48">
        <f t="shared" si="231"/>
        <v>403698.68492769753</v>
      </c>
      <c r="H9298" s="389" t="s">
        <v>9567</v>
      </c>
    </row>
    <row r="9299" spans="1:10" x14ac:dyDescent="0.3">
      <c r="A9299" s="45">
        <v>45444</v>
      </c>
      <c r="B9299" s="396" t="s">
        <v>12055</v>
      </c>
      <c r="C9299" s="5" t="s">
        <v>4055</v>
      </c>
      <c r="D9299" s="5" t="s">
        <v>13769</v>
      </c>
      <c r="E9299" s="43">
        <v>50000</v>
      </c>
      <c r="F9299" s="43"/>
      <c r="G9299" s="48">
        <f t="shared" si="231"/>
        <v>353698.68492769753</v>
      </c>
      <c r="H9299" s="389" t="s">
        <v>9567</v>
      </c>
    </row>
    <row r="9300" spans="1:10" x14ac:dyDescent="0.3">
      <c r="A9300" s="45">
        <v>45444</v>
      </c>
      <c r="B9300" s="396" t="s">
        <v>12055</v>
      </c>
      <c r="C9300" s="5" t="s">
        <v>13770</v>
      </c>
      <c r="D9300" s="5" t="s">
        <v>13771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5"/>
      <c r="C9302" s="480"/>
      <c r="D9302" s="491" t="s">
        <v>11014</v>
      </c>
      <c r="E9302" s="480"/>
      <c r="F9302" s="43">
        <v>1000000</v>
      </c>
      <c r="G9302" s="48">
        <f t="shared" si="231"/>
        <v>1113698.6849276975</v>
      </c>
      <c r="H9302" s="389" t="s">
        <v>9567</v>
      </c>
      <c r="I9302" s="167"/>
      <c r="J9302" s="167"/>
    </row>
    <row r="9303" spans="1:10" x14ac:dyDescent="0.3">
      <c r="A9303" s="45">
        <v>45444</v>
      </c>
      <c r="B9303" s="396" t="s">
        <v>13075</v>
      </c>
      <c r="C9303" s="5" t="s">
        <v>4550</v>
      </c>
      <c r="D9303" s="5" t="s">
        <v>13773</v>
      </c>
      <c r="E9303" s="43">
        <v>15000</v>
      </c>
      <c r="F9303" s="43"/>
      <c r="G9303" s="48">
        <f t="shared" si="231"/>
        <v>1098698.6849276975</v>
      </c>
      <c r="H9303" s="389" t="s">
        <v>9567</v>
      </c>
    </row>
    <row r="9304" spans="1:10" x14ac:dyDescent="0.3">
      <c r="A9304" s="45">
        <v>45444</v>
      </c>
      <c r="B9304" s="394" t="s">
        <v>13188</v>
      </c>
      <c r="C9304" s="186" t="s">
        <v>54</v>
      </c>
      <c r="D9304" s="186" t="s">
        <v>6245</v>
      </c>
      <c r="E9304" s="187">
        <v>79000</v>
      </c>
      <c r="F9304" s="43"/>
      <c r="G9304" s="48">
        <f t="shared" si="231"/>
        <v>1019698.6849276975</v>
      </c>
      <c r="H9304" s="389" t="s">
        <v>9567</v>
      </c>
    </row>
    <row r="9305" spans="1:10" x14ac:dyDescent="0.3">
      <c r="A9305" s="45">
        <v>45444</v>
      </c>
      <c r="B9305" s="396" t="s">
        <v>12133</v>
      </c>
      <c r="C9305" s="5" t="s">
        <v>5162</v>
      </c>
      <c r="D9305" s="5" t="s">
        <v>294</v>
      </c>
      <c r="E9305" s="43">
        <v>2000</v>
      </c>
      <c r="F9305" s="43"/>
      <c r="G9305" s="48">
        <f t="shared" si="231"/>
        <v>1017698.6849276975</v>
      </c>
      <c r="H9305" s="389" t="s">
        <v>9567</v>
      </c>
    </row>
    <row r="9306" spans="1:10" x14ac:dyDescent="0.3">
      <c r="A9306" s="45">
        <v>45444</v>
      </c>
      <c r="B9306" s="396" t="s">
        <v>12133</v>
      </c>
      <c r="C9306" s="5" t="s">
        <v>26</v>
      </c>
      <c r="D9306" s="5" t="s">
        <v>13774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12133</v>
      </c>
      <c r="C9309" s="186" t="s">
        <v>54</v>
      </c>
      <c r="D9309" s="186" t="s">
        <v>13481</v>
      </c>
      <c r="E9309" s="187">
        <v>45900</v>
      </c>
      <c r="F9309" s="43"/>
      <c r="G9309" s="48">
        <f t="shared" si="231"/>
        <v>689968.68492769753</v>
      </c>
      <c r="H9309" s="389" t="s">
        <v>9567</v>
      </c>
    </row>
    <row r="9310" spans="1:10" x14ac:dyDescent="0.3">
      <c r="A9310" s="45">
        <v>45444</v>
      </c>
      <c r="B9310" s="394" t="s">
        <v>13188</v>
      </c>
      <c r="C9310" s="186" t="s">
        <v>54</v>
      </c>
      <c r="D9310" s="186" t="s">
        <v>13775</v>
      </c>
      <c r="E9310" s="187">
        <v>50330</v>
      </c>
      <c r="F9310" s="43"/>
      <c r="G9310" s="48">
        <f t="shared" si="231"/>
        <v>639638.68492769753</v>
      </c>
      <c r="H9310" s="389" t="s">
        <v>9567</v>
      </c>
    </row>
    <row r="9311" spans="1:10" x14ac:dyDescent="0.3">
      <c r="A9311" s="45">
        <v>45444</v>
      </c>
      <c r="B9311" s="396" t="s">
        <v>25</v>
      </c>
      <c r="C9311" s="5" t="s">
        <v>25</v>
      </c>
      <c r="D9311" s="5" t="s">
        <v>11434</v>
      </c>
      <c r="E9311" s="43">
        <v>2000</v>
      </c>
      <c r="F9311" s="43"/>
      <c r="G9311" s="48">
        <f t="shared" si="231"/>
        <v>637638.68492769753</v>
      </c>
      <c r="H9311" s="389" t="s">
        <v>9567</v>
      </c>
      <c r="J9311" s="52">
        <v>38</v>
      </c>
    </row>
    <row r="9312" spans="1:10" ht="18" customHeight="1" x14ac:dyDescent="0.3">
      <c r="A9312" s="45">
        <v>45446</v>
      </c>
      <c r="B9312" s="565"/>
      <c r="C9312" s="480"/>
      <c r="D9312" s="491" t="s">
        <v>12269</v>
      </c>
      <c r="E9312" s="480"/>
      <c r="F9312" s="43">
        <v>900000</v>
      </c>
      <c r="G9312" s="48">
        <f t="shared" si="231"/>
        <v>1537638.6849276975</v>
      </c>
      <c r="H9312" s="389" t="s">
        <v>9567</v>
      </c>
      <c r="J9312" s="52">
        <v>5000</v>
      </c>
    </row>
    <row r="9313" spans="1:10" x14ac:dyDescent="0.3">
      <c r="A9313" s="45">
        <v>45446</v>
      </c>
      <c r="B9313" s="396" t="s">
        <v>12080</v>
      </c>
      <c r="C9313" s="5" t="s">
        <v>13776</v>
      </c>
      <c r="D9313" s="5" t="s">
        <v>13777</v>
      </c>
      <c r="E9313" s="43">
        <v>50000</v>
      </c>
      <c r="F9313" s="43"/>
      <c r="G9313" s="48">
        <f t="shared" si="231"/>
        <v>1487638.6849276975</v>
      </c>
      <c r="H9313" s="389" t="s">
        <v>9567</v>
      </c>
      <c r="J9313" s="52">
        <f>J9312*J9311</f>
        <v>190000</v>
      </c>
    </row>
    <row r="9314" spans="1:10" x14ac:dyDescent="0.3">
      <c r="A9314" s="45">
        <v>45446</v>
      </c>
      <c r="B9314" s="396" t="s">
        <v>12611</v>
      </c>
      <c r="C9314" s="5" t="s">
        <v>5793</v>
      </c>
      <c r="D9314" s="5" t="s">
        <v>40</v>
      </c>
      <c r="E9314" s="43">
        <v>1000</v>
      </c>
      <c r="F9314" s="43"/>
      <c r="G9314" s="48">
        <f t="shared" si="231"/>
        <v>1486638.6849276975</v>
      </c>
      <c r="H9314" s="389" t="s">
        <v>9567</v>
      </c>
      <c r="J9314" s="52">
        <v>600000</v>
      </c>
    </row>
    <row r="9315" spans="1:10" x14ac:dyDescent="0.3">
      <c r="A9315" s="45">
        <v>45446</v>
      </c>
      <c r="B9315" s="396" t="s">
        <v>12611</v>
      </c>
      <c r="C9315" s="5" t="s">
        <v>13601</v>
      </c>
      <c r="D9315" s="5" t="s">
        <v>13711</v>
      </c>
      <c r="E9315" s="43">
        <v>37000</v>
      </c>
      <c r="F9315" s="43"/>
      <c r="G9315" s="48">
        <f t="shared" si="231"/>
        <v>1449638.6849276975</v>
      </c>
      <c r="H9315" s="389" t="s">
        <v>9567</v>
      </c>
      <c r="J9315" s="52">
        <f>J9314+J9313</f>
        <v>790000</v>
      </c>
    </row>
    <row r="9316" spans="1:10" x14ac:dyDescent="0.3">
      <c r="A9316" s="45">
        <v>45446</v>
      </c>
      <c r="B9316" s="394" t="s">
        <v>13138</v>
      </c>
      <c r="C9316" s="186" t="s">
        <v>54</v>
      </c>
      <c r="D9316" s="186" t="s">
        <v>13778</v>
      </c>
      <c r="E9316" s="187">
        <v>166630</v>
      </c>
      <c r="F9316" s="43"/>
      <c r="G9316" s="48">
        <f t="shared" si="231"/>
        <v>1283008.6849276975</v>
      </c>
      <c r="H9316" s="389" t="s">
        <v>9567</v>
      </c>
    </row>
    <row r="9317" spans="1:10" x14ac:dyDescent="0.3">
      <c r="A9317" s="45">
        <v>45446</v>
      </c>
      <c r="B9317" s="394" t="s">
        <v>12133</v>
      </c>
      <c r="C9317" s="186" t="s">
        <v>54</v>
      </c>
      <c r="D9317" s="186" t="s">
        <v>13779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11434</v>
      </c>
      <c r="E9318" s="43">
        <v>5000</v>
      </c>
      <c r="F9318" s="43"/>
      <c r="G9318" s="48">
        <f t="shared" si="231"/>
        <v>1207238.6849276975</v>
      </c>
      <c r="H9318" s="389" t="s">
        <v>9567</v>
      </c>
      <c r="J9318" s="52">
        <f>SUM(J9316:J9317)</f>
        <v>5000</v>
      </c>
    </row>
    <row r="9319" spans="1:10" x14ac:dyDescent="0.3">
      <c r="A9319" s="45">
        <v>45447</v>
      </c>
      <c r="B9319" s="394" t="s">
        <v>13188</v>
      </c>
      <c r="C9319" s="186" t="s">
        <v>54</v>
      </c>
      <c r="D9319" s="186" t="s">
        <v>13780</v>
      </c>
      <c r="E9319" s="187">
        <v>174970</v>
      </c>
      <c r="F9319" s="43"/>
      <c r="G9319" s="48">
        <f t="shared" si="231"/>
        <v>1032268.6849276975</v>
      </c>
      <c r="H9319" s="389" t="s">
        <v>9567</v>
      </c>
      <c r="J9319" s="52">
        <v>3</v>
      </c>
    </row>
    <row r="9320" spans="1:10" x14ac:dyDescent="0.3">
      <c r="A9320" s="45">
        <v>45447</v>
      </c>
      <c r="B9320" s="394" t="s">
        <v>12080</v>
      </c>
      <c r="C9320" s="186" t="s">
        <v>54</v>
      </c>
      <c r="D9320" s="186" t="s">
        <v>12746</v>
      </c>
      <c r="E9320" s="187">
        <v>187830</v>
      </c>
      <c r="F9320" s="43"/>
      <c r="G9320" s="48">
        <f t="shared" si="231"/>
        <v>844438.68492769753</v>
      </c>
      <c r="H9320" s="389" t="s">
        <v>9567</v>
      </c>
    </row>
    <row r="9321" spans="1:10" x14ac:dyDescent="0.3">
      <c r="A9321" s="45">
        <v>45447</v>
      </c>
      <c r="B9321" s="394" t="s">
        <v>12796</v>
      </c>
      <c r="C9321" s="186" t="s">
        <v>54</v>
      </c>
      <c r="D9321" s="186" t="s">
        <v>11102</v>
      </c>
      <c r="E9321" s="187">
        <v>62710</v>
      </c>
      <c r="F9321" s="43"/>
      <c r="G9321" s="48">
        <f t="shared" si="231"/>
        <v>781728.68492769753</v>
      </c>
      <c r="H9321" s="389" t="s">
        <v>9567</v>
      </c>
    </row>
    <row r="9322" spans="1:10" x14ac:dyDescent="0.3">
      <c r="A9322" s="45">
        <v>45447</v>
      </c>
      <c r="B9322" s="396" t="s">
        <v>13188</v>
      </c>
      <c r="C9322" s="5" t="s">
        <v>18</v>
      </c>
      <c r="D9322" s="5" t="s">
        <v>294</v>
      </c>
      <c r="E9322" s="43">
        <v>5000</v>
      </c>
      <c r="F9322" s="43"/>
      <c r="G9322" s="48">
        <f t="shared" si="231"/>
        <v>776728.68492769753</v>
      </c>
      <c r="H9322" s="389" t="s">
        <v>9567</v>
      </c>
    </row>
    <row r="9323" spans="1:10" x14ac:dyDescent="0.3">
      <c r="A9323" s="45">
        <v>45447</v>
      </c>
      <c r="B9323" s="394" t="s">
        <v>12055</v>
      </c>
      <c r="C9323" s="186" t="s">
        <v>54</v>
      </c>
      <c r="D9323" s="186" t="s">
        <v>6236</v>
      </c>
      <c r="E9323" s="187">
        <v>137420</v>
      </c>
      <c r="F9323" s="43"/>
      <c r="G9323" s="48">
        <f t="shared" si="231"/>
        <v>639308.68492769753</v>
      </c>
      <c r="H9323" s="389" t="s">
        <v>9567</v>
      </c>
    </row>
    <row r="9324" spans="1:10" x14ac:dyDescent="0.3">
      <c r="A9324" s="45">
        <v>45447</v>
      </c>
      <c r="B9324" s="394" t="s">
        <v>12079</v>
      </c>
      <c r="C9324" s="186" t="s">
        <v>54</v>
      </c>
      <c r="D9324" s="186" t="s">
        <v>6253</v>
      </c>
      <c r="E9324" s="187">
        <v>134710</v>
      </c>
      <c r="F9324" s="43"/>
      <c r="G9324" s="48">
        <f t="shared" si="231"/>
        <v>504598.68492769753</v>
      </c>
      <c r="H9324" s="389" t="s">
        <v>9567</v>
      </c>
    </row>
    <row r="9325" spans="1:10" x14ac:dyDescent="0.3">
      <c r="A9325" s="45">
        <v>45447</v>
      </c>
      <c r="B9325" s="394" t="s">
        <v>12133</v>
      </c>
      <c r="C9325" s="186" t="s">
        <v>54</v>
      </c>
      <c r="D9325" s="186" t="s">
        <v>12753</v>
      </c>
      <c r="E9325" s="187">
        <v>41820</v>
      </c>
      <c r="F9325" s="43"/>
      <c r="G9325" s="48">
        <f t="shared" si="231"/>
        <v>462778.68492769753</v>
      </c>
      <c r="H9325" s="389" t="s">
        <v>9567</v>
      </c>
      <c r="J9325" s="353">
        <v>1949152.5</v>
      </c>
    </row>
    <row r="9326" spans="1:10" x14ac:dyDescent="0.3">
      <c r="A9326" s="45">
        <v>45447</v>
      </c>
      <c r="B9326" s="394" t="s">
        <v>12611</v>
      </c>
      <c r="C9326" s="186" t="s">
        <v>54</v>
      </c>
      <c r="D9326" s="186" t="s">
        <v>13787</v>
      </c>
      <c r="E9326" s="187">
        <v>52660</v>
      </c>
      <c r="F9326" s="43"/>
      <c r="G9326" s="48">
        <f t="shared" si="231"/>
        <v>410118.68492769753</v>
      </c>
      <c r="H9326" s="389" t="s">
        <v>9567</v>
      </c>
    </row>
    <row r="9327" spans="1:10" x14ac:dyDescent="0.3">
      <c r="A9327" s="45">
        <v>45447</v>
      </c>
      <c r="B9327" s="394" t="s">
        <v>13138</v>
      </c>
      <c r="C9327" s="186" t="s">
        <v>54</v>
      </c>
      <c r="D9327" s="186" t="s">
        <v>13788</v>
      </c>
      <c r="E9327" s="187">
        <v>21000</v>
      </c>
      <c r="F9327" s="43"/>
      <c r="G9327" s="48">
        <f t="shared" si="231"/>
        <v>389118.68492769753</v>
      </c>
      <c r="H9327" s="389" t="s">
        <v>9567</v>
      </c>
      <c r="I9327" s="367">
        <v>0.18</v>
      </c>
      <c r="J9327" s="52">
        <f>J9325*18%</f>
        <v>350847.45</v>
      </c>
    </row>
    <row r="9328" spans="1:10" x14ac:dyDescent="0.3">
      <c r="A9328" s="45">
        <v>45447</v>
      </c>
      <c r="B9328" s="394" t="s">
        <v>12055</v>
      </c>
      <c r="C9328" s="186" t="s">
        <v>54</v>
      </c>
      <c r="D9328" s="186" t="s">
        <v>10079</v>
      </c>
      <c r="E9328" s="187">
        <v>28000</v>
      </c>
      <c r="F9328" s="43"/>
      <c r="G9328" s="48">
        <f t="shared" si="231"/>
        <v>361118.68492769753</v>
      </c>
      <c r="H9328" s="389" t="s">
        <v>9567</v>
      </c>
    </row>
    <row r="9329" spans="1:10" x14ac:dyDescent="0.3">
      <c r="A9329" s="45">
        <v>45447</v>
      </c>
      <c r="B9329" s="394" t="s">
        <v>13321</v>
      </c>
      <c r="C9329" s="186" t="s">
        <v>54</v>
      </c>
      <c r="D9329" s="186" t="s">
        <v>13789</v>
      </c>
      <c r="E9329" s="187">
        <v>108860</v>
      </c>
      <c r="F9329" s="43"/>
      <c r="G9329" s="48">
        <f t="shared" si="231"/>
        <v>252258.68492769753</v>
      </c>
      <c r="H9329" s="389" t="s">
        <v>9567</v>
      </c>
      <c r="J9329" s="52">
        <f>J9327+J9325</f>
        <v>2299999.9500000002</v>
      </c>
    </row>
    <row r="9330" spans="1:10" x14ac:dyDescent="0.3">
      <c r="A9330" s="45">
        <v>45447</v>
      </c>
      <c r="B9330" s="396" t="s">
        <v>12080</v>
      </c>
      <c r="C9330" s="5" t="s">
        <v>26</v>
      </c>
      <c r="D9330" s="5" t="s">
        <v>6932</v>
      </c>
      <c r="E9330" s="43">
        <v>3000</v>
      </c>
      <c r="F9330" s="43"/>
      <c r="G9330" s="48">
        <f t="shared" si="231"/>
        <v>249258.68492769753</v>
      </c>
      <c r="H9330" s="389" t="s">
        <v>9567</v>
      </c>
    </row>
    <row r="9331" spans="1:10" x14ac:dyDescent="0.3">
      <c r="A9331" s="45">
        <v>45447</v>
      </c>
      <c r="B9331" s="396" t="s">
        <v>12080</v>
      </c>
      <c r="C9331" s="5" t="s">
        <v>26</v>
      </c>
      <c r="D9331" s="5" t="s">
        <v>13781</v>
      </c>
      <c r="E9331" s="43">
        <v>2000</v>
      </c>
      <c r="F9331" s="43"/>
      <c r="G9331" s="48">
        <f t="shared" si="231"/>
        <v>247258.68492769753</v>
      </c>
      <c r="H9331" s="389" t="s">
        <v>9567</v>
      </c>
    </row>
    <row r="9332" spans="1:10" x14ac:dyDescent="0.3">
      <c r="A9332" s="45">
        <v>45447</v>
      </c>
      <c r="B9332" s="396" t="s">
        <v>25</v>
      </c>
      <c r="C9332" s="5" t="s">
        <v>25</v>
      </c>
      <c r="D9332" s="5" t="s">
        <v>11434</v>
      </c>
      <c r="E9332" s="43">
        <v>3000</v>
      </c>
      <c r="F9332" s="43"/>
      <c r="G9332" s="48">
        <f t="shared" si="231"/>
        <v>244258.68492769753</v>
      </c>
      <c r="H9332" s="389" t="s">
        <v>9567</v>
      </c>
    </row>
    <row r="9333" spans="1:10" x14ac:dyDescent="0.3">
      <c r="A9333" s="45">
        <v>45447</v>
      </c>
      <c r="B9333" s="396" t="s">
        <v>25</v>
      </c>
      <c r="C9333" s="5" t="s">
        <v>13784</v>
      </c>
      <c r="D9333" s="5" t="s">
        <v>13785</v>
      </c>
      <c r="E9333" s="43">
        <v>37000</v>
      </c>
      <c r="F9333" s="43"/>
      <c r="G9333" s="48">
        <f t="shared" si="231"/>
        <v>207258.68492769753</v>
      </c>
      <c r="H9333" s="389" t="s">
        <v>9567</v>
      </c>
    </row>
    <row r="9334" spans="1:10" x14ac:dyDescent="0.3">
      <c r="A9334" s="45">
        <v>45447</v>
      </c>
      <c r="B9334" s="396" t="s">
        <v>12055</v>
      </c>
      <c r="C9334" s="5" t="s">
        <v>30</v>
      </c>
      <c r="D9334" s="5" t="s">
        <v>13786</v>
      </c>
      <c r="E9334" s="43">
        <v>500</v>
      </c>
      <c r="F9334" s="43"/>
      <c r="G9334" s="48">
        <f t="shared" si="231"/>
        <v>206758.68492769753</v>
      </c>
      <c r="H9334" s="389" t="s">
        <v>9567</v>
      </c>
    </row>
    <row r="9335" spans="1:10" x14ac:dyDescent="0.3">
      <c r="A9335" s="45">
        <v>45448</v>
      </c>
      <c r="B9335" s="565"/>
      <c r="C9335" s="480"/>
      <c r="D9335" s="491" t="s">
        <v>12269</v>
      </c>
      <c r="E9335" s="480"/>
      <c r="F9335" s="43">
        <v>700000</v>
      </c>
      <c r="G9335" s="48">
        <f t="shared" si="231"/>
        <v>906758.68492769753</v>
      </c>
      <c r="H9335" s="389" t="s">
        <v>9567</v>
      </c>
    </row>
    <row r="9336" spans="1:10" x14ac:dyDescent="0.3">
      <c r="A9336" s="45">
        <v>45448</v>
      </c>
      <c r="B9336" s="396" t="s">
        <v>12230</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13790</v>
      </c>
      <c r="E9337" s="43">
        <v>15000</v>
      </c>
      <c r="F9337" s="43"/>
      <c r="G9337" s="48">
        <f t="shared" si="231"/>
        <v>889258.68492769753</v>
      </c>
      <c r="H9337" s="389" t="s">
        <v>9567</v>
      </c>
      <c r="I9337" s="583" t="s">
        <v>12514</v>
      </c>
      <c r="J9337" s="187">
        <v>0</v>
      </c>
    </row>
    <row r="9338" spans="1:10" x14ac:dyDescent="0.3">
      <c r="A9338" s="45">
        <v>45448</v>
      </c>
      <c r="B9338" s="396" t="s">
        <v>13075</v>
      </c>
      <c r="C9338" s="5" t="s">
        <v>12769</v>
      </c>
      <c r="D9338" s="5" t="s">
        <v>13791</v>
      </c>
      <c r="E9338" s="43">
        <v>3800</v>
      </c>
      <c r="F9338" s="43"/>
      <c r="G9338" s="48">
        <f t="shared" si="231"/>
        <v>885458.68492769753</v>
      </c>
      <c r="H9338" s="389" t="s">
        <v>9567</v>
      </c>
      <c r="I9338" s="583" t="s">
        <v>55</v>
      </c>
      <c r="J9338" s="187">
        <f ca="1">SUMIF(C9303:E9378,"salary",E9303:E9378)</f>
        <v>2592180</v>
      </c>
    </row>
    <row r="9339" spans="1:10" x14ac:dyDescent="0.3">
      <c r="A9339" s="45">
        <v>45448</v>
      </c>
      <c r="B9339" s="394" t="s">
        <v>12611</v>
      </c>
      <c r="C9339" s="186" t="s">
        <v>54</v>
      </c>
      <c r="D9339" s="186" t="s">
        <v>13164</v>
      </c>
      <c r="E9339" s="187">
        <v>663140</v>
      </c>
      <c r="F9339" s="43"/>
      <c r="G9339" s="48">
        <f t="shared" si="231"/>
        <v>222318.68492769753</v>
      </c>
      <c r="H9339" s="389" t="s">
        <v>9567</v>
      </c>
      <c r="I9339" s="583" t="s">
        <v>12233</v>
      </c>
      <c r="J9339" s="187">
        <f ca="1">J9337-J9338</f>
        <v>-2592180</v>
      </c>
    </row>
    <row r="9340" spans="1:10" x14ac:dyDescent="0.3">
      <c r="A9340" s="45">
        <v>45448</v>
      </c>
      <c r="B9340" s="396" t="s">
        <v>12086</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13792</v>
      </c>
      <c r="E9341" s="43">
        <v>8000</v>
      </c>
      <c r="F9341" s="43"/>
      <c r="G9341" s="48">
        <f t="shared" si="231"/>
        <v>213018.68492769753</v>
      </c>
      <c r="H9341" s="389" t="s">
        <v>9567</v>
      </c>
    </row>
    <row r="9342" spans="1:10" x14ac:dyDescent="0.3">
      <c r="A9342" s="45">
        <v>45449</v>
      </c>
      <c r="B9342" s="394" t="s">
        <v>13188</v>
      </c>
      <c r="C9342" s="186" t="s">
        <v>54</v>
      </c>
      <c r="D9342" s="186" t="s">
        <v>13793</v>
      </c>
      <c r="E9342" s="187">
        <v>70000</v>
      </c>
      <c r="F9342" s="43"/>
      <c r="G9342" s="48">
        <f t="shared" si="231"/>
        <v>143018.68492769753</v>
      </c>
      <c r="H9342" s="389" t="s">
        <v>9567</v>
      </c>
      <c r="J9342" s="52">
        <v>3499100</v>
      </c>
    </row>
    <row r="9343" spans="1:10" x14ac:dyDescent="0.3">
      <c r="A9343" s="45">
        <v>45449</v>
      </c>
      <c r="B9343" s="394" t="s">
        <v>12611</v>
      </c>
      <c r="C9343" s="5" t="s">
        <v>64</v>
      </c>
      <c r="D9343" s="5" t="s">
        <v>13797</v>
      </c>
      <c r="E9343" s="43">
        <v>9180</v>
      </c>
      <c r="F9343" s="43"/>
      <c r="G9343" s="48">
        <f t="shared" si="231"/>
        <v>133838.68492769753</v>
      </c>
      <c r="H9343" s="389" t="s">
        <v>9567</v>
      </c>
    </row>
    <row r="9344" spans="1:10" x14ac:dyDescent="0.3">
      <c r="A9344" s="45">
        <v>45449</v>
      </c>
      <c r="B9344" s="394" t="s">
        <v>12133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13709</v>
      </c>
      <c r="C9345" s="5" t="s">
        <v>9758</v>
      </c>
      <c r="D9345" s="5" t="s">
        <v>13187</v>
      </c>
      <c r="E9345" s="43">
        <v>5000</v>
      </c>
      <c r="F9345" s="43"/>
      <c r="G9345" s="48">
        <f t="shared" si="231"/>
        <v>77238.684927697526</v>
      </c>
      <c r="H9345" s="389" t="s">
        <v>9567</v>
      </c>
    </row>
    <row r="9346" spans="1:8" x14ac:dyDescent="0.3">
      <c r="A9346" s="45">
        <v>45450</v>
      </c>
      <c r="B9346" s="565"/>
      <c r="C9346" s="480"/>
      <c r="D9346" s="491" t="s">
        <v>12269</v>
      </c>
      <c r="E9346" s="480"/>
      <c r="F9346" s="43">
        <v>500000</v>
      </c>
      <c r="G9346" s="48">
        <f t="shared" si="231"/>
        <v>577238.68492769753</v>
      </c>
      <c r="H9346" s="389" t="s">
        <v>9567</v>
      </c>
    </row>
    <row r="9347" spans="1:8" x14ac:dyDescent="0.3">
      <c r="A9347" s="45">
        <v>45450</v>
      </c>
      <c r="B9347" s="565"/>
      <c r="C9347" s="480"/>
      <c r="D9347" s="491" t="s">
        <v>12269</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13385</v>
      </c>
      <c r="C9349" s="186" t="s">
        <v>54</v>
      </c>
      <c r="D9349" s="186" t="s">
        <v>13800</v>
      </c>
      <c r="E9349" s="187">
        <v>58050</v>
      </c>
      <c r="F9349" s="43"/>
      <c r="G9349" s="48">
        <f t="shared" si="231"/>
        <v>819188.68492769753</v>
      </c>
      <c r="H9349" s="389" t="s">
        <v>9567</v>
      </c>
    </row>
    <row r="9350" spans="1:8" x14ac:dyDescent="0.3">
      <c r="A9350" s="45">
        <v>45450</v>
      </c>
      <c r="B9350" s="396" t="s">
        <v>13385</v>
      </c>
      <c r="C9350" s="5" t="s">
        <v>5793</v>
      </c>
      <c r="D9350" s="5" t="s">
        <v>40</v>
      </c>
      <c r="E9350" s="43">
        <v>1500</v>
      </c>
      <c r="F9350" s="43"/>
      <c r="G9350" s="48">
        <f t="shared" si="231"/>
        <v>817688.68492769753</v>
      </c>
      <c r="H9350" s="389" t="s">
        <v>9567</v>
      </c>
    </row>
    <row r="9351" spans="1:8" x14ac:dyDescent="0.3">
      <c r="A9351" s="45">
        <v>45450</v>
      </c>
      <c r="B9351" s="396" t="s">
        <v>13709</v>
      </c>
      <c r="C9351" s="5" t="s">
        <v>26</v>
      </c>
      <c r="D9351" s="5" t="s">
        <v>13801</v>
      </c>
      <c r="E9351" s="43">
        <v>3000</v>
      </c>
      <c r="F9351" s="43"/>
      <c r="G9351" s="48">
        <f t="shared" si="231"/>
        <v>814688.68492769753</v>
      </c>
      <c r="H9351" s="389" t="s">
        <v>9567</v>
      </c>
    </row>
    <row r="9352" spans="1:8" x14ac:dyDescent="0.3">
      <c r="A9352" s="45">
        <v>45450</v>
      </c>
      <c r="B9352" s="396" t="s">
        <v>25</v>
      </c>
      <c r="C9352" s="5" t="s">
        <v>25</v>
      </c>
      <c r="D9352" s="5" t="s">
        <v>11434</v>
      </c>
      <c r="E9352" s="43">
        <v>2000</v>
      </c>
      <c r="F9352" s="43"/>
      <c r="G9352" s="48">
        <f t="shared" si="231"/>
        <v>812688.68492769753</v>
      </c>
      <c r="H9352" s="389" t="s">
        <v>9567</v>
      </c>
    </row>
    <row r="9353" spans="1:8" x14ac:dyDescent="0.3">
      <c r="A9353" s="45">
        <v>45450</v>
      </c>
      <c r="B9353" s="396" t="s">
        <v>13833</v>
      </c>
      <c r="C9353" s="5" t="s">
        <v>9758</v>
      </c>
      <c r="D9353" s="5" t="s">
        <v>13834</v>
      </c>
      <c r="E9353" s="43">
        <v>10000</v>
      </c>
      <c r="F9353" s="43"/>
      <c r="G9353" s="48">
        <f t="shared" si="231"/>
        <v>802688.68492769753</v>
      </c>
      <c r="H9353" s="389" t="s">
        <v>9567</v>
      </c>
    </row>
    <row r="9354" spans="1:8" x14ac:dyDescent="0.3">
      <c r="A9354" s="45">
        <v>45450</v>
      </c>
      <c r="B9354" s="396" t="s">
        <v>12796</v>
      </c>
      <c r="C9354" s="5" t="s">
        <v>5793</v>
      </c>
      <c r="D9354" s="5" t="s">
        <v>40</v>
      </c>
      <c r="E9354" s="43">
        <v>3000</v>
      </c>
      <c r="F9354" s="43"/>
      <c r="G9354" s="48">
        <f t="shared" si="231"/>
        <v>799688.68492769753</v>
      </c>
      <c r="H9354" s="389" t="s">
        <v>9567</v>
      </c>
    </row>
    <row r="9355" spans="1:8" x14ac:dyDescent="0.3">
      <c r="A9355" s="45">
        <v>45451</v>
      </c>
      <c r="B9355" s="394" t="s">
        <v>12611</v>
      </c>
      <c r="C9355" s="186" t="s">
        <v>54</v>
      </c>
      <c r="D9355" s="186" t="s">
        <v>13803</v>
      </c>
      <c r="E9355" s="187">
        <v>61350</v>
      </c>
      <c r="F9355" s="43"/>
      <c r="G9355" s="48">
        <f t="shared" si="231"/>
        <v>738338.68492769753</v>
      </c>
      <c r="H9355" s="389" t="s">
        <v>9567</v>
      </c>
    </row>
    <row r="9356" spans="1:8" x14ac:dyDescent="0.3">
      <c r="A9356" s="45">
        <v>45451</v>
      </c>
      <c r="B9356" s="394" t="s">
        <v>12611</v>
      </c>
      <c r="C9356" s="186" t="s">
        <v>54</v>
      </c>
      <c r="D9356" s="186" t="s">
        <v>13805</v>
      </c>
      <c r="E9356" s="187">
        <v>27100</v>
      </c>
      <c r="F9356" s="43"/>
      <c r="G9356" s="48">
        <f t="shared" si="231"/>
        <v>711238.68492769753</v>
      </c>
      <c r="H9356" s="389" t="s">
        <v>9567</v>
      </c>
    </row>
    <row r="9357" spans="1:8" x14ac:dyDescent="0.3">
      <c r="A9357" s="45">
        <v>45451</v>
      </c>
      <c r="B9357" s="396" t="s">
        <v>25</v>
      </c>
      <c r="C9357" s="5" t="s">
        <v>25</v>
      </c>
      <c r="D9357" s="5" t="s">
        <v>11434</v>
      </c>
      <c r="E9357" s="43">
        <v>2000</v>
      </c>
      <c r="F9357" s="43"/>
      <c r="G9357" s="48">
        <f t="shared" si="231"/>
        <v>709238.68492769753</v>
      </c>
      <c r="H9357" s="389" t="s">
        <v>9567</v>
      </c>
    </row>
    <row r="9358" spans="1:8" x14ac:dyDescent="0.3">
      <c r="A9358" s="45">
        <v>45451</v>
      </c>
      <c r="B9358" s="396" t="s">
        <v>12611</v>
      </c>
      <c r="C9358" s="5" t="s">
        <v>13804</v>
      </c>
      <c r="D9358" s="5" t="s">
        <v>13814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11434</v>
      </c>
      <c r="E9361" s="43">
        <v>3500</v>
      </c>
      <c r="F9361" s="43"/>
      <c r="G9361" s="48">
        <f t="shared" si="232"/>
        <v>497988.68492769753</v>
      </c>
      <c r="H9361" s="389" t="s">
        <v>9567</v>
      </c>
    </row>
    <row r="9362" spans="1:8" x14ac:dyDescent="0.3">
      <c r="A9362" s="45">
        <v>45453</v>
      </c>
      <c r="B9362" s="565"/>
      <c r="C9362" s="480"/>
      <c r="D9362" s="491" t="s">
        <v>11014</v>
      </c>
      <c r="E9362" s="480"/>
      <c r="F9362" s="43">
        <v>100000</v>
      </c>
      <c r="G9362" s="48">
        <f t="shared" si="232"/>
        <v>597988.68492769753</v>
      </c>
      <c r="H9362" s="389" t="s">
        <v>9567</v>
      </c>
    </row>
    <row r="9363" spans="1:8" x14ac:dyDescent="0.3">
      <c r="A9363" s="45">
        <v>45453</v>
      </c>
      <c r="B9363" s="396" t="s">
        <v>12796</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13810</v>
      </c>
      <c r="E9364" s="43">
        <v>33500</v>
      </c>
      <c r="F9364" s="43"/>
      <c r="G9364" s="48">
        <f t="shared" si="232"/>
        <v>554488.68492769753</v>
      </c>
      <c r="H9364" s="389" t="s">
        <v>9567</v>
      </c>
    </row>
    <row r="9365" spans="1:8" x14ac:dyDescent="0.3">
      <c r="A9365" s="45">
        <v>45453</v>
      </c>
      <c r="B9365" s="396" t="s">
        <v>12055</v>
      </c>
      <c r="C9365" s="5" t="s">
        <v>54</v>
      </c>
      <c r="D9365" s="5" t="s">
        <v>13807</v>
      </c>
      <c r="E9365" s="43">
        <v>20000</v>
      </c>
      <c r="F9365" s="43"/>
      <c r="G9365" s="48">
        <f t="shared" si="232"/>
        <v>534488.68492769753</v>
      </c>
      <c r="H9365" s="389" t="s">
        <v>9567</v>
      </c>
    </row>
    <row r="9366" spans="1:8" x14ac:dyDescent="0.3">
      <c r="A9366" s="45">
        <v>45453</v>
      </c>
      <c r="B9366" s="396" t="s">
        <v>13764</v>
      </c>
      <c r="C9366" s="5" t="s">
        <v>9758</v>
      </c>
      <c r="D9366" s="5" t="s">
        <v>13834</v>
      </c>
      <c r="E9366" s="43">
        <v>5000</v>
      </c>
      <c r="F9366" s="43"/>
      <c r="G9366" s="48">
        <f t="shared" si="232"/>
        <v>529488.68492769753</v>
      </c>
      <c r="H9366" s="389" t="s">
        <v>9567</v>
      </c>
    </row>
    <row r="9367" spans="1:8" x14ac:dyDescent="0.3">
      <c r="A9367" s="45">
        <v>45453</v>
      </c>
      <c r="B9367" s="396" t="s">
        <v>12230</v>
      </c>
      <c r="C9367" s="5" t="s">
        <v>550</v>
      </c>
      <c r="D9367" s="5" t="s">
        <v>13809</v>
      </c>
      <c r="E9367" s="43">
        <v>7900</v>
      </c>
      <c r="F9367" s="43"/>
      <c r="G9367" s="48">
        <f t="shared" si="232"/>
        <v>521588.68492769753</v>
      </c>
      <c r="H9367" s="389" t="s">
        <v>9567</v>
      </c>
    </row>
    <row r="9368" spans="1:8" x14ac:dyDescent="0.3">
      <c r="A9368" s="45">
        <v>45453</v>
      </c>
      <c r="B9368" s="396" t="s">
        <v>9979</v>
      </c>
      <c r="C9368" s="5" t="s">
        <v>4550</v>
      </c>
      <c r="D9368" s="5" t="s">
        <v>13808</v>
      </c>
      <c r="E9368" s="43">
        <v>10000</v>
      </c>
      <c r="F9368" s="43"/>
      <c r="G9368" s="48">
        <f t="shared" si="232"/>
        <v>511588.68492769753</v>
      </c>
      <c r="H9368" s="389" t="s">
        <v>9567</v>
      </c>
    </row>
    <row r="9369" spans="1:8" x14ac:dyDescent="0.3">
      <c r="A9369" s="45">
        <v>45454</v>
      </c>
      <c r="B9369" s="396" t="s">
        <v>13709</v>
      </c>
      <c r="C9369" s="5" t="s">
        <v>11174</v>
      </c>
      <c r="D9369" s="5" t="s">
        <v>13811</v>
      </c>
      <c r="E9369" s="43">
        <v>11300</v>
      </c>
      <c r="F9369" s="43"/>
      <c r="G9369" s="48">
        <f t="shared" si="232"/>
        <v>500288.68492769753</v>
      </c>
      <c r="H9369" s="389" t="s">
        <v>9567</v>
      </c>
    </row>
    <row r="9370" spans="1:8" x14ac:dyDescent="0.3">
      <c r="A9370" s="45">
        <v>45454</v>
      </c>
      <c r="B9370" s="396" t="s">
        <v>13385</v>
      </c>
      <c r="C9370" s="5" t="s">
        <v>11174</v>
      </c>
      <c r="D9370" s="5" t="s">
        <v>13812</v>
      </c>
      <c r="E9370" s="43">
        <v>1700</v>
      </c>
      <c r="F9370" s="43"/>
      <c r="G9370" s="48">
        <f t="shared" si="232"/>
        <v>498588.68492769753</v>
      </c>
      <c r="H9370" s="389" t="s">
        <v>9567</v>
      </c>
    </row>
    <row r="9371" spans="1:8" x14ac:dyDescent="0.3">
      <c r="A9371" s="45">
        <v>45454</v>
      </c>
      <c r="B9371" s="396" t="s">
        <v>13385</v>
      </c>
      <c r="C9371" s="5" t="s">
        <v>11174</v>
      </c>
      <c r="D9371" s="5" t="s">
        <v>13813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11434</v>
      </c>
      <c r="E9373" s="43">
        <v>5000</v>
      </c>
      <c r="F9373" s="43"/>
      <c r="G9373" s="48">
        <f t="shared" si="232"/>
        <v>476728.68492769753</v>
      </c>
      <c r="H9373" s="389" t="s">
        <v>9567</v>
      </c>
    </row>
    <row r="9374" spans="1:8" x14ac:dyDescent="0.3">
      <c r="A9374" s="45">
        <v>45454</v>
      </c>
      <c r="B9374" s="396" t="s">
        <v>12611</v>
      </c>
      <c r="C9374" s="5" t="s">
        <v>11174</v>
      </c>
      <c r="D9374" s="5" t="s">
        <v>13831</v>
      </c>
      <c r="E9374" s="43">
        <v>4380</v>
      </c>
      <c r="F9374" s="43"/>
      <c r="G9374" s="48">
        <f t="shared" si="232"/>
        <v>472348.68492769753</v>
      </c>
      <c r="H9374" s="389" t="s">
        <v>9567</v>
      </c>
    </row>
    <row r="9375" spans="1:8" x14ac:dyDescent="0.3">
      <c r="A9375" s="45">
        <v>45454</v>
      </c>
      <c r="B9375" s="396" t="s">
        <v>12230</v>
      </c>
      <c r="C9375" s="5" t="s">
        <v>640</v>
      </c>
      <c r="D9375" s="5" t="s">
        <v>3195</v>
      </c>
      <c r="E9375" s="43">
        <v>5000</v>
      </c>
      <c r="F9375" s="43"/>
      <c r="G9375" s="48">
        <f t="shared" si="232"/>
        <v>467348.68492769753</v>
      </c>
      <c r="H9375" s="389" t="s">
        <v>9567</v>
      </c>
    </row>
    <row r="9376" spans="1:8" x14ac:dyDescent="0.3">
      <c r="A9376" s="45">
        <v>45454</v>
      </c>
      <c r="B9376" s="396" t="s">
        <v>12611</v>
      </c>
      <c r="C9376" s="5" t="s">
        <v>11174</v>
      </c>
      <c r="D9376" s="5" t="s">
        <v>13831</v>
      </c>
      <c r="E9376" s="43">
        <v>1840</v>
      </c>
      <c r="F9376" s="43"/>
      <c r="G9376" s="48">
        <f t="shared" si="232"/>
        <v>465508.68492769753</v>
      </c>
      <c r="H9376" s="389" t="s">
        <v>9567</v>
      </c>
    </row>
    <row r="9377" spans="1:9" x14ac:dyDescent="0.3">
      <c r="A9377" s="45">
        <v>45454</v>
      </c>
      <c r="B9377" s="565"/>
      <c r="C9377" s="480"/>
      <c r="D9377" s="491" t="s">
        <v>11014</v>
      </c>
      <c r="E9377" s="480"/>
      <c r="F9377" s="43">
        <v>650000</v>
      </c>
      <c r="G9377" s="48">
        <f t="shared" si="232"/>
        <v>1115508.6849276975</v>
      </c>
      <c r="H9377" s="389" t="s">
        <v>9567</v>
      </c>
    </row>
    <row r="9378" spans="1:9" x14ac:dyDescent="0.3">
      <c r="A9378" s="45">
        <v>45454</v>
      </c>
      <c r="B9378" s="565"/>
      <c r="C9378" s="480"/>
      <c r="D9378" s="491" t="s">
        <v>13830</v>
      </c>
      <c r="E9378" s="480"/>
      <c r="F9378" s="43">
        <v>1000000</v>
      </c>
      <c r="G9378" s="48">
        <f t="shared" si="232"/>
        <v>2115508.6849276973</v>
      </c>
      <c r="H9378" s="389" t="s">
        <v>9567</v>
      </c>
    </row>
    <row r="9379" spans="1:9" x14ac:dyDescent="0.3">
      <c r="A9379" s="45">
        <v>45454</v>
      </c>
      <c r="B9379" s="396" t="s">
        <v>12055</v>
      </c>
      <c r="C9379" s="5" t="s">
        <v>11174</v>
      </c>
      <c r="D9379" s="5" t="s">
        <v>13832</v>
      </c>
      <c r="E9379" s="43">
        <v>10500</v>
      </c>
      <c r="F9379" s="43"/>
      <c r="G9379" s="48">
        <f t="shared" si="232"/>
        <v>2105008.6849276973</v>
      </c>
      <c r="H9379" s="389" t="s">
        <v>9567</v>
      </c>
    </row>
    <row r="9380" spans="1:9" x14ac:dyDescent="0.3">
      <c r="A9380" s="45">
        <v>45454</v>
      </c>
      <c r="B9380" s="396" t="s">
        <v>25</v>
      </c>
      <c r="C9380" s="5" t="s">
        <v>25</v>
      </c>
      <c r="D9380" s="5" t="s">
        <v>11434</v>
      </c>
      <c r="E9380" s="43">
        <v>3000</v>
      </c>
      <c r="F9380" s="43"/>
      <c r="G9380" s="48">
        <f t="shared" si="232"/>
        <v>2102008.6849276973</v>
      </c>
      <c r="H9380" s="389" t="s">
        <v>9567</v>
      </c>
    </row>
    <row r="9381" spans="1:9" x14ac:dyDescent="0.3">
      <c r="A9381" s="45">
        <v>45455</v>
      </c>
      <c r="B9381" s="396"/>
      <c r="C9381" s="5" t="s">
        <v>14</v>
      </c>
      <c r="D9381" s="5" t="s">
        <v>12215</v>
      </c>
      <c r="E9381" s="43">
        <v>29584</v>
      </c>
      <c r="F9381" s="43"/>
      <c r="G9381" s="48">
        <f t="shared" si="232"/>
        <v>2072424.6849276973</v>
      </c>
      <c r="H9381" s="389" t="s">
        <v>9567</v>
      </c>
    </row>
    <row r="9382" spans="1:9" x14ac:dyDescent="0.3">
      <c r="A9382" s="45">
        <v>45455</v>
      </c>
      <c r="B9382" s="396" t="s">
        <v>12611</v>
      </c>
      <c r="C9382" s="5" t="s">
        <v>84</v>
      </c>
      <c r="D9382" s="5" t="s">
        <v>13835</v>
      </c>
      <c r="E9382" s="43">
        <v>30000</v>
      </c>
      <c r="F9382" s="43"/>
      <c r="G9382" s="48">
        <f t="shared" si="232"/>
        <v>2042424.6849276973</v>
      </c>
      <c r="H9382" s="389" t="s">
        <v>9567</v>
      </c>
    </row>
    <row r="9383" spans="1:9" x14ac:dyDescent="0.3">
      <c r="A9383" s="45">
        <v>45455</v>
      </c>
      <c r="B9383" s="396" t="s">
        <v>12133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11434</v>
      </c>
      <c r="E9384" s="43">
        <v>5000</v>
      </c>
      <c r="F9384" s="43"/>
      <c r="G9384" s="48">
        <f t="shared" si="232"/>
        <v>2036224.6849276973</v>
      </c>
      <c r="H9384" s="389" t="s">
        <v>9567</v>
      </c>
    </row>
    <row r="9385" spans="1:9" x14ac:dyDescent="0.3">
      <c r="A9385" s="45">
        <v>45456</v>
      </c>
      <c r="B9385" s="396"/>
      <c r="C9385" s="5" t="s">
        <v>13838</v>
      </c>
      <c r="D9385" s="5" t="s">
        <v>13839</v>
      </c>
      <c r="E9385" s="43">
        <v>7000</v>
      </c>
      <c r="F9385" s="43"/>
      <c r="G9385" s="48">
        <f t="shared" si="232"/>
        <v>2029224.6849276973</v>
      </c>
      <c r="H9385" s="389" t="s">
        <v>9567</v>
      </c>
    </row>
    <row r="9386" spans="1:9" x14ac:dyDescent="0.3">
      <c r="A9386" s="45">
        <v>45456</v>
      </c>
      <c r="B9386" s="396" t="s">
        <v>12611</v>
      </c>
      <c r="C9386" s="5" t="s">
        <v>5793</v>
      </c>
      <c r="D9386" s="5" t="s">
        <v>40</v>
      </c>
      <c r="E9386" s="43">
        <v>800</v>
      </c>
      <c r="F9386" s="43"/>
      <c r="G9386" s="48">
        <f t="shared" si="232"/>
        <v>2028424.6849276973</v>
      </c>
      <c r="H9386" s="389" t="s">
        <v>9567</v>
      </c>
    </row>
    <row r="9387" spans="1:9" x14ac:dyDescent="0.3">
      <c r="A9387" s="45">
        <v>45456</v>
      </c>
      <c r="B9387" s="396" t="s">
        <v>12080</v>
      </c>
      <c r="C9387" s="5" t="s">
        <v>84</v>
      </c>
      <c r="D9387" s="5" t="s">
        <v>13841</v>
      </c>
      <c r="E9387" s="43">
        <v>20000</v>
      </c>
      <c r="F9387" s="43"/>
      <c r="G9387" s="48">
        <f t="shared" si="232"/>
        <v>2008424.6849276973</v>
      </c>
      <c r="H9387" s="389" t="s">
        <v>9567</v>
      </c>
    </row>
    <row r="9388" spans="1:9" x14ac:dyDescent="0.3">
      <c r="A9388" s="45">
        <v>45456</v>
      </c>
      <c r="B9388" s="396" t="s">
        <v>13551</v>
      </c>
      <c r="C9388" s="5" t="s">
        <v>13842</v>
      </c>
      <c r="D9388" s="5" t="s">
        <v>582</v>
      </c>
      <c r="E9388" s="43">
        <v>150000</v>
      </c>
      <c r="F9388" s="43"/>
      <c r="G9388" s="48">
        <f t="shared" si="232"/>
        <v>1858424.6849276973</v>
      </c>
      <c r="H9388" s="389" t="s">
        <v>9567</v>
      </c>
    </row>
    <row r="9389" spans="1:9" x14ac:dyDescent="0.3">
      <c r="A9389" s="45">
        <v>45456</v>
      </c>
      <c r="B9389" s="396" t="s">
        <v>13709</v>
      </c>
      <c r="C9389" s="5" t="s">
        <v>5793</v>
      </c>
      <c r="D9389" s="5" t="s">
        <v>13843</v>
      </c>
      <c r="E9389" s="43">
        <v>5000</v>
      </c>
      <c r="F9389" s="43"/>
      <c r="G9389" s="48">
        <f t="shared" si="232"/>
        <v>1853424.6849276973</v>
      </c>
      <c r="H9389" s="389" t="s">
        <v>9567</v>
      </c>
    </row>
    <row r="9390" spans="1:9" x14ac:dyDescent="0.3">
      <c r="A9390" s="45">
        <v>45456</v>
      </c>
      <c r="B9390" s="396" t="s">
        <v>12611</v>
      </c>
      <c r="C9390" s="5" t="s">
        <v>84</v>
      </c>
      <c r="D9390" s="5" t="s">
        <v>13844</v>
      </c>
      <c r="E9390" s="43">
        <v>20000</v>
      </c>
      <c r="F9390" s="43"/>
      <c r="G9390" s="48">
        <f t="shared" si="232"/>
        <v>1833424.6849276973</v>
      </c>
      <c r="H9390" s="389" t="s">
        <v>9567</v>
      </c>
    </row>
    <row r="9391" spans="1:9" x14ac:dyDescent="0.3">
      <c r="A9391" s="45">
        <v>45456</v>
      </c>
      <c r="B9391" s="396" t="s">
        <v>12055</v>
      </c>
      <c r="C9391" s="5" t="s">
        <v>13850</v>
      </c>
      <c r="D9391" s="5" t="s">
        <v>13845</v>
      </c>
      <c r="E9391" s="43">
        <v>150000</v>
      </c>
      <c r="F9391" s="43"/>
      <c r="G9391" s="48">
        <f t="shared" si="232"/>
        <v>1683424.6849276973</v>
      </c>
      <c r="H9391" s="389" t="s">
        <v>9567</v>
      </c>
    </row>
    <row r="9392" spans="1:9" x14ac:dyDescent="0.3">
      <c r="A9392" s="45">
        <v>45456</v>
      </c>
      <c r="B9392" s="396" t="s">
        <v>12796</v>
      </c>
      <c r="C9392" s="5" t="s">
        <v>12797</v>
      </c>
      <c r="D9392" s="5" t="s">
        <v>294</v>
      </c>
      <c r="E9392" s="43">
        <v>250000</v>
      </c>
      <c r="F9392" s="43"/>
      <c r="G9392" s="48">
        <f t="shared" si="232"/>
        <v>1433424.6849276973</v>
      </c>
      <c r="H9392" s="389" t="s">
        <v>9567</v>
      </c>
    </row>
    <row r="9393" spans="1:8" x14ac:dyDescent="0.3">
      <c r="A9393" s="45">
        <v>45456</v>
      </c>
      <c r="B9393" s="396" t="s">
        <v>13075</v>
      </c>
      <c r="C9393" s="5" t="s">
        <v>13846</v>
      </c>
      <c r="D9393" s="5" t="s">
        <v>10613</v>
      </c>
      <c r="E9393" s="43">
        <v>12500</v>
      </c>
      <c r="F9393" s="43"/>
      <c r="G9393" s="48">
        <f t="shared" si="232"/>
        <v>1420924.6849276973</v>
      </c>
      <c r="H9393" s="389" t="s">
        <v>9567</v>
      </c>
    </row>
    <row r="9394" spans="1:8" x14ac:dyDescent="0.3">
      <c r="A9394" s="45">
        <v>45456</v>
      </c>
      <c r="B9394" s="396" t="s">
        <v>13709</v>
      </c>
      <c r="C9394" s="5" t="s">
        <v>11756</v>
      </c>
      <c r="D9394" s="5" t="s">
        <v>294</v>
      </c>
      <c r="E9394" s="43">
        <v>120000</v>
      </c>
      <c r="F9394" s="43"/>
      <c r="G9394" s="48">
        <f t="shared" si="232"/>
        <v>1300924.6849276973</v>
      </c>
      <c r="H9394" s="389" t="s">
        <v>9567</v>
      </c>
    </row>
    <row r="9395" spans="1:8" x14ac:dyDescent="0.3">
      <c r="A9395" s="45">
        <v>45457</v>
      </c>
      <c r="B9395" s="396" t="s">
        <v>13709</v>
      </c>
      <c r="C9395" s="5" t="s">
        <v>26</v>
      </c>
      <c r="D9395" s="5" t="s">
        <v>13849</v>
      </c>
      <c r="E9395" s="43">
        <v>600</v>
      </c>
      <c r="F9395" s="43"/>
      <c r="G9395" s="48">
        <f t="shared" si="232"/>
        <v>1300324.6849276973</v>
      </c>
      <c r="H9395" s="389" t="s">
        <v>9567</v>
      </c>
    </row>
    <row r="9396" spans="1:8" x14ac:dyDescent="0.3">
      <c r="A9396" s="45">
        <v>45457</v>
      </c>
      <c r="B9396" s="396" t="s">
        <v>13188</v>
      </c>
      <c r="C9396" s="5" t="s">
        <v>13851</v>
      </c>
      <c r="D9396" s="5" t="s">
        <v>13852</v>
      </c>
      <c r="E9396" s="43">
        <v>52000</v>
      </c>
      <c r="F9396" s="43"/>
      <c r="G9396" s="48">
        <f t="shared" si="232"/>
        <v>1248324.6849276973</v>
      </c>
      <c r="H9396" s="389" t="s">
        <v>9567</v>
      </c>
    </row>
    <row r="9397" spans="1:8" x14ac:dyDescent="0.3">
      <c r="A9397" s="45">
        <v>45457</v>
      </c>
      <c r="B9397" s="396" t="s">
        <v>25</v>
      </c>
      <c r="C9397" s="5" t="s">
        <v>25</v>
      </c>
      <c r="D9397" s="5" t="s">
        <v>11434</v>
      </c>
      <c r="E9397" s="43">
        <v>4000</v>
      </c>
      <c r="F9397" s="43"/>
      <c r="G9397" s="48">
        <f t="shared" si="232"/>
        <v>1244324.6849276973</v>
      </c>
      <c r="H9397" s="389" t="s">
        <v>9567</v>
      </c>
    </row>
    <row r="9398" spans="1:8" x14ac:dyDescent="0.3">
      <c r="A9398" s="45">
        <v>45457</v>
      </c>
      <c r="B9398" s="396" t="s">
        <v>25</v>
      </c>
      <c r="C9398" s="5" t="s">
        <v>84</v>
      </c>
      <c r="D9398" s="5" t="s">
        <v>13853</v>
      </c>
      <c r="E9398" s="43">
        <v>5000</v>
      </c>
      <c r="F9398" s="43"/>
      <c r="G9398" s="48">
        <f t="shared" si="232"/>
        <v>1239324.6849276973</v>
      </c>
      <c r="H9398" s="389" t="s">
        <v>9567</v>
      </c>
    </row>
    <row r="9399" spans="1:8" x14ac:dyDescent="0.3">
      <c r="A9399" s="45">
        <v>45457</v>
      </c>
      <c r="B9399" s="396" t="s">
        <v>13709</v>
      </c>
      <c r="C9399" s="5" t="s">
        <v>30</v>
      </c>
      <c r="D9399" s="5" t="s">
        <v>11568</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12133</v>
      </c>
      <c r="C9401" s="186" t="s">
        <v>54</v>
      </c>
      <c r="D9401" s="186" t="s">
        <v>13854</v>
      </c>
      <c r="E9401" s="187">
        <v>18500</v>
      </c>
      <c r="F9401" s="43"/>
      <c r="G9401" s="48">
        <f t="shared" si="232"/>
        <v>1210324.6849276973</v>
      </c>
      <c r="H9401" s="389" t="s">
        <v>9567</v>
      </c>
    </row>
    <row r="9402" spans="1:8" x14ac:dyDescent="0.3">
      <c r="A9402" s="45">
        <v>45457</v>
      </c>
      <c r="B9402" s="396" t="s">
        <v>13709</v>
      </c>
      <c r="C9402" s="5" t="s">
        <v>84</v>
      </c>
      <c r="D9402" s="5" t="s">
        <v>13855</v>
      </c>
      <c r="E9402" s="43">
        <v>3000</v>
      </c>
      <c r="F9402" s="43"/>
      <c r="G9402" s="48">
        <f t="shared" si="232"/>
        <v>1207324.6849276973</v>
      </c>
      <c r="H9402" s="389" t="s">
        <v>9567</v>
      </c>
    </row>
    <row r="9403" spans="1:8" x14ac:dyDescent="0.3">
      <c r="A9403" s="45">
        <v>45457</v>
      </c>
      <c r="B9403" s="396" t="s">
        <v>12230</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12133</v>
      </c>
      <c r="C9405" s="5" t="s">
        <v>4156</v>
      </c>
      <c r="D9405" s="5" t="s">
        <v>294</v>
      </c>
      <c r="E9405" s="43">
        <v>250000</v>
      </c>
      <c r="F9405" s="43"/>
      <c r="G9405" s="48">
        <f t="shared" si="232"/>
        <v>944799.68492769729</v>
      </c>
      <c r="H9405" s="389" t="s">
        <v>9567</v>
      </c>
    </row>
    <row r="9406" spans="1:8" x14ac:dyDescent="0.3">
      <c r="A9406" s="45">
        <v>45458</v>
      </c>
      <c r="B9406" s="396" t="s">
        <v>12133</v>
      </c>
      <c r="C9406" s="5" t="s">
        <v>84</v>
      </c>
      <c r="D9406" s="5" t="s">
        <v>13856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13857</v>
      </c>
      <c r="D9408" s="5" t="s">
        <v>294</v>
      </c>
      <c r="E9408" s="43">
        <v>22000</v>
      </c>
      <c r="F9408" s="43"/>
      <c r="G9408" s="48">
        <f t="shared" si="232"/>
        <v>417799.68492769729</v>
      </c>
      <c r="H9408" s="389" t="s">
        <v>9567</v>
      </c>
    </row>
    <row r="9409" spans="1:14" x14ac:dyDescent="0.3">
      <c r="A9409" s="45">
        <v>45458</v>
      </c>
      <c r="B9409" s="396" t="s">
        <v>12133</v>
      </c>
      <c r="C9409" s="5" t="s">
        <v>13857</v>
      </c>
      <c r="D9409" s="5" t="s">
        <v>294</v>
      </c>
      <c r="E9409" s="43">
        <v>43600</v>
      </c>
      <c r="F9409" s="43"/>
      <c r="G9409" s="48">
        <f t="shared" si="232"/>
        <v>374199.68492769729</v>
      </c>
      <c r="H9409" s="389" t="s">
        <v>9567</v>
      </c>
    </row>
    <row r="9410" spans="1:14" x14ac:dyDescent="0.3">
      <c r="A9410" s="45">
        <v>45458</v>
      </c>
      <c r="B9410" s="396" t="s">
        <v>13379</v>
      </c>
      <c r="C9410" s="5" t="s">
        <v>9451</v>
      </c>
      <c r="D9410" s="5" t="s">
        <v>13858</v>
      </c>
      <c r="E9410" s="43">
        <v>20000</v>
      </c>
      <c r="F9410" s="43"/>
      <c r="G9410" s="48">
        <f t="shared" si="232"/>
        <v>354199.68492769729</v>
      </c>
      <c r="H9410" s="389" t="s">
        <v>9567</v>
      </c>
    </row>
    <row r="9411" spans="1:14" x14ac:dyDescent="0.3">
      <c r="A9411" s="45">
        <v>45458</v>
      </c>
      <c r="B9411" s="396" t="s">
        <v>12133</v>
      </c>
      <c r="C9411" s="5" t="s">
        <v>84</v>
      </c>
      <c r="D9411" s="5" t="s">
        <v>13859</v>
      </c>
      <c r="E9411" s="43">
        <v>5000</v>
      </c>
      <c r="F9411" s="43"/>
      <c r="G9411" s="48">
        <f t="shared" si="232"/>
        <v>349199.68492769729</v>
      </c>
      <c r="H9411" s="389" t="s">
        <v>9567</v>
      </c>
    </row>
    <row r="9412" spans="1:14" x14ac:dyDescent="0.3">
      <c r="A9412" s="45">
        <v>45458</v>
      </c>
      <c r="B9412" s="396" t="s">
        <v>12055</v>
      </c>
      <c r="C9412" s="5" t="s">
        <v>11174</v>
      </c>
      <c r="D9412" s="5" t="s">
        <v>13860</v>
      </c>
      <c r="E9412" s="43">
        <v>5000</v>
      </c>
      <c r="F9412" s="43"/>
      <c r="G9412" s="48">
        <f t="shared" si="232"/>
        <v>344199.68492769729</v>
      </c>
      <c r="H9412" s="389" t="s">
        <v>9567</v>
      </c>
    </row>
    <row r="9413" spans="1:14" x14ac:dyDescent="0.3">
      <c r="A9413" s="45">
        <v>45458</v>
      </c>
      <c r="B9413" s="396" t="s">
        <v>12055</v>
      </c>
      <c r="C9413" s="5" t="s">
        <v>11386</v>
      </c>
      <c r="D9413" s="5" t="s">
        <v>13862</v>
      </c>
      <c r="E9413" s="43">
        <v>20000</v>
      </c>
      <c r="F9413" s="43"/>
      <c r="G9413" s="48">
        <f t="shared" si="232"/>
        <v>324199.68492769729</v>
      </c>
      <c r="H9413" s="389" t="s">
        <v>9567</v>
      </c>
    </row>
    <row r="9414" spans="1:14" x14ac:dyDescent="0.3">
      <c r="A9414" s="45">
        <v>45458</v>
      </c>
      <c r="B9414" s="396" t="s">
        <v>13188</v>
      </c>
      <c r="C9414" s="5" t="s">
        <v>84</v>
      </c>
      <c r="D9414" s="5" t="s">
        <v>13861</v>
      </c>
      <c r="E9414" s="43">
        <v>4000</v>
      </c>
      <c r="F9414" s="43"/>
      <c r="G9414" s="48">
        <f t="shared" si="232"/>
        <v>320199.68492769729</v>
      </c>
      <c r="H9414" s="389" t="s">
        <v>9567</v>
      </c>
    </row>
    <row r="9415" spans="1:14" x14ac:dyDescent="0.3">
      <c r="A9415" s="45">
        <v>45458</v>
      </c>
      <c r="B9415" s="396" t="s">
        <v>25</v>
      </c>
      <c r="C9415" s="5" t="s">
        <v>25</v>
      </c>
      <c r="D9415" s="5" t="s">
        <v>11434</v>
      </c>
      <c r="E9415" s="43">
        <v>2000</v>
      </c>
      <c r="F9415" s="43"/>
      <c r="G9415" s="48">
        <f t="shared" si="232"/>
        <v>318199.68492769729</v>
      </c>
      <c r="H9415" s="389" t="s">
        <v>9567</v>
      </c>
    </row>
    <row r="9416" spans="1:14" x14ac:dyDescent="0.3">
      <c r="A9416" s="45">
        <v>45463</v>
      </c>
      <c r="B9416" s="396" t="s">
        <v>25</v>
      </c>
      <c r="C9416" s="5" t="s">
        <v>84</v>
      </c>
      <c r="D9416" s="5" t="s">
        <v>13863</v>
      </c>
      <c r="E9416" s="43">
        <v>1000</v>
      </c>
      <c r="F9416" s="43"/>
      <c r="G9416" s="48">
        <f t="shared" si="232"/>
        <v>317199.68492769729</v>
      </c>
      <c r="H9416" s="389" t="s">
        <v>9567</v>
      </c>
    </row>
    <row r="9417" spans="1:14" x14ac:dyDescent="0.3">
      <c r="A9417" s="45">
        <v>45463</v>
      </c>
      <c r="B9417" s="396" t="s">
        <v>25</v>
      </c>
      <c r="C9417" s="5" t="s">
        <v>25</v>
      </c>
      <c r="D9417" s="5" t="s">
        <v>11434</v>
      </c>
      <c r="E9417" s="43">
        <v>3000</v>
      </c>
      <c r="F9417" s="43"/>
      <c r="G9417" s="48">
        <f t="shared" si="232"/>
        <v>314199.68492769729</v>
      </c>
      <c r="H9417" s="389" t="s">
        <v>9567</v>
      </c>
    </row>
    <row r="9418" spans="1:14" x14ac:dyDescent="0.3">
      <c r="A9418" s="45">
        <v>45463</v>
      </c>
      <c r="B9418" s="396" t="s">
        <v>12080</v>
      </c>
      <c r="C9418" s="5" t="s">
        <v>5793</v>
      </c>
      <c r="D9418" s="5" t="s">
        <v>13864</v>
      </c>
      <c r="E9418" s="43">
        <v>300</v>
      </c>
      <c r="F9418" s="43"/>
      <c r="G9418" s="48">
        <f t="shared" si="232"/>
        <v>313899.68492769729</v>
      </c>
      <c r="H9418" s="389" t="s">
        <v>9567</v>
      </c>
    </row>
    <row r="9419" spans="1:14" x14ac:dyDescent="0.3">
      <c r="A9419" s="45">
        <v>45463</v>
      </c>
      <c r="B9419" s="396" t="s">
        <v>13321</v>
      </c>
      <c r="C9419" s="5" t="s">
        <v>54</v>
      </c>
      <c r="D9419" s="5" t="s">
        <v>13865</v>
      </c>
      <c r="E9419" s="43">
        <v>7060</v>
      </c>
      <c r="F9419" s="43"/>
      <c r="G9419" s="48">
        <f t="shared" si="232"/>
        <v>306839.68492769729</v>
      </c>
      <c r="H9419" s="389" t="s">
        <v>9567</v>
      </c>
    </row>
    <row r="9420" spans="1:14" x14ac:dyDescent="0.3">
      <c r="A9420" s="45">
        <v>45463</v>
      </c>
      <c r="B9420" s="396" t="s">
        <v>12086</v>
      </c>
      <c r="C9420" s="5" t="s">
        <v>13867</v>
      </c>
      <c r="D9420" s="5" t="s">
        <v>1044</v>
      </c>
      <c r="E9420" s="43">
        <v>11850</v>
      </c>
      <c r="F9420" s="43"/>
      <c r="G9420" s="48">
        <f t="shared" si="232"/>
        <v>294989.68492769729</v>
      </c>
      <c r="H9420" s="389" t="s">
        <v>9567</v>
      </c>
      <c r="I9420" s="52">
        <v>151325</v>
      </c>
    </row>
    <row r="9421" spans="1:14" x14ac:dyDescent="0.3">
      <c r="A9421" s="45">
        <v>45463</v>
      </c>
      <c r="B9421" s="396" t="s">
        <v>13188</v>
      </c>
      <c r="C9421" s="5" t="s">
        <v>5793</v>
      </c>
      <c r="D9421" s="5" t="s">
        <v>40</v>
      </c>
      <c r="E9421" s="43">
        <v>230</v>
      </c>
      <c r="F9421" s="43"/>
      <c r="G9421" s="48">
        <f t="shared" si="232"/>
        <v>294759.68492769729</v>
      </c>
      <c r="H9421" s="389" t="s">
        <v>9567</v>
      </c>
      <c r="I9421" s="52">
        <f>I9420*18%</f>
        <v>27238.5</v>
      </c>
    </row>
    <row r="9422" spans="1:14" x14ac:dyDescent="0.3">
      <c r="A9422" s="45">
        <v>45463</v>
      </c>
      <c r="B9422" s="396" t="s">
        <v>13458</v>
      </c>
      <c r="C9422" s="5" t="s">
        <v>4550</v>
      </c>
      <c r="D9422" s="5" t="s">
        <v>13866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11434</v>
      </c>
      <c r="E9423" s="43">
        <v>4000</v>
      </c>
      <c r="F9423" s="43"/>
      <c r="G9423" s="48">
        <f t="shared" si="233"/>
        <v>275759.68492769729</v>
      </c>
      <c r="H9423" s="389" t="s">
        <v>9567</v>
      </c>
    </row>
    <row r="9424" spans="1:14" s="387" customFormat="1" ht="37.5" x14ac:dyDescent="0.3">
      <c r="A9424" s="45">
        <v>45464</v>
      </c>
      <c r="B9424" s="320" t="s">
        <v>12230</v>
      </c>
      <c r="C9424" s="44" t="s">
        <v>1616</v>
      </c>
      <c r="D9424" s="124" t="s">
        <v>13869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13870</v>
      </c>
      <c r="D9425" s="5" t="s">
        <v>13871</v>
      </c>
      <c r="E9425" s="43">
        <v>29210</v>
      </c>
      <c r="F9425" s="43"/>
      <c r="G9425" s="48">
        <f t="shared" si="233"/>
        <v>163969.68492769729</v>
      </c>
      <c r="H9425" s="389" t="s">
        <v>9567</v>
      </c>
    </row>
    <row r="9426" spans="1:9" x14ac:dyDescent="0.3">
      <c r="A9426" s="45">
        <v>45464</v>
      </c>
      <c r="B9426" s="396" t="s">
        <v>13833</v>
      </c>
      <c r="C9426" s="5" t="s">
        <v>26</v>
      </c>
      <c r="D9426" s="5" t="s">
        <v>13872</v>
      </c>
      <c r="E9426" s="43">
        <v>1500</v>
      </c>
      <c r="F9426" s="43"/>
      <c r="G9426" s="48">
        <f t="shared" si="233"/>
        <v>162469.68492769729</v>
      </c>
      <c r="H9426" s="389" t="s">
        <v>9567</v>
      </c>
    </row>
    <row r="9427" spans="1:9" x14ac:dyDescent="0.3">
      <c r="A9427" s="45">
        <v>45464</v>
      </c>
      <c r="B9427" s="396" t="s">
        <v>12796</v>
      </c>
      <c r="C9427" s="5" t="s">
        <v>5793</v>
      </c>
      <c r="D9427" s="5" t="s">
        <v>40</v>
      </c>
      <c r="E9427" s="43">
        <v>450</v>
      </c>
      <c r="F9427" s="43"/>
      <c r="G9427" s="48">
        <f t="shared" si="233"/>
        <v>162019.68492769729</v>
      </c>
      <c r="H9427" s="389" t="s">
        <v>9567</v>
      </c>
    </row>
    <row r="9428" spans="1:9" x14ac:dyDescent="0.3">
      <c r="A9428" s="45">
        <v>45464</v>
      </c>
      <c r="B9428" s="396" t="s">
        <v>13709</v>
      </c>
      <c r="C9428" s="5" t="s">
        <v>13873</v>
      </c>
      <c r="D9428" s="5" t="s">
        <v>13874</v>
      </c>
      <c r="E9428" s="43">
        <v>23000</v>
      </c>
      <c r="F9428" s="43"/>
      <c r="G9428" s="48">
        <f t="shared" si="233"/>
        <v>139019.68492769729</v>
      </c>
      <c r="H9428" s="389" t="s">
        <v>9567</v>
      </c>
    </row>
    <row r="9429" spans="1:9" x14ac:dyDescent="0.3">
      <c r="A9429" s="45">
        <v>45464</v>
      </c>
      <c r="B9429" s="396" t="s">
        <v>25</v>
      </c>
      <c r="C9429" s="5" t="s">
        <v>84</v>
      </c>
      <c r="D9429" s="5" t="s">
        <v>13875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12796</v>
      </c>
      <c r="C9431" s="5" t="s">
        <v>5793</v>
      </c>
      <c r="D9431" s="5" t="s">
        <v>294</v>
      </c>
      <c r="E9431" s="43">
        <v>1600</v>
      </c>
      <c r="F9431" s="43"/>
      <c r="G9431" s="48">
        <f t="shared" si="233"/>
        <v>102419.68492769729</v>
      </c>
      <c r="H9431" s="389" t="s">
        <v>9567</v>
      </c>
    </row>
    <row r="9432" spans="1:9" x14ac:dyDescent="0.3">
      <c r="A9432" s="45">
        <v>45465</v>
      </c>
      <c r="B9432" s="396" t="s">
        <v>13188</v>
      </c>
      <c r="C9432" s="5" t="s">
        <v>5793</v>
      </c>
      <c r="D9432" s="5" t="s">
        <v>294</v>
      </c>
      <c r="E9432" s="43">
        <v>2700</v>
      </c>
      <c r="F9432" s="43"/>
      <c r="G9432" s="48">
        <f t="shared" si="233"/>
        <v>99719.684927697293</v>
      </c>
      <c r="H9432" s="389" t="s">
        <v>9567</v>
      </c>
    </row>
    <row r="9433" spans="1:9" x14ac:dyDescent="0.3">
      <c r="A9433" s="45">
        <v>45465</v>
      </c>
      <c r="B9433" s="396" t="s">
        <v>13877</v>
      </c>
      <c r="C9433" s="5" t="s">
        <v>11174</v>
      </c>
      <c r="D9433" s="5" t="s">
        <v>13878</v>
      </c>
      <c r="E9433" s="43">
        <v>10000</v>
      </c>
      <c r="F9433" s="43"/>
      <c r="G9433" s="48">
        <f t="shared" si="233"/>
        <v>89719.684927697293</v>
      </c>
      <c r="H9433" s="389" t="s">
        <v>9567</v>
      </c>
    </row>
    <row r="9434" spans="1:9" x14ac:dyDescent="0.3">
      <c r="A9434" s="45">
        <v>45465</v>
      </c>
      <c r="B9434" s="396" t="s">
        <v>25</v>
      </c>
      <c r="C9434" s="5" t="s">
        <v>25</v>
      </c>
      <c r="D9434" s="5" t="s">
        <v>11434</v>
      </c>
      <c r="E9434" s="43">
        <v>4000</v>
      </c>
      <c r="F9434" s="43"/>
      <c r="G9434" s="48">
        <f t="shared" si="233"/>
        <v>85719.684927697293</v>
      </c>
      <c r="H9434" s="389" t="s">
        <v>9567</v>
      </c>
    </row>
    <row r="9435" spans="1:9" x14ac:dyDescent="0.3">
      <c r="A9435" s="45">
        <v>45465</v>
      </c>
      <c r="B9435" s="396" t="s">
        <v>13709</v>
      </c>
      <c r="C9435" s="5" t="s">
        <v>5793</v>
      </c>
      <c r="D9435" s="5" t="s">
        <v>40</v>
      </c>
      <c r="E9435" s="43">
        <v>2000</v>
      </c>
      <c r="F9435" s="43"/>
      <c r="G9435" s="48">
        <f t="shared" si="233"/>
        <v>83719.684927697293</v>
      </c>
      <c r="H9435" s="389" t="s">
        <v>9567</v>
      </c>
    </row>
    <row r="9436" spans="1:9" x14ac:dyDescent="0.3">
      <c r="A9436" s="45">
        <v>45465</v>
      </c>
      <c r="B9436" s="396" t="s">
        <v>12133</v>
      </c>
      <c r="C9436" s="5" t="s">
        <v>84</v>
      </c>
      <c r="D9436" s="5" t="s">
        <v>13879</v>
      </c>
      <c r="E9436" s="43">
        <v>5000</v>
      </c>
      <c r="F9436" s="43"/>
      <c r="G9436" s="48">
        <f t="shared" si="233"/>
        <v>78719.684927697293</v>
      </c>
      <c r="H9436" s="389" t="s">
        <v>9567</v>
      </c>
    </row>
    <row r="9437" spans="1:9" x14ac:dyDescent="0.3">
      <c r="A9437" s="45">
        <v>45465</v>
      </c>
      <c r="B9437" s="396" t="s">
        <v>13709</v>
      </c>
      <c r="C9437" s="5" t="s">
        <v>9451</v>
      </c>
      <c r="D9437" s="5" t="s">
        <v>40</v>
      </c>
      <c r="E9437" s="43">
        <v>13000</v>
      </c>
      <c r="F9437" s="43"/>
      <c r="G9437" s="48">
        <f t="shared" si="233"/>
        <v>65719.684927697293</v>
      </c>
      <c r="H9437" s="389" t="s">
        <v>9567</v>
      </c>
    </row>
    <row r="9438" spans="1:9" x14ac:dyDescent="0.3">
      <c r="A9438" s="45">
        <v>45465</v>
      </c>
      <c r="B9438" s="396" t="s">
        <v>13709</v>
      </c>
      <c r="C9438" s="5" t="s">
        <v>30</v>
      </c>
      <c r="D9438" s="5" t="s">
        <v>10637</v>
      </c>
      <c r="E9438" s="43">
        <v>1000</v>
      </c>
      <c r="F9438" s="43"/>
      <c r="G9438" s="48">
        <f t="shared" si="233"/>
        <v>64719.684927697293</v>
      </c>
      <c r="H9438" s="389" t="s">
        <v>9567</v>
      </c>
    </row>
    <row r="9439" spans="1:9" x14ac:dyDescent="0.3">
      <c r="A9439" s="45">
        <v>45467</v>
      </c>
      <c r="B9439" s="396" t="s">
        <v>13877</v>
      </c>
      <c r="C9439" s="5" t="s">
        <v>26</v>
      </c>
      <c r="D9439" s="5" t="s">
        <v>13880</v>
      </c>
      <c r="E9439" s="43">
        <v>1000</v>
      </c>
      <c r="F9439" s="43"/>
      <c r="G9439" s="48">
        <f t="shared" si="233"/>
        <v>63719.684927697293</v>
      </c>
      <c r="H9439" s="389" t="s">
        <v>9567</v>
      </c>
    </row>
    <row r="9440" spans="1:9" x14ac:dyDescent="0.3">
      <c r="A9440" s="45">
        <v>45467</v>
      </c>
      <c r="B9440" s="396" t="s">
        <v>13188</v>
      </c>
      <c r="C9440" s="5" t="s">
        <v>26</v>
      </c>
      <c r="D9440" s="5" t="s">
        <v>13881</v>
      </c>
      <c r="E9440" s="43">
        <v>1300</v>
      </c>
      <c r="F9440" s="43"/>
      <c r="G9440" s="48">
        <f t="shared" si="233"/>
        <v>62419.684927697293</v>
      </c>
      <c r="H9440" s="389" t="s">
        <v>9567</v>
      </c>
      <c r="I9440" s="52">
        <v>5600</v>
      </c>
    </row>
    <row r="9441" spans="1:11" x14ac:dyDescent="0.3">
      <c r="A9441" s="45">
        <v>45467</v>
      </c>
      <c r="B9441" s="396" t="s">
        <v>12796</v>
      </c>
      <c r="C9441" s="5" t="s">
        <v>11174</v>
      </c>
      <c r="D9441" s="5" t="s">
        <v>13882</v>
      </c>
      <c r="E9441" s="43">
        <v>17500</v>
      </c>
      <c r="F9441" s="43"/>
      <c r="G9441" s="48">
        <f t="shared" si="233"/>
        <v>44919.684927697293</v>
      </c>
      <c r="H9441" s="389" t="s">
        <v>9567</v>
      </c>
      <c r="I9441" s="52">
        <f>I9440*10%</f>
        <v>560</v>
      </c>
    </row>
    <row r="9442" spans="1:11" x14ac:dyDescent="0.3">
      <c r="A9442" s="45">
        <v>45467</v>
      </c>
      <c r="B9442" s="396" t="s">
        <v>12796</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11434</v>
      </c>
      <c r="E9443" s="43">
        <v>5000</v>
      </c>
      <c r="F9443" s="43"/>
      <c r="G9443" s="48">
        <f t="shared" si="233"/>
        <v>34919.684927697293</v>
      </c>
      <c r="H9443" s="389" t="s">
        <v>9567</v>
      </c>
    </row>
    <row r="9444" spans="1:11" x14ac:dyDescent="0.3">
      <c r="A9444" s="45">
        <v>45467</v>
      </c>
      <c r="B9444" s="396" t="s">
        <v>13188</v>
      </c>
      <c r="C9444" s="5" t="s">
        <v>5793</v>
      </c>
      <c r="D9444" s="5" t="s">
        <v>40</v>
      </c>
      <c r="E9444" s="43">
        <v>270</v>
      </c>
      <c r="F9444" s="43"/>
      <c r="G9444" s="48">
        <f t="shared" si="233"/>
        <v>34649.684927697293</v>
      </c>
      <c r="H9444" s="389" t="s">
        <v>9567</v>
      </c>
    </row>
    <row r="9445" spans="1:11" ht="21" x14ac:dyDescent="0.3">
      <c r="A9445" s="45">
        <v>45467</v>
      </c>
      <c r="B9445" s="396" t="s">
        <v>13877</v>
      </c>
      <c r="C9445" s="5" t="s">
        <v>5793</v>
      </c>
      <c r="D9445" s="5" t="s">
        <v>40</v>
      </c>
      <c r="E9445" s="43">
        <v>400</v>
      </c>
      <c r="F9445" s="43"/>
      <c r="G9445" s="48">
        <f t="shared" si="233"/>
        <v>34249.684927697293</v>
      </c>
      <c r="H9445" s="389" t="s">
        <v>9567</v>
      </c>
      <c r="J9445" s="939" t="s">
        <v>13892</v>
      </c>
      <c r="K9445" s="940"/>
    </row>
    <row r="9446" spans="1:11" x14ac:dyDescent="0.3">
      <c r="A9446" s="45">
        <v>45467</v>
      </c>
      <c r="B9446" s="396" t="s">
        <v>12133</v>
      </c>
      <c r="C9446" s="5" t="s">
        <v>5162</v>
      </c>
      <c r="D9446" s="5" t="s">
        <v>3910</v>
      </c>
      <c r="E9446" s="43">
        <v>7000</v>
      </c>
      <c r="F9446" s="43"/>
      <c r="G9446" s="48">
        <f t="shared" si="233"/>
        <v>27249.684927697293</v>
      </c>
      <c r="H9446" s="389" t="s">
        <v>9567</v>
      </c>
      <c r="J9446" s="556" t="s">
        <v>10517</v>
      </c>
      <c r="K9446" s="556" t="s">
        <v>13889</v>
      </c>
    </row>
    <row r="9447" spans="1:11" x14ac:dyDescent="0.3">
      <c r="A9447" s="45">
        <v>45467</v>
      </c>
      <c r="B9447" s="565"/>
      <c r="C9447" s="480"/>
      <c r="D9447" s="491" t="s">
        <v>13065</v>
      </c>
      <c r="E9447" s="480"/>
      <c r="F9447" s="43">
        <v>250000</v>
      </c>
      <c r="G9447" s="48">
        <f t="shared" si="233"/>
        <v>277249.68492769729</v>
      </c>
      <c r="H9447" s="389" t="s">
        <v>9567</v>
      </c>
      <c r="J9447" s="556" t="s">
        <v>13888</v>
      </c>
      <c r="K9447" s="43" t="s">
        <v>13890</v>
      </c>
    </row>
    <row r="9448" spans="1:11" x14ac:dyDescent="0.3">
      <c r="A9448" s="45">
        <v>45467</v>
      </c>
      <c r="B9448" s="396" t="s">
        <v>13188</v>
      </c>
      <c r="C9448" s="5" t="s">
        <v>5793</v>
      </c>
      <c r="D9448" s="5" t="s">
        <v>40</v>
      </c>
      <c r="E9448" s="43">
        <v>1500</v>
      </c>
      <c r="F9448" s="43"/>
      <c r="G9448" s="48">
        <f t="shared" si="233"/>
        <v>275749.68492769729</v>
      </c>
      <c r="H9448" s="389" t="s">
        <v>9567</v>
      </c>
      <c r="J9448" s="556" t="s">
        <v>13891</v>
      </c>
      <c r="K9448" s="43" t="s">
        <v>13890</v>
      </c>
    </row>
    <row r="9449" spans="1:11" x14ac:dyDescent="0.3">
      <c r="A9449" s="45">
        <v>45468</v>
      </c>
      <c r="B9449" s="396"/>
      <c r="C9449" s="5" t="s">
        <v>68</v>
      </c>
      <c r="D9449" s="5" t="s">
        <v>13883</v>
      </c>
      <c r="E9449" s="43">
        <v>3000</v>
      </c>
      <c r="F9449" s="43"/>
      <c r="G9449" s="48">
        <f t="shared" si="233"/>
        <v>272749.68492769729</v>
      </c>
      <c r="H9449" s="389" t="s">
        <v>9567</v>
      </c>
    </row>
    <row r="9450" spans="1:11" x14ac:dyDescent="0.3">
      <c r="A9450" s="45">
        <v>45468</v>
      </c>
      <c r="B9450" s="396" t="s">
        <v>13877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13886</v>
      </c>
      <c r="E9452" s="43">
        <v>25600</v>
      </c>
      <c r="F9452" s="43"/>
      <c r="G9452" s="48">
        <f t="shared" si="233"/>
        <v>212149.68492769729</v>
      </c>
      <c r="H9452" s="389" t="s">
        <v>9567</v>
      </c>
    </row>
    <row r="9453" spans="1:11" x14ac:dyDescent="0.3">
      <c r="A9453" s="45">
        <v>45468</v>
      </c>
      <c r="B9453" s="396" t="s">
        <v>10319</v>
      </c>
      <c r="C9453" s="5" t="s">
        <v>11174</v>
      </c>
      <c r="D9453" s="5" t="s">
        <v>13887</v>
      </c>
      <c r="E9453" s="43">
        <v>42000</v>
      </c>
      <c r="F9453" s="43"/>
      <c r="G9453" s="48">
        <f t="shared" si="233"/>
        <v>170149.68492769729</v>
      </c>
      <c r="H9453" s="389" t="s">
        <v>9567</v>
      </c>
      <c r="I9453" s="52">
        <v>231056</v>
      </c>
    </row>
    <row r="9454" spans="1:11" x14ac:dyDescent="0.3">
      <c r="A9454" s="45">
        <v>45468</v>
      </c>
      <c r="B9454" s="396" t="s">
        <v>25</v>
      </c>
      <c r="C9454" s="5" t="s">
        <v>25</v>
      </c>
      <c r="D9454" s="5" t="s">
        <v>11434</v>
      </c>
      <c r="E9454" s="43">
        <v>4000</v>
      </c>
      <c r="F9454" s="43"/>
      <c r="G9454" s="48">
        <f t="shared" si="233"/>
        <v>166149.68492769729</v>
      </c>
      <c r="H9454" s="389" t="s">
        <v>9567</v>
      </c>
      <c r="I9454" s="52">
        <v>33840</v>
      </c>
    </row>
    <row r="9455" spans="1:11" x14ac:dyDescent="0.3">
      <c r="A9455" s="45">
        <v>45468</v>
      </c>
      <c r="B9455" s="396" t="s">
        <v>13321</v>
      </c>
      <c r="C9455" s="5" t="s">
        <v>3220</v>
      </c>
      <c r="D9455" s="5" t="s">
        <v>13893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13894</v>
      </c>
      <c r="E9456" s="43">
        <v>8000</v>
      </c>
      <c r="F9456" s="43"/>
      <c r="G9456" s="48">
        <f t="shared" si="233"/>
        <v>58149.684927697293</v>
      </c>
      <c r="H9456" s="389" t="s">
        <v>9567</v>
      </c>
    </row>
    <row r="9457" spans="1:11" x14ac:dyDescent="0.3">
      <c r="A9457" s="45">
        <v>45468</v>
      </c>
      <c r="B9457" s="396" t="s">
        <v>13709</v>
      </c>
      <c r="C9457" s="5" t="s">
        <v>13895</v>
      </c>
      <c r="D9457" s="5" t="s">
        <v>13896</v>
      </c>
      <c r="E9457" s="43">
        <v>34000</v>
      </c>
      <c r="F9457" s="43"/>
      <c r="G9457" s="48">
        <f t="shared" si="233"/>
        <v>24149.684927697293</v>
      </c>
      <c r="H9457" s="389" t="s">
        <v>9567</v>
      </c>
    </row>
    <row r="9458" spans="1:11" x14ac:dyDescent="0.3">
      <c r="A9458" s="45">
        <v>45468</v>
      </c>
      <c r="B9458" s="396" t="s">
        <v>13709</v>
      </c>
      <c r="C9458" s="5" t="s">
        <v>11174</v>
      </c>
      <c r="D9458" s="5" t="s">
        <v>13897</v>
      </c>
      <c r="E9458" s="43">
        <v>1000</v>
      </c>
      <c r="F9458" s="43"/>
      <c r="G9458" s="48">
        <f t="shared" si="233"/>
        <v>23149.684927697293</v>
      </c>
      <c r="H9458" s="389" t="s">
        <v>9567</v>
      </c>
    </row>
    <row r="9459" spans="1:11" x14ac:dyDescent="0.3">
      <c r="A9459" s="45">
        <v>45469</v>
      </c>
      <c r="B9459" s="396" t="s">
        <v>13709</v>
      </c>
      <c r="C9459" s="5" t="s">
        <v>5793</v>
      </c>
      <c r="D9459" s="5" t="s">
        <v>294</v>
      </c>
      <c r="E9459" s="43">
        <v>3200</v>
      </c>
      <c r="F9459" s="43"/>
      <c r="G9459" s="48">
        <f t="shared" si="233"/>
        <v>19949.684927697293</v>
      </c>
      <c r="H9459" s="389" t="s">
        <v>9567</v>
      </c>
    </row>
    <row r="9460" spans="1:11" x14ac:dyDescent="0.3">
      <c r="A9460" s="45">
        <v>45469</v>
      </c>
      <c r="B9460" s="396" t="s">
        <v>13709</v>
      </c>
      <c r="C9460" s="5" t="s">
        <v>11174</v>
      </c>
      <c r="D9460" s="5" t="s">
        <v>13898</v>
      </c>
      <c r="E9460" s="43">
        <v>7050</v>
      </c>
      <c r="F9460" s="43"/>
      <c r="G9460" s="48">
        <f t="shared" si="233"/>
        <v>12899.684927697293</v>
      </c>
      <c r="H9460" s="389" t="s">
        <v>9567</v>
      </c>
    </row>
    <row r="9461" spans="1:11" x14ac:dyDescent="0.3">
      <c r="A9461" s="45">
        <v>45469</v>
      </c>
      <c r="B9461" s="396" t="s">
        <v>25</v>
      </c>
      <c r="C9461" s="5" t="s">
        <v>25</v>
      </c>
      <c r="D9461" s="5" t="s">
        <v>11434</v>
      </c>
      <c r="E9461" s="43">
        <v>4000</v>
      </c>
      <c r="F9461" s="43"/>
      <c r="G9461" s="48">
        <f t="shared" si="233"/>
        <v>8899.6849276972935</v>
      </c>
      <c r="H9461" s="389" t="s">
        <v>9567</v>
      </c>
    </row>
    <row r="9462" spans="1:11" x14ac:dyDescent="0.3">
      <c r="A9462" s="45">
        <v>45469</v>
      </c>
      <c r="B9462" s="396" t="s">
        <v>13709</v>
      </c>
      <c r="C9462" s="5" t="s">
        <v>11174</v>
      </c>
      <c r="D9462" s="5" t="s">
        <v>13899</v>
      </c>
      <c r="E9462" s="43">
        <v>4280</v>
      </c>
      <c r="F9462" s="43"/>
      <c r="G9462" s="48">
        <f t="shared" si="233"/>
        <v>4619.6849276972935</v>
      </c>
      <c r="H9462" s="389" t="s">
        <v>9567</v>
      </c>
    </row>
    <row r="9463" spans="1:11" x14ac:dyDescent="0.3">
      <c r="A9463" s="45">
        <v>45469</v>
      </c>
      <c r="B9463" s="396" t="s">
        <v>13188</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11434</v>
      </c>
      <c r="E9464" s="43">
        <v>4000</v>
      </c>
      <c r="F9464" s="43"/>
      <c r="G9464" s="48">
        <f t="shared" si="233"/>
        <v>119.68492769729346</v>
      </c>
      <c r="H9464" s="389" t="s">
        <v>9567</v>
      </c>
    </row>
    <row r="9465" spans="1:11" x14ac:dyDescent="0.3">
      <c r="A9465" s="45">
        <v>45470</v>
      </c>
      <c r="B9465" s="565"/>
      <c r="C9465" s="480"/>
      <c r="D9465" s="491" t="s">
        <v>11014</v>
      </c>
      <c r="E9465" s="480"/>
      <c r="F9465" s="43">
        <v>500000</v>
      </c>
      <c r="G9465" s="48">
        <f t="shared" si="233"/>
        <v>500119.68492769729</v>
      </c>
      <c r="H9465" s="389" t="s">
        <v>9567</v>
      </c>
    </row>
    <row r="9466" spans="1:11" x14ac:dyDescent="0.3">
      <c r="A9466" s="45">
        <v>45470</v>
      </c>
      <c r="B9466" s="396" t="s">
        <v>12133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13902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11434</v>
      </c>
      <c r="E9468" s="43">
        <v>4000</v>
      </c>
      <c r="F9468" s="43"/>
      <c r="G9468" s="48">
        <f t="shared" si="233"/>
        <v>483119.68492769729</v>
      </c>
      <c r="H9468" s="389" t="s">
        <v>9567</v>
      </c>
    </row>
    <row r="9469" spans="1:11" x14ac:dyDescent="0.3">
      <c r="A9469" s="45">
        <v>45470</v>
      </c>
      <c r="B9469" s="396" t="s">
        <v>13902</v>
      </c>
      <c r="C9469" s="5" t="s">
        <v>11174</v>
      </c>
      <c r="D9469" s="5" t="s">
        <v>13903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12897</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13833</v>
      </c>
      <c r="C9471" s="5" t="s">
        <v>11174</v>
      </c>
      <c r="D9471" s="5" t="s">
        <v>13905</v>
      </c>
      <c r="E9471" s="43">
        <v>1750</v>
      </c>
      <c r="F9471" s="43"/>
      <c r="G9471" s="48">
        <f t="shared" si="233"/>
        <v>361569.68492769729</v>
      </c>
      <c r="H9471" s="389" t="s">
        <v>9567</v>
      </c>
      <c r="J9471" s="52">
        <f>J9469-K9470</f>
        <v>4440299.88</v>
      </c>
    </row>
    <row r="9472" spans="1:11" x14ac:dyDescent="0.3">
      <c r="A9472" s="45">
        <v>45470</v>
      </c>
      <c r="B9472" s="396" t="s">
        <v>12796</v>
      </c>
      <c r="C9472" s="5" t="s">
        <v>11174</v>
      </c>
      <c r="D9472" s="5" t="s">
        <v>13906</v>
      </c>
      <c r="E9472" s="43">
        <v>6500</v>
      </c>
      <c r="F9472" s="43"/>
      <c r="G9472" s="48">
        <f t="shared" si="233"/>
        <v>355069.68492769729</v>
      </c>
      <c r="H9472" s="389" t="s">
        <v>9567</v>
      </c>
      <c r="J9472" s="52">
        <f>K9469*80%</f>
        <v>455312</v>
      </c>
    </row>
    <row r="9473" spans="1:10" x14ac:dyDescent="0.3">
      <c r="A9473" s="45">
        <v>45471</v>
      </c>
      <c r="B9473" s="396" t="s">
        <v>12897</v>
      </c>
      <c r="C9473" s="5" t="s">
        <v>84</v>
      </c>
      <c r="D9473" s="5" t="s">
        <v>13907</v>
      </c>
      <c r="E9473" s="43">
        <v>10000</v>
      </c>
      <c r="F9473" s="43"/>
      <c r="G9473" s="48">
        <f t="shared" si="233"/>
        <v>345069.68492769729</v>
      </c>
      <c r="H9473" s="389" t="s">
        <v>9567</v>
      </c>
      <c r="J9473" s="52">
        <f>J9471-J9472</f>
        <v>3984987.88</v>
      </c>
    </row>
    <row r="9474" spans="1:10" x14ac:dyDescent="0.3">
      <c r="A9474" s="45">
        <v>45471</v>
      </c>
      <c r="B9474" s="396" t="s">
        <v>12897</v>
      </c>
      <c r="C9474" s="5" t="s">
        <v>11174</v>
      </c>
      <c r="D9474" s="5" t="s">
        <v>13908</v>
      </c>
      <c r="E9474" s="43">
        <v>15500</v>
      </c>
      <c r="F9474" s="43"/>
      <c r="G9474" s="48">
        <f t="shared" si="233"/>
        <v>329569.68492769729</v>
      </c>
      <c r="H9474" s="389" t="s">
        <v>9567</v>
      </c>
    </row>
    <row r="9475" spans="1:10" x14ac:dyDescent="0.3">
      <c r="A9475" s="45">
        <v>45471</v>
      </c>
      <c r="B9475" s="396" t="s">
        <v>12897</v>
      </c>
      <c r="C9475" s="5" t="s">
        <v>5793</v>
      </c>
      <c r="D9475" s="5" t="s">
        <v>40</v>
      </c>
      <c r="E9475" s="43">
        <v>500</v>
      </c>
      <c r="F9475" s="43"/>
      <c r="G9475" s="48">
        <f t="shared" si="233"/>
        <v>329069.68492769729</v>
      </c>
      <c r="H9475" s="389" t="s">
        <v>9567</v>
      </c>
    </row>
    <row r="9476" spans="1:10" x14ac:dyDescent="0.3">
      <c r="A9476" s="45">
        <v>45471</v>
      </c>
      <c r="B9476" s="396" t="s">
        <v>12897</v>
      </c>
      <c r="C9476" s="5" t="s">
        <v>30</v>
      </c>
      <c r="D9476" s="5" t="s">
        <v>13921</v>
      </c>
      <c r="E9476" s="43">
        <v>1000</v>
      </c>
      <c r="F9476" s="43"/>
      <c r="G9476" s="48">
        <f t="shared" si="233"/>
        <v>328069.68492769729</v>
      </c>
      <c r="H9476" s="389" t="s">
        <v>9567</v>
      </c>
    </row>
    <row r="9477" spans="1:10" x14ac:dyDescent="0.3">
      <c r="A9477" s="45">
        <v>45471</v>
      </c>
      <c r="B9477" s="396" t="s">
        <v>25</v>
      </c>
      <c r="C9477" s="5" t="s">
        <v>25</v>
      </c>
      <c r="D9477" s="5" t="s">
        <v>11434</v>
      </c>
      <c r="E9477" s="43">
        <v>4000</v>
      </c>
      <c r="F9477" s="43"/>
      <c r="G9477" s="48">
        <f t="shared" si="233"/>
        <v>324069.68492769729</v>
      </c>
      <c r="H9477" s="389" t="s">
        <v>9567</v>
      </c>
    </row>
    <row r="9478" spans="1:10" ht="18" customHeight="1" x14ac:dyDescent="0.3">
      <c r="A9478" s="45">
        <v>45471</v>
      </c>
      <c r="B9478" s="396" t="s">
        <v>12897</v>
      </c>
      <c r="C9478" s="5" t="s">
        <v>11174</v>
      </c>
      <c r="D9478" s="5" t="s">
        <v>11163</v>
      </c>
      <c r="E9478" s="43">
        <v>1936</v>
      </c>
      <c r="F9478" s="43"/>
      <c r="G9478" s="48">
        <f t="shared" si="233"/>
        <v>322133.68492769729</v>
      </c>
      <c r="H9478" s="389" t="s">
        <v>9567</v>
      </c>
    </row>
    <row r="9479" spans="1:10" x14ac:dyDescent="0.3">
      <c r="A9479" s="45">
        <v>45471</v>
      </c>
      <c r="B9479" s="396" t="s">
        <v>12055</v>
      </c>
      <c r="C9479" s="5" t="s">
        <v>11174</v>
      </c>
      <c r="D9479" s="5" t="s">
        <v>13912</v>
      </c>
      <c r="E9479" s="43">
        <v>10000</v>
      </c>
      <c r="F9479" s="43"/>
      <c r="G9479" s="48">
        <f t="shared" si="233"/>
        <v>312133.68492769729</v>
      </c>
      <c r="H9479" s="389" t="s">
        <v>9567</v>
      </c>
    </row>
    <row r="9480" spans="1:10" x14ac:dyDescent="0.3">
      <c r="A9480" s="45">
        <v>45471</v>
      </c>
      <c r="B9480" s="396" t="s">
        <v>12055</v>
      </c>
      <c r="C9480" s="5" t="s">
        <v>5793</v>
      </c>
      <c r="D9480" s="5" t="s">
        <v>40</v>
      </c>
      <c r="E9480" s="43">
        <v>1000</v>
      </c>
      <c r="F9480" s="43"/>
      <c r="G9480" s="48">
        <f t="shared" si="233"/>
        <v>311133.68492769729</v>
      </c>
      <c r="H9480" s="389" t="s">
        <v>9567</v>
      </c>
    </row>
    <row r="9481" spans="1:10" x14ac:dyDescent="0.3">
      <c r="A9481" s="45">
        <v>45471</v>
      </c>
      <c r="B9481" s="396" t="s">
        <v>13709</v>
      </c>
      <c r="C9481" s="5" t="s">
        <v>84</v>
      </c>
      <c r="D9481" s="5" t="s">
        <v>13909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13188</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12611</v>
      </c>
      <c r="C9484" s="5" t="s">
        <v>13910</v>
      </c>
      <c r="D9484" s="5" t="s">
        <v>13911</v>
      </c>
      <c r="E9484" s="43">
        <v>25000</v>
      </c>
      <c r="F9484" s="43"/>
      <c r="G9484" s="48">
        <f t="shared" si="233"/>
        <v>275133.68492769729</v>
      </c>
      <c r="H9484" s="389" t="s">
        <v>9567</v>
      </c>
    </row>
    <row r="9485" spans="1:10" x14ac:dyDescent="0.3">
      <c r="A9485" s="45">
        <v>45472</v>
      </c>
      <c r="B9485" s="396" t="s">
        <v>12611</v>
      </c>
      <c r="C9485" s="5" t="s">
        <v>26</v>
      </c>
      <c r="D9485" s="5" t="s">
        <v>13915</v>
      </c>
      <c r="E9485" s="43">
        <v>5000</v>
      </c>
      <c r="F9485" s="43"/>
      <c r="G9485" s="48">
        <f t="shared" si="233"/>
        <v>270133.68492769729</v>
      </c>
      <c r="H9485" s="389" t="s">
        <v>9567</v>
      </c>
    </row>
    <row r="9486" spans="1:10" x14ac:dyDescent="0.3">
      <c r="A9486" s="45">
        <v>45472</v>
      </c>
      <c r="B9486" s="396" t="s">
        <v>25</v>
      </c>
      <c r="C9486" s="5" t="s">
        <v>25</v>
      </c>
      <c r="D9486" s="5" t="s">
        <v>11434</v>
      </c>
      <c r="E9486" s="43">
        <v>5000</v>
      </c>
      <c r="F9486" s="43"/>
      <c r="G9486" s="48">
        <f t="shared" si="233"/>
        <v>265133.68492769729</v>
      </c>
      <c r="H9486" s="389" t="s">
        <v>9567</v>
      </c>
    </row>
    <row r="9487" spans="1:10" x14ac:dyDescent="0.3">
      <c r="A9487" s="45">
        <v>45472</v>
      </c>
      <c r="B9487" s="396" t="s">
        <v>12133</v>
      </c>
      <c r="C9487" s="5" t="s">
        <v>5793</v>
      </c>
      <c r="D9487" s="5" t="s">
        <v>13916</v>
      </c>
      <c r="E9487" s="43">
        <v>5500</v>
      </c>
      <c r="F9487" s="43"/>
      <c r="G9487" s="48">
        <f t="shared" si="233"/>
        <v>259633.68492769729</v>
      </c>
      <c r="H9487" s="389" t="s">
        <v>9567</v>
      </c>
    </row>
    <row r="9488" spans="1:10" x14ac:dyDescent="0.3">
      <c r="A9488" s="45">
        <v>45472</v>
      </c>
      <c r="B9488" s="396" t="s">
        <v>12133</v>
      </c>
      <c r="C9488" s="5" t="s">
        <v>57</v>
      </c>
      <c r="D9488" s="5" t="s">
        <v>294</v>
      </c>
      <c r="E9488" s="43">
        <v>25000</v>
      </c>
      <c r="F9488" s="43"/>
      <c r="G9488" s="48">
        <f t="shared" si="233"/>
        <v>234633.68492769729</v>
      </c>
      <c r="H9488" s="389" t="s">
        <v>9567</v>
      </c>
    </row>
    <row r="9489" spans="1:9" x14ac:dyDescent="0.3">
      <c r="A9489" s="45">
        <v>45472</v>
      </c>
      <c r="B9489" s="396" t="s">
        <v>12046</v>
      </c>
      <c r="C9489" s="5" t="s">
        <v>5162</v>
      </c>
      <c r="D9489" s="5" t="s">
        <v>3910</v>
      </c>
      <c r="E9489" s="43">
        <v>4000</v>
      </c>
      <c r="F9489" s="43"/>
      <c r="G9489" s="48">
        <f t="shared" ref="G9489:G9552" si="234">G9488+F9489-E9489</f>
        <v>230633.68492769729</v>
      </c>
      <c r="H9489" s="389" t="s">
        <v>9567</v>
      </c>
    </row>
    <row r="9490" spans="1:9" x14ac:dyDescent="0.3">
      <c r="A9490" s="45">
        <v>45472</v>
      </c>
      <c r="B9490" s="396" t="s">
        <v>12611</v>
      </c>
      <c r="C9490" s="5" t="s">
        <v>11174</v>
      </c>
      <c r="D9490" s="5" t="s">
        <v>13923</v>
      </c>
      <c r="E9490" s="43">
        <v>1200</v>
      </c>
      <c r="F9490" s="43"/>
      <c r="G9490" s="48">
        <f t="shared" si="234"/>
        <v>229433.68492769729</v>
      </c>
      <c r="H9490" s="389" t="s">
        <v>9567</v>
      </c>
    </row>
    <row r="9491" spans="1:9" x14ac:dyDescent="0.3">
      <c r="A9491" s="45">
        <v>45472</v>
      </c>
      <c r="B9491" s="396" t="s">
        <v>13833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13924</v>
      </c>
      <c r="E9492" s="187">
        <v>6000</v>
      </c>
      <c r="F9492" s="43"/>
      <c r="G9492" s="48">
        <f t="shared" si="234"/>
        <v>217933.68492769729</v>
      </c>
      <c r="H9492" s="389" t="s">
        <v>9567</v>
      </c>
    </row>
    <row r="9493" spans="1:9" x14ac:dyDescent="0.3">
      <c r="A9493" s="45">
        <v>45474</v>
      </c>
      <c r="B9493" s="396" t="s">
        <v>13188</v>
      </c>
      <c r="C9493" s="5" t="s">
        <v>84</v>
      </c>
      <c r="D9493" s="5" t="s">
        <v>13925</v>
      </c>
      <c r="E9493" s="43">
        <v>5000</v>
      </c>
      <c r="F9493" s="43"/>
      <c r="G9493" s="48">
        <f t="shared" si="234"/>
        <v>212933.68492769729</v>
      </c>
      <c r="H9493" s="389" t="s">
        <v>9567</v>
      </c>
    </row>
    <row r="9494" spans="1:9" x14ac:dyDescent="0.3">
      <c r="A9494" s="45">
        <v>45474</v>
      </c>
      <c r="B9494" s="396" t="s">
        <v>25</v>
      </c>
      <c r="C9494" s="5" t="s">
        <v>25</v>
      </c>
      <c r="D9494" s="5" t="s">
        <v>11434</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13075</v>
      </c>
      <c r="C9495" s="5" t="s">
        <v>11174</v>
      </c>
      <c r="D9495" s="5" t="s">
        <v>13926</v>
      </c>
      <c r="E9495" s="43">
        <v>7600</v>
      </c>
      <c r="F9495" s="43"/>
      <c r="G9495" s="48">
        <f t="shared" si="234"/>
        <v>200333.68492769729</v>
      </c>
      <c r="H9495" s="389" t="s">
        <v>9567</v>
      </c>
    </row>
    <row r="9496" spans="1:9" x14ac:dyDescent="0.3">
      <c r="A9496" s="45">
        <v>45474</v>
      </c>
      <c r="B9496" s="396" t="s">
        <v>13877</v>
      </c>
      <c r="C9496" s="5" t="s">
        <v>11174</v>
      </c>
      <c r="D9496" s="5" t="s">
        <v>3910</v>
      </c>
      <c r="E9496" s="43">
        <v>50000</v>
      </c>
      <c r="F9496" s="43"/>
      <c r="G9496" s="48">
        <f t="shared" si="234"/>
        <v>150333.68492769729</v>
      </c>
      <c r="H9496" s="389" t="s">
        <v>9567</v>
      </c>
    </row>
    <row r="9497" spans="1:9" x14ac:dyDescent="0.3">
      <c r="A9497" s="45">
        <v>45474</v>
      </c>
      <c r="B9497" s="396" t="s">
        <v>13385</v>
      </c>
      <c r="C9497" s="5" t="s">
        <v>11174</v>
      </c>
      <c r="D9497" s="5" t="s">
        <v>13927</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5"/>
      <c r="C9499" s="480"/>
      <c r="D9499" s="491" t="s">
        <v>11014</v>
      </c>
      <c r="E9499" s="480"/>
      <c r="F9499" s="43">
        <v>500000</v>
      </c>
      <c r="G9499" s="48">
        <f t="shared" si="234"/>
        <v>646433.68492769729</v>
      </c>
      <c r="H9499" s="389" t="s">
        <v>9567</v>
      </c>
    </row>
    <row r="9500" spans="1:9" x14ac:dyDescent="0.3">
      <c r="A9500" s="45">
        <v>45474</v>
      </c>
      <c r="B9500" s="565"/>
      <c r="C9500" s="480"/>
      <c r="D9500" s="491" t="s">
        <v>11014</v>
      </c>
      <c r="E9500" s="480"/>
      <c r="F9500" s="43">
        <v>500000</v>
      </c>
      <c r="G9500" s="48">
        <f t="shared" si="234"/>
        <v>1146433.6849276973</v>
      </c>
      <c r="H9500" s="389" t="s">
        <v>9567</v>
      </c>
      <c r="I9500" s="52">
        <v>3349800</v>
      </c>
    </row>
    <row r="9501" spans="1:9" x14ac:dyDescent="0.3">
      <c r="A9501" s="45">
        <v>45474</v>
      </c>
      <c r="B9501" s="394" t="s">
        <v>13188</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13188</v>
      </c>
      <c r="C9502" s="5" t="s">
        <v>11174</v>
      </c>
      <c r="D9502" s="5" t="s">
        <v>13267</v>
      </c>
      <c r="E9502" s="43">
        <v>960</v>
      </c>
      <c r="F9502" s="43"/>
      <c r="G9502" s="48">
        <f t="shared" si="234"/>
        <v>1056848.6849276973</v>
      </c>
      <c r="H9502" s="389" t="s">
        <v>9567</v>
      </c>
      <c r="I9502" s="52">
        <f>I9500-I9501</f>
        <v>3202408.8</v>
      </c>
    </row>
    <row r="9503" spans="1:9" x14ac:dyDescent="0.3">
      <c r="A9503" s="45">
        <v>45474</v>
      </c>
      <c r="B9503" s="396" t="s">
        <v>13709</v>
      </c>
      <c r="C9503" s="5" t="s">
        <v>11174</v>
      </c>
      <c r="D9503" s="5" t="s">
        <v>13932</v>
      </c>
      <c r="E9503" s="43">
        <v>800</v>
      </c>
      <c r="F9503" s="43"/>
      <c r="G9503" s="48">
        <f t="shared" si="234"/>
        <v>1056048.6849276973</v>
      </c>
      <c r="H9503" s="389" t="s">
        <v>9567</v>
      </c>
    </row>
    <row r="9504" spans="1:9" x14ac:dyDescent="0.3">
      <c r="A9504" s="45">
        <v>45474</v>
      </c>
      <c r="B9504" s="394" t="s">
        <v>25</v>
      </c>
      <c r="C9504" s="186" t="s">
        <v>54</v>
      </c>
      <c r="D9504" s="186" t="s">
        <v>13931</v>
      </c>
      <c r="E9504" s="187">
        <v>20000</v>
      </c>
      <c r="F9504" s="43"/>
      <c r="G9504" s="48">
        <f t="shared" si="234"/>
        <v>1036048.6849276973</v>
      </c>
      <c r="H9504" s="389" t="s">
        <v>9567</v>
      </c>
    </row>
    <row r="9505" spans="1:8" x14ac:dyDescent="0.3">
      <c r="A9505" s="45">
        <v>45474</v>
      </c>
      <c r="B9505" s="394" t="s">
        <v>25</v>
      </c>
      <c r="C9505" s="186" t="s">
        <v>54</v>
      </c>
      <c r="D9505" s="186" t="s">
        <v>13947</v>
      </c>
      <c r="E9505" s="187">
        <f>78500+75000</f>
        <v>153500</v>
      </c>
      <c r="F9505" s="43"/>
      <c r="G9505" s="48">
        <f t="shared" si="234"/>
        <v>882548.68492769729</v>
      </c>
      <c r="H9505" s="389" t="s">
        <v>9567</v>
      </c>
    </row>
    <row r="9506" spans="1:8" x14ac:dyDescent="0.3">
      <c r="A9506" s="45">
        <v>45475</v>
      </c>
      <c r="B9506" s="394" t="s">
        <v>13188</v>
      </c>
      <c r="C9506" s="186" t="s">
        <v>54</v>
      </c>
      <c r="D9506" s="186" t="s">
        <v>13936</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12611</v>
      </c>
      <c r="C9508" s="5" t="s">
        <v>5793</v>
      </c>
      <c r="D9508" s="5" t="s">
        <v>13933</v>
      </c>
      <c r="E9508" s="43">
        <v>300</v>
      </c>
      <c r="F9508" s="43"/>
      <c r="G9508" s="48">
        <f t="shared" si="234"/>
        <v>676205.68492769729</v>
      </c>
      <c r="H9508" s="389" t="s">
        <v>9567</v>
      </c>
    </row>
    <row r="9509" spans="1:8" x14ac:dyDescent="0.3">
      <c r="A9509" s="45">
        <v>45475</v>
      </c>
      <c r="B9509" s="394" t="s">
        <v>12080</v>
      </c>
      <c r="C9509" s="186" t="s">
        <v>54</v>
      </c>
      <c r="D9509" s="186" t="s">
        <v>12746</v>
      </c>
      <c r="E9509" s="187">
        <v>181737.5</v>
      </c>
      <c r="F9509" s="43"/>
      <c r="G9509" s="48">
        <f t="shared" si="234"/>
        <v>494468.18492769729</v>
      </c>
      <c r="H9509" s="389" t="s">
        <v>9567</v>
      </c>
    </row>
    <row r="9510" spans="1:8" x14ac:dyDescent="0.3">
      <c r="A9510" s="45">
        <v>45475</v>
      </c>
      <c r="B9510" s="396" t="s">
        <v>12080</v>
      </c>
      <c r="C9510" s="5" t="s">
        <v>26</v>
      </c>
      <c r="D9510" s="5" t="s">
        <v>13934</v>
      </c>
      <c r="E9510" s="43">
        <v>700</v>
      </c>
      <c r="F9510" s="43"/>
      <c r="G9510" s="48">
        <f t="shared" si="234"/>
        <v>493768.18492769729</v>
      </c>
      <c r="H9510" s="389" t="s">
        <v>9567</v>
      </c>
    </row>
    <row r="9511" spans="1:8" x14ac:dyDescent="0.3">
      <c r="A9511" s="45">
        <v>45475</v>
      </c>
      <c r="B9511" s="396" t="s">
        <v>12080</v>
      </c>
      <c r="C9511" s="5" t="s">
        <v>26</v>
      </c>
      <c r="D9511" s="5" t="s">
        <v>5915</v>
      </c>
      <c r="E9511" s="43">
        <v>3000</v>
      </c>
      <c r="F9511" s="43"/>
      <c r="G9511" s="48">
        <f t="shared" si="234"/>
        <v>490768.18492769729</v>
      </c>
      <c r="H9511" s="389" t="s">
        <v>9567</v>
      </c>
    </row>
    <row r="9512" spans="1:8" x14ac:dyDescent="0.3">
      <c r="A9512" s="45">
        <v>45475</v>
      </c>
      <c r="B9512" s="396" t="s">
        <v>13709</v>
      </c>
      <c r="C9512" s="5" t="s">
        <v>11174</v>
      </c>
      <c r="D9512" s="5" t="s">
        <v>13935</v>
      </c>
      <c r="E9512" s="43">
        <v>3500</v>
      </c>
      <c r="F9512" s="43"/>
      <c r="G9512" s="48">
        <f t="shared" si="234"/>
        <v>487268.18492769729</v>
      </c>
      <c r="H9512" s="389" t="s">
        <v>9567</v>
      </c>
    </row>
    <row r="9513" spans="1:8" x14ac:dyDescent="0.3">
      <c r="A9513" s="45">
        <v>45475</v>
      </c>
      <c r="B9513" s="396" t="s">
        <v>13946</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11434</v>
      </c>
      <c r="E9514" s="43">
        <v>5000</v>
      </c>
      <c r="F9514" s="43"/>
      <c r="G9514" s="48">
        <f t="shared" si="234"/>
        <v>481268.18492769729</v>
      </c>
      <c r="H9514" s="389" t="s">
        <v>9567</v>
      </c>
    </row>
    <row r="9515" spans="1:8" x14ac:dyDescent="0.3">
      <c r="A9515" s="45">
        <v>45475</v>
      </c>
      <c r="B9515" s="396" t="s">
        <v>25</v>
      </c>
      <c r="C9515" s="5" t="s">
        <v>3205</v>
      </c>
      <c r="D9515" s="5" t="s">
        <v>13937</v>
      </c>
      <c r="E9515" s="43">
        <v>1000</v>
      </c>
      <c r="F9515" s="43"/>
      <c r="G9515" s="48">
        <f t="shared" si="234"/>
        <v>480268.18492769729</v>
      </c>
      <c r="H9515" s="389" t="s">
        <v>9567</v>
      </c>
    </row>
    <row r="9516" spans="1:8" x14ac:dyDescent="0.3">
      <c r="A9516" s="45">
        <v>45475</v>
      </c>
      <c r="B9516" s="396" t="s">
        <v>25</v>
      </c>
      <c r="C9516" s="5" t="s">
        <v>3205</v>
      </c>
      <c r="D9516" s="5" t="s">
        <v>13938</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12230</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13709</v>
      </c>
      <c r="C9520" s="5" t="s">
        <v>5793</v>
      </c>
      <c r="D9520" s="5" t="s">
        <v>40</v>
      </c>
      <c r="E9520" s="43">
        <v>5000</v>
      </c>
      <c r="F9520" s="43"/>
      <c r="G9520" s="48">
        <f t="shared" si="234"/>
        <v>470888.18492769729</v>
      </c>
      <c r="H9520" s="389" t="s">
        <v>9567</v>
      </c>
    </row>
    <row r="9521" spans="1:8" x14ac:dyDescent="0.3">
      <c r="A9521" s="45">
        <v>45475</v>
      </c>
      <c r="B9521" s="565"/>
      <c r="C9521" s="480"/>
      <c r="D9521" s="491" t="s">
        <v>13941</v>
      </c>
      <c r="E9521" s="480"/>
      <c r="F9521" s="43">
        <v>800000</v>
      </c>
      <c r="G9521" s="48">
        <f t="shared" si="234"/>
        <v>1270888.1849276973</v>
      </c>
      <c r="H9521" s="389" t="s">
        <v>9567</v>
      </c>
    </row>
    <row r="9522" spans="1:8" x14ac:dyDescent="0.3">
      <c r="A9522" s="45">
        <v>45475</v>
      </c>
      <c r="B9522" s="396" t="s">
        <v>13321</v>
      </c>
      <c r="C9522" s="5" t="s">
        <v>57</v>
      </c>
      <c r="D9522" s="5" t="s">
        <v>13942</v>
      </c>
      <c r="E9522" s="43">
        <v>40000</v>
      </c>
      <c r="F9522" s="43"/>
      <c r="G9522" s="48">
        <f t="shared" si="234"/>
        <v>1230888.1849276973</v>
      </c>
      <c r="H9522" s="389" t="s">
        <v>9567</v>
      </c>
    </row>
    <row r="9523" spans="1:8" x14ac:dyDescent="0.3">
      <c r="A9523" s="45">
        <v>45475</v>
      </c>
      <c r="B9523" s="396" t="s">
        <v>13321</v>
      </c>
      <c r="C9523" s="5" t="s">
        <v>3220</v>
      </c>
      <c r="D9523" s="5" t="s">
        <v>13942</v>
      </c>
      <c r="E9523" s="43">
        <v>10000</v>
      </c>
      <c r="F9523" s="43"/>
      <c r="G9523" s="48">
        <f t="shared" si="234"/>
        <v>1220888.1849276973</v>
      </c>
      <c r="H9523" s="389" t="s">
        <v>9567</v>
      </c>
    </row>
    <row r="9524" spans="1:8" x14ac:dyDescent="0.3">
      <c r="A9524" s="45">
        <v>45476</v>
      </c>
      <c r="B9524" s="394" t="s">
        <v>12611</v>
      </c>
      <c r="C9524" s="186" t="s">
        <v>54</v>
      </c>
      <c r="D9524" s="186" t="s">
        <v>13164</v>
      </c>
      <c r="E9524" s="187">
        <v>877970.83333333314</v>
      </c>
      <c r="F9524" s="43"/>
      <c r="G9524" s="48">
        <f t="shared" si="234"/>
        <v>342917.35159436415</v>
      </c>
      <c r="H9524" s="389" t="s">
        <v>9567</v>
      </c>
    </row>
    <row r="9525" spans="1:8" x14ac:dyDescent="0.3">
      <c r="A9525" s="45">
        <v>45476</v>
      </c>
      <c r="B9525" s="394" t="s">
        <v>13385</v>
      </c>
      <c r="C9525" s="186" t="s">
        <v>54</v>
      </c>
      <c r="D9525" s="186" t="s">
        <v>13943</v>
      </c>
      <c r="E9525" s="187">
        <f>56000+70000</f>
        <v>126000</v>
      </c>
      <c r="F9525" s="43"/>
      <c r="G9525" s="48">
        <f t="shared" si="234"/>
        <v>216917.35159436415</v>
      </c>
      <c r="H9525" s="389" t="s">
        <v>9567</v>
      </c>
    </row>
    <row r="9526" spans="1:8" x14ac:dyDescent="0.3">
      <c r="A9526" s="45">
        <v>45476</v>
      </c>
      <c r="B9526" s="394" t="s">
        <v>13321</v>
      </c>
      <c r="C9526" s="186" t="s">
        <v>54</v>
      </c>
      <c r="D9526" s="186" t="s">
        <v>8820</v>
      </c>
      <c r="E9526" s="187">
        <v>53333</v>
      </c>
      <c r="F9526" s="43"/>
      <c r="G9526" s="48">
        <f t="shared" si="234"/>
        <v>163584.35159436415</v>
      </c>
      <c r="H9526" s="389" t="s">
        <v>9567</v>
      </c>
    </row>
    <row r="9527" spans="1:8" x14ac:dyDescent="0.3">
      <c r="A9527" s="45">
        <v>45476</v>
      </c>
      <c r="B9527" s="394" t="s">
        <v>12133</v>
      </c>
      <c r="C9527" s="186" t="s">
        <v>54</v>
      </c>
      <c r="D9527" s="186" t="s">
        <v>12753</v>
      </c>
      <c r="E9527" s="187">
        <v>61500</v>
      </c>
      <c r="F9527" s="43"/>
      <c r="G9527" s="48">
        <f t="shared" si="234"/>
        <v>102084.35159436415</v>
      </c>
      <c r="H9527" s="389" t="s">
        <v>9567</v>
      </c>
    </row>
    <row r="9528" spans="1:8" x14ac:dyDescent="0.3">
      <c r="A9528" s="45">
        <v>45476</v>
      </c>
      <c r="B9528" s="394" t="s">
        <v>13321</v>
      </c>
      <c r="C9528" s="186" t="s">
        <v>54</v>
      </c>
      <c r="D9528" s="186" t="s">
        <v>13950</v>
      </c>
      <c r="E9528" s="187">
        <f>43560+41230</f>
        <v>84790</v>
      </c>
      <c r="F9528" s="43"/>
      <c r="G9528" s="48">
        <f t="shared" si="234"/>
        <v>17294.351594364154</v>
      </c>
      <c r="H9528" s="389" t="s">
        <v>9567</v>
      </c>
    </row>
    <row r="9529" spans="1:8" x14ac:dyDescent="0.3">
      <c r="A9529" s="45">
        <v>45476</v>
      </c>
      <c r="B9529" s="396" t="s">
        <v>12133</v>
      </c>
      <c r="C9529" s="5" t="s">
        <v>26</v>
      </c>
      <c r="D9529" s="5" t="s">
        <v>13944</v>
      </c>
      <c r="E9529" s="43">
        <v>1500</v>
      </c>
      <c r="F9529" s="43"/>
      <c r="G9529" s="48">
        <f t="shared" si="234"/>
        <v>15794.351594364154</v>
      </c>
      <c r="H9529" s="389" t="s">
        <v>9567</v>
      </c>
    </row>
    <row r="9530" spans="1:8" x14ac:dyDescent="0.3">
      <c r="A9530" s="45">
        <v>45476</v>
      </c>
      <c r="B9530" s="396" t="s">
        <v>25</v>
      </c>
      <c r="C9530" s="5" t="s">
        <v>25</v>
      </c>
      <c r="D9530" s="5" t="s">
        <v>11434</v>
      </c>
      <c r="E9530" s="43">
        <v>5000</v>
      </c>
      <c r="F9530" s="43"/>
      <c r="G9530" s="48">
        <f t="shared" si="234"/>
        <v>10794.351594364154</v>
      </c>
      <c r="H9530" s="389" t="s">
        <v>9567</v>
      </c>
    </row>
    <row r="9531" spans="1:8" x14ac:dyDescent="0.3">
      <c r="A9531" s="45">
        <v>45476</v>
      </c>
      <c r="B9531" s="396" t="s">
        <v>25</v>
      </c>
      <c r="C9531" s="5" t="s">
        <v>26</v>
      </c>
      <c r="D9531" s="5" t="s">
        <v>13945</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5"/>
      <c r="C9533" s="480"/>
      <c r="D9533" s="491" t="s">
        <v>13955</v>
      </c>
      <c r="E9533" s="480"/>
      <c r="F9533" s="43">
        <v>500000</v>
      </c>
      <c r="G9533" s="48">
        <f t="shared" si="234"/>
        <v>503894.35159436415</v>
      </c>
      <c r="H9533" s="389" t="s">
        <v>9567</v>
      </c>
    </row>
    <row r="9534" spans="1:8" x14ac:dyDescent="0.3">
      <c r="A9534" s="45">
        <v>45477</v>
      </c>
      <c r="B9534" s="396" t="s">
        <v>12055</v>
      </c>
      <c r="C9534" s="5" t="s">
        <v>26</v>
      </c>
      <c r="D9534" s="5" t="s">
        <v>13956</v>
      </c>
      <c r="E9534" s="43">
        <v>10000</v>
      </c>
      <c r="F9534" s="43"/>
      <c r="G9534" s="48">
        <f t="shared" si="234"/>
        <v>493894.35159436415</v>
      </c>
      <c r="H9534" s="389" t="s">
        <v>9567</v>
      </c>
    </row>
    <row r="9535" spans="1:8" x14ac:dyDescent="0.3">
      <c r="A9535" s="45">
        <v>45477</v>
      </c>
      <c r="B9535" s="394" t="s">
        <v>12055</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13962</v>
      </c>
      <c r="E9536" s="187">
        <v>143066.66666666666</v>
      </c>
      <c r="F9536" s="43"/>
      <c r="G9536" s="48">
        <f t="shared" si="234"/>
        <v>202163.10159436413</v>
      </c>
      <c r="H9536" s="389" t="s">
        <v>9567</v>
      </c>
    </row>
    <row r="9537" spans="1:11" x14ac:dyDescent="0.3">
      <c r="A9537" s="45">
        <v>45478</v>
      </c>
      <c r="B9537" s="565"/>
      <c r="C9537" s="480"/>
      <c r="D9537" s="491" t="s">
        <v>12269</v>
      </c>
      <c r="E9537" s="480"/>
      <c r="F9537" s="43">
        <v>1000000</v>
      </c>
      <c r="G9537" s="48">
        <f t="shared" si="234"/>
        <v>1202163.101594364</v>
      </c>
      <c r="H9537" s="389" t="s">
        <v>9567</v>
      </c>
    </row>
    <row r="9538" spans="1:11" x14ac:dyDescent="0.3">
      <c r="A9538" s="45">
        <v>45478</v>
      </c>
      <c r="B9538" s="396" t="s">
        <v>13709</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11434</v>
      </c>
      <c r="E9539" s="43">
        <v>5000</v>
      </c>
      <c r="F9539" s="43"/>
      <c r="G9539" s="48">
        <f t="shared" si="234"/>
        <v>1196663.101594364</v>
      </c>
      <c r="H9539" s="389" t="s">
        <v>9567</v>
      </c>
    </row>
    <row r="9540" spans="1:11" x14ac:dyDescent="0.3">
      <c r="A9540" s="45">
        <v>45478</v>
      </c>
      <c r="B9540" s="394" t="s">
        <v>12079</v>
      </c>
      <c r="C9540" s="186" t="s">
        <v>54</v>
      </c>
      <c r="D9540" s="186" t="s">
        <v>6253</v>
      </c>
      <c r="E9540" s="187">
        <v>165810</v>
      </c>
      <c r="F9540" s="43"/>
      <c r="G9540" s="48">
        <f t="shared" si="234"/>
        <v>1030853.101594364</v>
      </c>
      <c r="H9540" s="389" t="s">
        <v>9567</v>
      </c>
    </row>
    <row r="9541" spans="1:11" x14ac:dyDescent="0.3">
      <c r="A9541" s="45">
        <v>45478</v>
      </c>
      <c r="B9541" s="394" t="s">
        <v>13321</v>
      </c>
      <c r="C9541" s="186" t="s">
        <v>54</v>
      </c>
      <c r="D9541" s="186" t="s">
        <v>13963</v>
      </c>
      <c r="E9541" s="187">
        <v>219375</v>
      </c>
      <c r="F9541" s="43"/>
      <c r="G9541" s="48">
        <f t="shared" si="234"/>
        <v>811478.10159436404</v>
      </c>
      <c r="H9541" s="389" t="s">
        <v>9567</v>
      </c>
    </row>
    <row r="9542" spans="1:11" x14ac:dyDescent="0.3">
      <c r="A9542" s="45">
        <v>45478</v>
      </c>
      <c r="B9542" s="396" t="s">
        <v>13321</v>
      </c>
      <c r="C9542" s="5" t="s">
        <v>14</v>
      </c>
      <c r="D9542" s="5" t="s">
        <v>13964</v>
      </c>
      <c r="E9542" s="43">
        <v>1000</v>
      </c>
      <c r="F9542" s="43"/>
      <c r="G9542" s="48">
        <f t="shared" si="234"/>
        <v>810478.10159436404</v>
      </c>
      <c r="H9542" s="389" t="s">
        <v>9567</v>
      </c>
    </row>
    <row r="9543" spans="1:11" x14ac:dyDescent="0.3">
      <c r="A9543" s="45">
        <v>45478</v>
      </c>
      <c r="B9543" s="396" t="s">
        <v>13971</v>
      </c>
      <c r="C9543" s="5" t="s">
        <v>9758</v>
      </c>
      <c r="D9543" s="5" t="s">
        <v>13972</v>
      </c>
      <c r="E9543" s="43">
        <v>5000</v>
      </c>
      <c r="F9543" s="43"/>
      <c r="G9543" s="48">
        <f t="shared" si="234"/>
        <v>805478.10159436404</v>
      </c>
      <c r="H9543" s="389" t="s">
        <v>9567</v>
      </c>
    </row>
    <row r="9544" spans="1:11" x14ac:dyDescent="0.3">
      <c r="A9544" s="45">
        <v>45478</v>
      </c>
      <c r="B9544" s="396" t="s">
        <v>12133</v>
      </c>
      <c r="C9544" s="5" t="s">
        <v>12826</v>
      </c>
      <c r="D9544" s="5" t="s">
        <v>13965</v>
      </c>
      <c r="E9544" s="43">
        <v>6000</v>
      </c>
      <c r="F9544" s="43"/>
      <c r="G9544" s="48">
        <f t="shared" si="234"/>
        <v>799478.10159436404</v>
      </c>
      <c r="H9544" s="389" t="s">
        <v>9567</v>
      </c>
    </row>
    <row r="9545" spans="1:11" x14ac:dyDescent="0.3">
      <c r="A9545" s="45">
        <v>45478</v>
      </c>
      <c r="B9545" s="396" t="s">
        <v>13709</v>
      </c>
      <c r="C9545" s="5" t="s">
        <v>5793</v>
      </c>
      <c r="D9545" s="5" t="s">
        <v>40</v>
      </c>
      <c r="E9545" s="43">
        <v>3500</v>
      </c>
      <c r="F9545" s="43"/>
      <c r="G9545" s="48">
        <f t="shared" si="234"/>
        <v>795978.10159436404</v>
      </c>
      <c r="H9545" s="389" t="s">
        <v>9567</v>
      </c>
    </row>
    <row r="9546" spans="1:11" x14ac:dyDescent="0.3">
      <c r="A9546" s="45">
        <v>45478</v>
      </c>
      <c r="B9546" s="394" t="s">
        <v>12133</v>
      </c>
      <c r="C9546" s="186" t="s">
        <v>54</v>
      </c>
      <c r="D9546" s="186" t="s">
        <v>13966</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12133</v>
      </c>
      <c r="C9548" s="186" t="s">
        <v>54</v>
      </c>
      <c r="D9548" s="186" t="s">
        <v>13967</v>
      </c>
      <c r="E9548" s="187">
        <v>17200</v>
      </c>
      <c r="F9548" s="43"/>
      <c r="G9548" s="48">
        <f t="shared" si="234"/>
        <v>755473.10159436404</v>
      </c>
      <c r="H9548" s="389" t="s">
        <v>9567</v>
      </c>
    </row>
    <row r="9549" spans="1:11" x14ac:dyDescent="0.3">
      <c r="A9549" s="45">
        <v>45478</v>
      </c>
      <c r="B9549" s="396" t="s">
        <v>13946</v>
      </c>
      <c r="C9549" s="5" t="s">
        <v>13968</v>
      </c>
      <c r="D9549" s="5" t="s">
        <v>13969</v>
      </c>
      <c r="E9549" s="43">
        <v>40000</v>
      </c>
      <c r="F9549" s="43"/>
      <c r="G9549" s="48">
        <f t="shared" si="234"/>
        <v>715473.10159436404</v>
      </c>
      <c r="H9549" s="389" t="s">
        <v>9567</v>
      </c>
    </row>
    <row r="9550" spans="1:11" x14ac:dyDescent="0.3">
      <c r="A9550" s="45">
        <v>45478</v>
      </c>
      <c r="B9550" s="396" t="s">
        <v>13833</v>
      </c>
      <c r="C9550" s="5" t="s">
        <v>5793</v>
      </c>
      <c r="D9550" s="5" t="s">
        <v>40</v>
      </c>
      <c r="E9550" s="43">
        <v>500</v>
      </c>
      <c r="F9550" s="43"/>
      <c r="G9550" s="48">
        <f t="shared" si="234"/>
        <v>714973.10159436404</v>
      </c>
      <c r="H9550" s="389" t="s">
        <v>9567</v>
      </c>
      <c r="I9550" s="583" t="s">
        <v>12514</v>
      </c>
      <c r="J9550" s="187">
        <v>2734521</v>
      </c>
      <c r="K9550" s="52">
        <v>2678000</v>
      </c>
    </row>
    <row r="9551" spans="1:11" x14ac:dyDescent="0.3">
      <c r="A9551" s="45">
        <v>45478</v>
      </c>
      <c r="B9551" s="396" t="s">
        <v>12573</v>
      </c>
      <c r="C9551" s="5" t="s">
        <v>5793</v>
      </c>
      <c r="D9551" s="5" t="s">
        <v>40</v>
      </c>
      <c r="E9551" s="43">
        <v>500</v>
      </c>
      <c r="F9551" s="43"/>
      <c r="G9551" s="48">
        <f t="shared" si="234"/>
        <v>714473.10159436404</v>
      </c>
      <c r="H9551" s="389" t="s">
        <v>9567</v>
      </c>
      <c r="I9551" s="583" t="s">
        <v>55</v>
      </c>
      <c r="J9551" s="187">
        <f ca="1">SUMIF(C9481:E9559,"salary",E9481:E9559)</f>
        <v>2651840.583333333</v>
      </c>
      <c r="K9551" s="52">
        <v>1857500</v>
      </c>
    </row>
    <row r="9552" spans="1:11" x14ac:dyDescent="0.3">
      <c r="A9552" s="45">
        <v>45478</v>
      </c>
      <c r="B9552" s="396" t="s">
        <v>13709</v>
      </c>
      <c r="C9552" s="5" t="s">
        <v>5793</v>
      </c>
      <c r="D9552" s="5" t="s">
        <v>40</v>
      </c>
      <c r="E9552" s="43">
        <v>1000</v>
      </c>
      <c r="F9552" s="43"/>
      <c r="G9552" s="48">
        <f t="shared" si="234"/>
        <v>713473.10159436404</v>
      </c>
      <c r="H9552" s="389" t="s">
        <v>9567</v>
      </c>
      <c r="I9552" s="583" t="s">
        <v>12233</v>
      </c>
      <c r="J9552" s="187">
        <f ca="1">J9550-J9551</f>
        <v>82680.416666666977</v>
      </c>
      <c r="K9552" s="52">
        <f>K9550-K9551</f>
        <v>820500</v>
      </c>
    </row>
    <row r="9553" spans="1:11" x14ac:dyDescent="0.3">
      <c r="A9553" s="45">
        <v>45478</v>
      </c>
      <c r="B9553" s="396" t="s">
        <v>13709</v>
      </c>
      <c r="C9553" s="5" t="s">
        <v>30</v>
      </c>
      <c r="D9553" s="5" t="s">
        <v>13970</v>
      </c>
      <c r="E9553" s="43">
        <v>1000</v>
      </c>
      <c r="F9553" s="43"/>
      <c r="G9553" s="48">
        <f t="shared" ref="G9553:G9618" si="235">G9552+F9553-E9553</f>
        <v>712473.10159436404</v>
      </c>
      <c r="H9553" s="389" t="s">
        <v>9567</v>
      </c>
      <c r="J9553" s="52">
        <v>49500</v>
      </c>
    </row>
    <row r="9554" spans="1:11" x14ac:dyDescent="0.3">
      <c r="A9554" s="45">
        <v>45478</v>
      </c>
      <c r="B9554" s="394" t="s">
        <v>12055</v>
      </c>
      <c r="C9554" s="186" t="s">
        <v>54</v>
      </c>
      <c r="D9554" s="186" t="s">
        <v>10079</v>
      </c>
      <c r="E9554" s="187">
        <v>28000</v>
      </c>
      <c r="F9554" s="43"/>
      <c r="G9554" s="48">
        <f t="shared" si="235"/>
        <v>684473.10159436404</v>
      </c>
      <c r="H9554" s="389" t="s">
        <v>9567</v>
      </c>
      <c r="J9554" s="52">
        <v>15000</v>
      </c>
    </row>
    <row r="9555" spans="1:11" x14ac:dyDescent="0.3">
      <c r="A9555" s="45">
        <v>45479</v>
      </c>
      <c r="B9555" s="394" t="s">
        <v>12086</v>
      </c>
      <c r="C9555" s="186" t="s">
        <v>54</v>
      </c>
      <c r="D9555" s="186" t="s">
        <v>12520</v>
      </c>
      <c r="E9555" s="187">
        <v>52000</v>
      </c>
      <c r="F9555" s="43"/>
      <c r="G9555" s="48">
        <f t="shared" si="235"/>
        <v>632473.10159436404</v>
      </c>
      <c r="H9555" s="389" t="s">
        <v>9567</v>
      </c>
    </row>
    <row r="9556" spans="1:11" x14ac:dyDescent="0.3">
      <c r="A9556" s="45">
        <v>45479</v>
      </c>
      <c r="B9556" s="396" t="s">
        <v>12133</v>
      </c>
      <c r="C9556" s="5" t="s">
        <v>5162</v>
      </c>
      <c r="D9556" s="5" t="s">
        <v>294</v>
      </c>
      <c r="E9556" s="43">
        <v>5000</v>
      </c>
      <c r="F9556" s="43"/>
      <c r="G9556" s="48">
        <f t="shared" si="235"/>
        <v>627473.10159436404</v>
      </c>
      <c r="H9556" s="389" t="s">
        <v>9567</v>
      </c>
    </row>
    <row r="9557" spans="1:11" x14ac:dyDescent="0.3">
      <c r="A9557" s="45">
        <v>45479</v>
      </c>
      <c r="B9557" s="396" t="s">
        <v>13902</v>
      </c>
      <c r="C9557" s="5" t="s">
        <v>5793</v>
      </c>
      <c r="D9557" s="5" t="s">
        <v>294</v>
      </c>
      <c r="E9557" s="43">
        <v>7000</v>
      </c>
      <c r="F9557" s="43"/>
      <c r="G9557" s="48">
        <f t="shared" si="235"/>
        <v>620473.10159436404</v>
      </c>
      <c r="H9557" s="389" t="s">
        <v>9567</v>
      </c>
    </row>
    <row r="9558" spans="1:11" x14ac:dyDescent="0.3">
      <c r="A9558" s="45">
        <v>45479</v>
      </c>
      <c r="B9558" s="396" t="s">
        <v>12230</v>
      </c>
      <c r="C9558" s="5" t="s">
        <v>1616</v>
      </c>
      <c r="D9558" s="5" t="s">
        <v>13974</v>
      </c>
      <c r="E9558" s="43">
        <v>2500</v>
      </c>
      <c r="F9558" s="43"/>
      <c r="G9558" s="48">
        <f t="shared" si="235"/>
        <v>617973.10159436404</v>
      </c>
      <c r="H9558" s="389" t="s">
        <v>9567</v>
      </c>
    </row>
    <row r="9559" spans="1:11" x14ac:dyDescent="0.3">
      <c r="A9559" s="45">
        <v>45479</v>
      </c>
      <c r="B9559" s="396" t="s">
        <v>13709</v>
      </c>
      <c r="C9559" s="5" t="s">
        <v>9794</v>
      </c>
      <c r="D9559" s="5" t="s">
        <v>13975</v>
      </c>
      <c r="E9559" s="43">
        <v>8700</v>
      </c>
      <c r="F9559" s="43"/>
      <c r="G9559" s="48">
        <f t="shared" si="235"/>
        <v>609273.10159436404</v>
      </c>
      <c r="H9559" s="389" t="s">
        <v>9567</v>
      </c>
    </row>
    <row r="9560" spans="1:11" x14ac:dyDescent="0.3">
      <c r="A9560" s="45">
        <v>45479</v>
      </c>
      <c r="B9560" s="396" t="s">
        <v>13709</v>
      </c>
      <c r="C9560" s="5" t="s">
        <v>11174</v>
      </c>
      <c r="D9560" s="5" t="s">
        <v>13976</v>
      </c>
      <c r="E9560" s="43">
        <v>51000</v>
      </c>
      <c r="F9560" s="43"/>
      <c r="G9560" s="48">
        <f t="shared" si="235"/>
        <v>558273.10159436404</v>
      </c>
      <c r="H9560" s="389" t="s">
        <v>9567</v>
      </c>
    </row>
    <row r="9561" spans="1:11" x14ac:dyDescent="0.3">
      <c r="A9561" s="45">
        <v>45479</v>
      </c>
      <c r="B9561" s="396" t="s">
        <v>12796</v>
      </c>
      <c r="C9561" s="5" t="s">
        <v>13977</v>
      </c>
      <c r="D9561" s="5" t="s">
        <v>13983</v>
      </c>
      <c r="E9561" s="43">
        <v>3000</v>
      </c>
      <c r="F9561" s="43"/>
      <c r="G9561" s="48">
        <f t="shared" si="235"/>
        <v>555273.10159436404</v>
      </c>
      <c r="H9561" s="389" t="s">
        <v>9567</v>
      </c>
    </row>
    <row r="9562" spans="1:11" x14ac:dyDescent="0.3">
      <c r="A9562" s="45">
        <v>45479</v>
      </c>
      <c r="B9562" s="396" t="s">
        <v>25</v>
      </c>
      <c r="C9562" s="5" t="s">
        <v>25</v>
      </c>
      <c r="D9562" s="5" t="s">
        <v>11434</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13709</v>
      </c>
      <c r="C9563" s="5" t="s">
        <v>26</v>
      </c>
      <c r="D9563" s="5" t="s">
        <v>12287</v>
      </c>
      <c r="E9563" s="43">
        <v>1000</v>
      </c>
      <c r="F9563" s="43"/>
      <c r="G9563" s="48">
        <f t="shared" si="235"/>
        <v>549273.10159436404</v>
      </c>
      <c r="H9563" s="389" t="s">
        <v>9567</v>
      </c>
    </row>
    <row r="9564" spans="1:11" x14ac:dyDescent="0.3">
      <c r="A9564" s="45">
        <v>45479</v>
      </c>
      <c r="B9564" s="396" t="s">
        <v>12079</v>
      </c>
      <c r="C9564" s="5" t="s">
        <v>26</v>
      </c>
      <c r="D9564" s="5" t="s">
        <v>13980</v>
      </c>
      <c r="E9564" s="43">
        <v>500</v>
      </c>
      <c r="F9564" s="43"/>
      <c r="G9564" s="48">
        <f t="shared" si="235"/>
        <v>548773.10159436404</v>
      </c>
      <c r="H9564" s="389" t="s">
        <v>9567</v>
      </c>
    </row>
    <row r="9565" spans="1:11" x14ac:dyDescent="0.3">
      <c r="A9565" s="45">
        <v>45479</v>
      </c>
      <c r="B9565" s="396" t="s">
        <v>13981</v>
      </c>
      <c r="C9565" s="5" t="s">
        <v>13982</v>
      </c>
      <c r="D9565" s="5" t="s">
        <v>11757</v>
      </c>
      <c r="E9565" s="43">
        <v>50000</v>
      </c>
      <c r="F9565" s="43"/>
      <c r="G9565" s="48">
        <f t="shared" si="235"/>
        <v>498773.10159436404</v>
      </c>
      <c r="H9565" s="389" t="s">
        <v>9567</v>
      </c>
      <c r="I9565" s="52">
        <v>229</v>
      </c>
      <c r="J9565" s="52">
        <v>200</v>
      </c>
      <c r="K9565" s="52">
        <f>J9565*I9565</f>
        <v>45800</v>
      </c>
    </row>
    <row r="9566" spans="1:11" x14ac:dyDescent="0.3">
      <c r="A9566" s="45">
        <v>45479</v>
      </c>
      <c r="B9566" s="396" t="s">
        <v>13902</v>
      </c>
      <c r="C9566" s="5" t="s">
        <v>11174</v>
      </c>
      <c r="D9566" s="5" t="s">
        <v>13984</v>
      </c>
      <c r="E9566" s="43">
        <v>10000</v>
      </c>
      <c r="F9566" s="43"/>
      <c r="G9566" s="48">
        <f t="shared" si="235"/>
        <v>488773.10159436404</v>
      </c>
      <c r="H9566" s="389" t="s">
        <v>9567</v>
      </c>
    </row>
    <row r="9567" spans="1:11" x14ac:dyDescent="0.3">
      <c r="A9567" s="45">
        <v>45479</v>
      </c>
      <c r="B9567" s="396" t="s">
        <v>12796</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13321</v>
      </c>
      <c r="C9568" s="5" t="s">
        <v>3220</v>
      </c>
      <c r="D9568" s="5" t="s">
        <v>13893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12796</v>
      </c>
      <c r="C9569" s="5" t="s">
        <v>11174</v>
      </c>
      <c r="D9569" s="5" t="s">
        <v>13986</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12611</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13833</v>
      </c>
      <c r="C9571" s="5" t="s">
        <v>11174</v>
      </c>
      <c r="D9571" s="5" t="s">
        <v>13984</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13191</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11434</v>
      </c>
      <c r="E9573" s="43">
        <v>5000</v>
      </c>
      <c r="F9573" s="43"/>
      <c r="G9573" s="48">
        <f t="shared" si="235"/>
        <v>367052.10159436404</v>
      </c>
      <c r="H9573" s="389" t="s">
        <v>9567</v>
      </c>
      <c r="I9573" s="52">
        <v>0</v>
      </c>
      <c r="J9573" s="52">
        <v>2500</v>
      </c>
      <c r="K9573" s="52">
        <f t="shared" si="236"/>
        <v>0</v>
      </c>
    </row>
    <row r="9574" spans="1:12" x14ac:dyDescent="0.3">
      <c r="A9574" s="45">
        <v>45482</v>
      </c>
      <c r="B9574" s="396" t="s">
        <v>13385</v>
      </c>
      <c r="C9574" s="5" t="s">
        <v>26</v>
      </c>
      <c r="D9574" s="5" t="s">
        <v>13987</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13709</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12897</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14003</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13992</v>
      </c>
      <c r="E9578" s="43">
        <v>10000</v>
      </c>
      <c r="F9578" s="43"/>
      <c r="G9578" s="48">
        <f t="shared" si="235"/>
        <v>346052.10159436404</v>
      </c>
      <c r="H9578" s="389" t="s">
        <v>9567</v>
      </c>
      <c r="I9578" s="52">
        <v>2</v>
      </c>
      <c r="J9578" s="52">
        <v>30000</v>
      </c>
      <c r="K9578" s="52">
        <v>30000</v>
      </c>
    </row>
    <row r="9579" spans="1:12" x14ac:dyDescent="0.3">
      <c r="A9579" s="45">
        <v>45482</v>
      </c>
      <c r="B9579" s="396" t="s">
        <v>13902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13709</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11434</v>
      </c>
      <c r="E9581" s="43">
        <v>5000</v>
      </c>
      <c r="F9581" s="43"/>
      <c r="G9581" s="48">
        <f t="shared" si="235"/>
        <v>338902.10159436404</v>
      </c>
      <c r="H9581" s="389" t="s">
        <v>9567</v>
      </c>
      <c r="I9581" s="52">
        <v>1</v>
      </c>
      <c r="J9581" s="52">
        <v>12000</v>
      </c>
      <c r="K9581" s="52">
        <v>15000</v>
      </c>
      <c r="L9581" s="656"/>
    </row>
    <row r="9582" spans="1:12" ht="19.5" thickBot="1" x14ac:dyDescent="0.35">
      <c r="A9582" s="45">
        <v>45483</v>
      </c>
      <c r="B9582" s="396" t="s">
        <v>25</v>
      </c>
      <c r="C9582" s="5" t="s">
        <v>25</v>
      </c>
      <c r="D9582" s="5" t="s">
        <v>11434</v>
      </c>
      <c r="E9582" s="43">
        <v>5000</v>
      </c>
      <c r="F9582" s="43"/>
      <c r="G9582" s="48">
        <f t="shared" si="235"/>
        <v>333902.10159436404</v>
      </c>
      <c r="H9582" s="389" t="s">
        <v>9567</v>
      </c>
      <c r="I9582" s="52">
        <v>1</v>
      </c>
      <c r="J9582" s="52">
        <v>8500</v>
      </c>
      <c r="K9582" s="52">
        <f>J9582*I9582</f>
        <v>8500</v>
      </c>
      <c r="L9582" s="658"/>
    </row>
    <row r="9583" spans="1:12" ht="19.5" thickBot="1" x14ac:dyDescent="0.35">
      <c r="A9583" s="45">
        <v>45483</v>
      </c>
      <c r="B9583" s="396"/>
      <c r="C9583" s="5"/>
      <c r="D9583" s="5" t="s">
        <v>13993</v>
      </c>
      <c r="E9583" s="43">
        <v>600</v>
      </c>
      <c r="F9583" s="43"/>
      <c r="G9583" s="48">
        <f t="shared" si="235"/>
        <v>333302.10159436404</v>
      </c>
      <c r="H9583" s="389" t="s">
        <v>9567</v>
      </c>
      <c r="I9583" s="52">
        <v>13</v>
      </c>
      <c r="J9583" s="52">
        <v>500</v>
      </c>
      <c r="K9583" s="52">
        <f>J9583*I9583</f>
        <v>6500</v>
      </c>
      <c r="L9583" s="658"/>
    </row>
    <row r="9584" spans="1:12" ht="19.5" thickBot="1" x14ac:dyDescent="0.35">
      <c r="A9584" s="45">
        <v>45483</v>
      </c>
      <c r="B9584" s="394" t="s">
        <v>12897</v>
      </c>
      <c r="C9584" s="186" t="s">
        <v>54</v>
      </c>
      <c r="D9584" s="186" t="s">
        <v>13994</v>
      </c>
      <c r="E9584" s="187">
        <v>55000</v>
      </c>
      <c r="F9584" s="43"/>
      <c r="G9584" s="48">
        <f t="shared" si="235"/>
        <v>278302.10159436404</v>
      </c>
      <c r="H9584" s="389" t="s">
        <v>9567</v>
      </c>
      <c r="K9584" s="52">
        <v>35000</v>
      </c>
      <c r="L9584" s="659"/>
    </row>
    <row r="9585" spans="1:12" ht="19.5" thickBot="1" x14ac:dyDescent="0.35">
      <c r="A9585" s="45">
        <v>45483</v>
      </c>
      <c r="B9585" s="396" t="s">
        <v>10319</v>
      </c>
      <c r="C9585" s="5" t="s">
        <v>7737</v>
      </c>
      <c r="D9585" s="5" t="s">
        <v>13790</v>
      </c>
      <c r="E9585" s="43">
        <v>20000</v>
      </c>
      <c r="F9585" s="43"/>
      <c r="G9585" s="48">
        <f t="shared" si="235"/>
        <v>258302.10159436404</v>
      </c>
      <c r="H9585" s="389" t="s">
        <v>9567</v>
      </c>
      <c r="K9585" s="52">
        <f>SUM(K9562:K9584)</f>
        <v>952140</v>
      </c>
      <c r="L9585" s="659"/>
    </row>
    <row r="9586" spans="1:12" ht="19.5" thickBot="1" x14ac:dyDescent="0.35">
      <c r="A9586" s="45">
        <v>45483</v>
      </c>
      <c r="B9586" s="396" t="s">
        <v>13981</v>
      </c>
      <c r="C9586" s="5" t="s">
        <v>5793</v>
      </c>
      <c r="D9586" s="5" t="s">
        <v>40</v>
      </c>
      <c r="E9586" s="43">
        <v>1100</v>
      </c>
      <c r="F9586" s="43"/>
      <c r="G9586" s="48">
        <f t="shared" si="235"/>
        <v>257202.10159436404</v>
      </c>
      <c r="H9586" s="389" t="s">
        <v>9567</v>
      </c>
      <c r="K9586" s="52">
        <f>J9586*I9586</f>
        <v>0</v>
      </c>
      <c r="L9586" s="659"/>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59"/>
    </row>
    <row r="9588" spans="1:12" ht="19.5" thickBot="1" x14ac:dyDescent="0.35">
      <c r="A9588" s="45">
        <v>45483</v>
      </c>
      <c r="B9588" s="396" t="s">
        <v>25</v>
      </c>
      <c r="C9588" s="5" t="s">
        <v>84</v>
      </c>
      <c r="D9588" s="5" t="s">
        <v>13995</v>
      </c>
      <c r="E9588" s="43">
        <v>30000</v>
      </c>
      <c r="F9588" s="43"/>
      <c r="G9588" s="48">
        <f t="shared" si="235"/>
        <v>226502.10159436404</v>
      </c>
      <c r="H9588" s="389" t="s">
        <v>9567</v>
      </c>
      <c r="L9588" s="659"/>
    </row>
    <row r="9589" spans="1:12" x14ac:dyDescent="0.3">
      <c r="A9589" s="45">
        <v>45484</v>
      </c>
      <c r="B9589" s="396" t="s">
        <v>13877</v>
      </c>
      <c r="C9589" s="5" t="s">
        <v>5288</v>
      </c>
      <c r="D9589" s="5" t="s">
        <v>13996</v>
      </c>
      <c r="E9589" s="43">
        <v>150000</v>
      </c>
      <c r="F9589" s="43"/>
      <c r="G9589" s="48">
        <f t="shared" si="235"/>
        <v>76502.101594364038</v>
      </c>
      <c r="H9589" s="389" t="s">
        <v>9567</v>
      </c>
    </row>
    <row r="9590" spans="1:12" ht="19.5" thickBot="1" x14ac:dyDescent="0.35">
      <c r="A9590" s="45">
        <v>45484</v>
      </c>
      <c r="B9590" s="396" t="s">
        <v>13902</v>
      </c>
      <c r="C9590" s="5" t="s">
        <v>30</v>
      </c>
      <c r="D9590" s="5" t="s">
        <v>10637</v>
      </c>
      <c r="E9590" s="43">
        <v>1000</v>
      </c>
      <c r="F9590" s="43"/>
      <c r="G9590" s="48">
        <f t="shared" si="235"/>
        <v>75502.101594364038</v>
      </c>
      <c r="H9590" s="389" t="s">
        <v>9567</v>
      </c>
    </row>
    <row r="9591" spans="1:12" ht="19.5" thickBot="1" x14ac:dyDescent="0.35">
      <c r="A9591" s="45">
        <v>45484</v>
      </c>
      <c r="B9591" s="396" t="s">
        <v>12133</v>
      </c>
      <c r="C9591" s="5" t="s">
        <v>84</v>
      </c>
      <c r="D9591" s="5" t="s">
        <v>13998</v>
      </c>
      <c r="E9591" s="43">
        <v>5000</v>
      </c>
      <c r="F9591" s="43"/>
      <c r="G9591" s="48">
        <f t="shared" si="235"/>
        <v>70502.101594364038</v>
      </c>
      <c r="H9591" s="389" t="s">
        <v>9567</v>
      </c>
      <c r="I9591" s="52">
        <v>1397</v>
      </c>
      <c r="J9591" s="52">
        <v>205</v>
      </c>
      <c r="K9591" s="52">
        <f t="shared" ref="K9591:K9596" si="237">J9591*I9591</f>
        <v>286385</v>
      </c>
      <c r="L9591" s="656">
        <v>5956975</v>
      </c>
    </row>
    <row r="9592" spans="1:12" ht="19.5" thickBot="1" x14ac:dyDescent="0.35">
      <c r="A9592" s="45">
        <v>45485</v>
      </c>
      <c r="B9592" s="396" t="s">
        <v>25</v>
      </c>
      <c r="C9592" s="5" t="s">
        <v>25</v>
      </c>
      <c r="D9592" s="5" t="s">
        <v>11434</v>
      </c>
      <c r="E9592" s="43">
        <v>6000</v>
      </c>
      <c r="F9592" s="43"/>
      <c r="G9592" s="48">
        <f t="shared" si="235"/>
        <v>64502.101594364038</v>
      </c>
      <c r="H9592" s="389" t="s">
        <v>9567</v>
      </c>
      <c r="I9592" s="52">
        <v>392</v>
      </c>
      <c r="J9592" s="52">
        <v>215</v>
      </c>
      <c r="K9592" s="52">
        <f t="shared" si="237"/>
        <v>84280</v>
      </c>
      <c r="L9592" s="659">
        <v>918445</v>
      </c>
    </row>
    <row r="9593" spans="1:12" ht="19.5" thickBot="1" x14ac:dyDescent="0.35">
      <c r="A9593" s="45">
        <v>45485</v>
      </c>
      <c r="B9593" s="396" t="s">
        <v>25</v>
      </c>
      <c r="C9593" s="5" t="s">
        <v>25</v>
      </c>
      <c r="D9593" s="5" t="s">
        <v>14004</v>
      </c>
      <c r="E9593" s="43">
        <v>3000</v>
      </c>
      <c r="F9593" s="43"/>
      <c r="G9593" s="48">
        <f t="shared" si="235"/>
        <v>61502.101594364038</v>
      </c>
      <c r="H9593" s="389" t="s">
        <v>9567</v>
      </c>
      <c r="I9593" s="52">
        <v>480</v>
      </c>
      <c r="J9593" s="52">
        <v>215</v>
      </c>
      <c r="K9593" s="52">
        <f t="shared" si="237"/>
        <v>103200</v>
      </c>
      <c r="L9593" s="659">
        <f>L9592+L9591</f>
        <v>6875420</v>
      </c>
    </row>
    <row r="9594" spans="1:12" ht="19.5" thickBot="1" x14ac:dyDescent="0.35">
      <c r="A9594" s="45">
        <v>45485</v>
      </c>
      <c r="B9594" s="396" t="s">
        <v>13833</v>
      </c>
      <c r="C9594" s="5" t="s">
        <v>11174</v>
      </c>
      <c r="D9594" s="5" t="s">
        <v>14005</v>
      </c>
      <c r="E9594" s="43">
        <v>16000</v>
      </c>
      <c r="F9594" s="43"/>
      <c r="G9594" s="48">
        <f t="shared" si="235"/>
        <v>45502.101594364038</v>
      </c>
      <c r="H9594" s="389" t="s">
        <v>9567</v>
      </c>
      <c r="I9594" s="52">
        <v>333</v>
      </c>
      <c r="J9594" s="52">
        <v>300</v>
      </c>
      <c r="K9594" s="52">
        <f t="shared" si="237"/>
        <v>99900</v>
      </c>
      <c r="L9594" s="661">
        <v>150000</v>
      </c>
    </row>
    <row r="9595" spans="1:12" ht="19.5" thickBot="1" x14ac:dyDescent="0.35">
      <c r="A9595" s="45">
        <v>45485</v>
      </c>
      <c r="B9595" s="396" t="s">
        <v>13833</v>
      </c>
      <c r="C9595" s="5" t="s">
        <v>11174</v>
      </c>
      <c r="D9595" s="5" t="s">
        <v>14006</v>
      </c>
      <c r="E9595" s="43">
        <v>9000</v>
      </c>
      <c r="F9595" s="43"/>
      <c r="G9595" s="48">
        <f t="shared" si="235"/>
        <v>36502.101594364038</v>
      </c>
      <c r="H9595" s="389" t="s">
        <v>9567</v>
      </c>
      <c r="I9595" s="52">
        <v>288</v>
      </c>
      <c r="J9595" s="52">
        <v>340</v>
      </c>
      <c r="K9595" s="52">
        <f t="shared" si="237"/>
        <v>97920</v>
      </c>
      <c r="L9595" s="659">
        <f>L9593-L9594</f>
        <v>6725420</v>
      </c>
    </row>
    <row r="9596" spans="1:12" ht="19.5" thickBot="1" x14ac:dyDescent="0.35">
      <c r="A9596" s="45">
        <v>45485</v>
      </c>
      <c r="B9596" s="396" t="s">
        <v>12080</v>
      </c>
      <c r="C9596" s="5" t="s">
        <v>14007</v>
      </c>
      <c r="D9596" s="5" t="s">
        <v>14008</v>
      </c>
      <c r="E9596" s="43">
        <v>4000</v>
      </c>
      <c r="F9596" s="43"/>
      <c r="G9596" s="48">
        <f t="shared" si="235"/>
        <v>32502.101594364038</v>
      </c>
      <c r="H9596" s="389" t="s">
        <v>9567</v>
      </c>
      <c r="I9596" s="52">
        <v>64</v>
      </c>
      <c r="J9596" s="52">
        <v>500</v>
      </c>
      <c r="K9596" s="52">
        <f t="shared" si="237"/>
        <v>32000</v>
      </c>
      <c r="L9596" s="659">
        <v>111085</v>
      </c>
    </row>
    <row r="9597" spans="1:12" ht="19.5" thickBot="1" x14ac:dyDescent="0.35">
      <c r="A9597" s="45">
        <v>45485</v>
      </c>
      <c r="B9597" s="396" t="s">
        <v>13902</v>
      </c>
      <c r="C9597" s="5" t="s">
        <v>5793</v>
      </c>
      <c r="D9597" s="5" t="s">
        <v>40</v>
      </c>
      <c r="E9597" s="43">
        <v>1500</v>
      </c>
      <c r="F9597" s="43"/>
      <c r="G9597" s="48">
        <f t="shared" si="235"/>
        <v>31002.101594364038</v>
      </c>
      <c r="H9597" s="389" t="s">
        <v>9567</v>
      </c>
      <c r="L9597" s="659"/>
    </row>
    <row r="9598" spans="1:12" ht="19.5" thickBot="1" x14ac:dyDescent="0.35">
      <c r="A9598" s="45">
        <v>45485</v>
      </c>
      <c r="B9598" s="396" t="s">
        <v>12080</v>
      </c>
      <c r="C9598" s="5" t="s">
        <v>11174</v>
      </c>
      <c r="D9598" s="5" t="s">
        <v>14009</v>
      </c>
      <c r="E9598" s="43">
        <v>5000</v>
      </c>
      <c r="F9598" s="43"/>
      <c r="G9598" s="48">
        <f t="shared" si="235"/>
        <v>26002.101594364038</v>
      </c>
      <c r="H9598" s="389" t="s">
        <v>9567</v>
      </c>
      <c r="I9598" s="52">
        <v>64</v>
      </c>
      <c r="J9598" s="52">
        <v>500</v>
      </c>
      <c r="K9598" s="52">
        <f t="shared" ref="K9598:K9604" si="238">J9598*I9598</f>
        <v>32000</v>
      </c>
      <c r="L9598" s="659">
        <v>6986505</v>
      </c>
    </row>
    <row r="9599" spans="1:12" ht="19.5" thickBot="1" x14ac:dyDescent="0.35">
      <c r="A9599" s="45">
        <v>45485</v>
      </c>
      <c r="B9599" s="394" t="s">
        <v>12611</v>
      </c>
      <c r="C9599" s="186" t="s">
        <v>54</v>
      </c>
      <c r="D9599" s="186" t="s">
        <v>14011</v>
      </c>
      <c r="E9599" s="187">
        <v>15000</v>
      </c>
      <c r="F9599" s="43"/>
      <c r="G9599" s="48">
        <f t="shared" si="235"/>
        <v>11002.101594364038</v>
      </c>
      <c r="H9599" s="389" t="s">
        <v>9567</v>
      </c>
      <c r="I9599" s="52">
        <v>100</v>
      </c>
      <c r="J9599" s="52">
        <v>500</v>
      </c>
      <c r="K9599" s="52">
        <f t="shared" si="238"/>
        <v>50000</v>
      </c>
      <c r="L9599" s="659">
        <v>139730</v>
      </c>
    </row>
    <row r="9600" spans="1:12" ht="19.5" thickBot="1" x14ac:dyDescent="0.35">
      <c r="A9600" s="45">
        <v>45486</v>
      </c>
      <c r="B9600" s="396" t="s">
        <v>12046</v>
      </c>
      <c r="C9600" s="5" t="s">
        <v>5793</v>
      </c>
      <c r="D9600" s="5" t="s">
        <v>40</v>
      </c>
      <c r="E9600" s="43">
        <v>1500</v>
      </c>
      <c r="F9600" s="43"/>
      <c r="G9600" s="48">
        <f t="shared" si="235"/>
        <v>9502.1015943640377</v>
      </c>
      <c r="H9600" s="389" t="s">
        <v>9567</v>
      </c>
      <c r="I9600" s="52">
        <v>2</v>
      </c>
      <c r="J9600" s="52">
        <v>500</v>
      </c>
      <c r="K9600" s="52">
        <f t="shared" si="238"/>
        <v>1000</v>
      </c>
      <c r="L9600" s="659">
        <v>6846775</v>
      </c>
    </row>
    <row r="9601" spans="1:15" x14ac:dyDescent="0.3">
      <c r="A9601" s="45">
        <v>45486</v>
      </c>
      <c r="B9601" s="396" t="s">
        <v>25</v>
      </c>
      <c r="C9601" s="5" t="s">
        <v>25</v>
      </c>
      <c r="D9601" s="5" t="s">
        <v>11434</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13902</v>
      </c>
      <c r="C9602" s="5" t="s">
        <v>30</v>
      </c>
      <c r="D9602" s="5" t="s">
        <v>14012</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11434</v>
      </c>
      <c r="E9603" s="43">
        <v>3000</v>
      </c>
      <c r="F9603" s="43"/>
      <c r="G9603" s="48">
        <f t="shared" si="235"/>
        <v>2.1015943640377373</v>
      </c>
      <c r="H9603" s="389" t="s">
        <v>9567</v>
      </c>
      <c r="I9603" s="52">
        <v>1</v>
      </c>
      <c r="J9603" s="52">
        <v>5000</v>
      </c>
      <c r="K9603" s="52">
        <f t="shared" si="238"/>
        <v>5000</v>
      </c>
    </row>
    <row r="9604" spans="1:15" x14ac:dyDescent="0.3">
      <c r="A9604" s="45">
        <v>45491</v>
      </c>
      <c r="B9604" s="565"/>
      <c r="C9604" s="480"/>
      <c r="D9604" s="491" t="s">
        <v>11014</v>
      </c>
      <c r="E9604" s="480"/>
      <c r="F9604" s="43">
        <v>100000</v>
      </c>
      <c r="G9604" s="48">
        <f t="shared" si="235"/>
        <v>100002.10159436404</v>
      </c>
      <c r="H9604" s="389" t="s">
        <v>9567</v>
      </c>
      <c r="K9604" s="52">
        <f t="shared" si="238"/>
        <v>0</v>
      </c>
    </row>
    <row r="9605" spans="1:15" x14ac:dyDescent="0.3">
      <c r="A9605" s="45">
        <v>45491</v>
      </c>
      <c r="B9605" s="396" t="s">
        <v>13709</v>
      </c>
      <c r="C9605" s="5" t="s">
        <v>11174</v>
      </c>
      <c r="D9605" s="5" t="s">
        <v>14019</v>
      </c>
      <c r="E9605" s="43">
        <v>38180</v>
      </c>
      <c r="F9605" s="43"/>
      <c r="G9605" s="48">
        <f t="shared" si="235"/>
        <v>61822.101594364038</v>
      </c>
      <c r="H9605" s="389" t="s">
        <v>9567</v>
      </c>
      <c r="K9605" s="52">
        <f>SUM(K9591:K9604)</f>
        <v>831685</v>
      </c>
    </row>
    <row r="9606" spans="1:15" x14ac:dyDescent="0.3">
      <c r="A9606" s="45">
        <v>45491</v>
      </c>
      <c r="B9606" s="396" t="s">
        <v>13709</v>
      </c>
      <c r="C9606" s="5" t="s">
        <v>5793</v>
      </c>
      <c r="D9606" s="5" t="s">
        <v>40</v>
      </c>
      <c r="E9606" s="43">
        <v>3300</v>
      </c>
      <c r="F9606" s="43"/>
      <c r="G9606" s="48">
        <f t="shared" si="235"/>
        <v>58522.101594364038</v>
      </c>
      <c r="H9606" s="389" t="s">
        <v>9567</v>
      </c>
      <c r="K9606" s="52">
        <v>952140</v>
      </c>
    </row>
    <row r="9607" spans="1:15" x14ac:dyDescent="0.3">
      <c r="A9607" s="45">
        <v>45491</v>
      </c>
      <c r="B9607" s="396" t="s">
        <v>13709</v>
      </c>
      <c r="C9607" s="5" t="s">
        <v>11174</v>
      </c>
      <c r="D9607" s="5" t="s">
        <v>12533</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11434</v>
      </c>
      <c r="E9608" s="43">
        <v>7000</v>
      </c>
      <c r="F9608" s="43"/>
      <c r="G9608" s="48">
        <f t="shared" si="235"/>
        <v>50922.101594364038</v>
      </c>
      <c r="H9608" s="389" t="s">
        <v>9567</v>
      </c>
      <c r="I9608" s="278" t="s">
        <v>14013</v>
      </c>
      <c r="J9608" s="43">
        <v>8780000</v>
      </c>
      <c r="L9608" s="52">
        <f t="shared" ref="L9608:L9609" si="239">K9608*J9608</f>
        <v>0</v>
      </c>
      <c r="N9608" s="4"/>
      <c r="O9608" s="52"/>
    </row>
    <row r="9609" spans="1:15" x14ac:dyDescent="0.3">
      <c r="A9609" s="45">
        <v>45491</v>
      </c>
      <c r="B9609" s="396" t="s">
        <v>13385</v>
      </c>
      <c r="C9609" s="5" t="s">
        <v>11174</v>
      </c>
      <c r="D9609" s="5" t="s">
        <v>14018</v>
      </c>
      <c r="E9609" s="43">
        <v>1750</v>
      </c>
      <c r="F9609" s="43"/>
      <c r="G9609" s="48">
        <f t="shared" si="235"/>
        <v>49172.101594364038</v>
      </c>
      <c r="H9609" s="389" t="s">
        <v>9567</v>
      </c>
      <c r="I9609" s="278" t="s">
        <v>14014</v>
      </c>
      <c r="J9609" s="43">
        <f>J9608*2%</f>
        <v>175600</v>
      </c>
      <c r="L9609" s="52">
        <f t="shared" si="239"/>
        <v>0</v>
      </c>
      <c r="N9609" s="4"/>
      <c r="O9609" s="52"/>
    </row>
    <row r="9610" spans="1:15" x14ac:dyDescent="0.3">
      <c r="A9610" s="45">
        <v>45491</v>
      </c>
      <c r="B9610" s="396" t="s">
        <v>13833</v>
      </c>
      <c r="C9610" s="5" t="s">
        <v>5793</v>
      </c>
      <c r="D9610" s="5" t="s">
        <v>40</v>
      </c>
      <c r="E9610" s="43">
        <v>1100</v>
      </c>
      <c r="F9610" s="43"/>
      <c r="G9610" s="48">
        <f t="shared" si="235"/>
        <v>48072.101594364038</v>
      </c>
      <c r="H9610" s="389" t="s">
        <v>9567</v>
      </c>
      <c r="I9610" s="278" t="s">
        <v>14015</v>
      </c>
      <c r="J9610" s="43">
        <f>J9608-J9609</f>
        <v>8604400</v>
      </c>
      <c r="L9610" s="52">
        <f>SUM(K9591:K9609)</f>
        <v>4399335</v>
      </c>
      <c r="N9610" s="4"/>
      <c r="O9610" s="52"/>
    </row>
    <row r="9611" spans="1:15" x14ac:dyDescent="0.3">
      <c r="A9611" s="45">
        <v>45491</v>
      </c>
      <c r="B9611" s="396" t="s">
        <v>13709</v>
      </c>
      <c r="C9611" s="5" t="s">
        <v>5793</v>
      </c>
      <c r="D9611" s="5" t="s">
        <v>40</v>
      </c>
      <c r="E9611" s="43">
        <v>1000</v>
      </c>
      <c r="F9611" s="43"/>
      <c r="G9611" s="48">
        <f t="shared" si="235"/>
        <v>47072.101594364038</v>
      </c>
      <c r="H9611" s="389" t="s">
        <v>9567</v>
      </c>
    </row>
    <row r="9612" spans="1:15" x14ac:dyDescent="0.3">
      <c r="A9612" s="45">
        <v>45491</v>
      </c>
      <c r="B9612" s="396" t="s">
        <v>13902</v>
      </c>
      <c r="C9612" s="5" t="s">
        <v>11569</v>
      </c>
      <c r="D9612" s="5" t="s">
        <v>14020</v>
      </c>
      <c r="E9612" s="43">
        <v>2600</v>
      </c>
      <c r="F9612" s="43"/>
      <c r="G9612" s="48">
        <f t="shared" si="235"/>
        <v>44472.101594364038</v>
      </c>
      <c r="H9612" s="389" t="s">
        <v>9567</v>
      </c>
    </row>
    <row r="9613" spans="1:15" x14ac:dyDescent="0.3">
      <c r="A9613" s="45">
        <v>45491</v>
      </c>
      <c r="B9613" s="396" t="s">
        <v>12230</v>
      </c>
      <c r="C9613" s="5" t="s">
        <v>1074</v>
      </c>
      <c r="D9613" s="5" t="s">
        <v>6280</v>
      </c>
      <c r="E9613" s="43">
        <v>11715</v>
      </c>
      <c r="F9613" s="43"/>
      <c r="G9613" s="48">
        <f t="shared" si="235"/>
        <v>32757.101594364038</v>
      </c>
      <c r="H9613" s="389" t="s">
        <v>9567</v>
      </c>
    </row>
    <row r="9614" spans="1:15" x14ac:dyDescent="0.3">
      <c r="A9614" s="45">
        <v>45491</v>
      </c>
      <c r="B9614" s="396" t="s">
        <v>13138</v>
      </c>
      <c r="C9614" s="5" t="s">
        <v>84</v>
      </c>
      <c r="D9614" s="5" t="s">
        <v>14021</v>
      </c>
      <c r="E9614" s="43">
        <v>5000</v>
      </c>
      <c r="F9614" s="43"/>
      <c r="G9614" s="48">
        <f t="shared" si="235"/>
        <v>27757.101594364038</v>
      </c>
      <c r="H9614" s="389" t="s">
        <v>9567</v>
      </c>
    </row>
    <row r="9615" spans="1:15" x14ac:dyDescent="0.3">
      <c r="A9615" s="45">
        <v>45491</v>
      </c>
      <c r="B9615" s="396" t="s">
        <v>12133</v>
      </c>
      <c r="C9615" s="5" t="s">
        <v>5162</v>
      </c>
      <c r="D9615" s="5" t="s">
        <v>294</v>
      </c>
      <c r="E9615" s="43">
        <v>5000</v>
      </c>
      <c r="F9615" s="43"/>
      <c r="G9615" s="48">
        <f t="shared" si="235"/>
        <v>22757.101594364038</v>
      </c>
      <c r="H9615" s="389" t="s">
        <v>9567</v>
      </c>
    </row>
    <row r="9616" spans="1:15" x14ac:dyDescent="0.3">
      <c r="A9616" s="45">
        <v>45491</v>
      </c>
      <c r="B9616" s="396" t="s">
        <v>13458</v>
      </c>
      <c r="C9616" s="5" t="s">
        <v>84</v>
      </c>
      <c r="D9616" s="5" t="s">
        <v>14022</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13902</v>
      </c>
      <c r="C9618" s="5" t="s">
        <v>5793</v>
      </c>
      <c r="D9618" s="5" t="s">
        <v>40</v>
      </c>
      <c r="E9618" s="43">
        <v>500</v>
      </c>
      <c r="F9618" s="43"/>
      <c r="G9618" s="48">
        <f t="shared" si="235"/>
        <v>4257.1015943640377</v>
      </c>
      <c r="H9618" s="389" t="s">
        <v>9567</v>
      </c>
      <c r="I9618" s="655"/>
      <c r="J9618" s="656"/>
      <c r="K9618" s="656"/>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7"/>
      <c r="J9619" s="658"/>
      <c r="K9619" s="658"/>
      <c r="M9619" s="4">
        <f>SUM(M9616:M9618)</f>
        <v>3900</v>
      </c>
    </row>
    <row r="9620" spans="1:13" x14ac:dyDescent="0.3">
      <c r="A9620" s="45">
        <v>45492</v>
      </c>
      <c r="B9620" s="565"/>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13138</v>
      </c>
      <c r="C9621" s="5" t="s">
        <v>11174</v>
      </c>
      <c r="D9621" s="5" t="s">
        <v>14028</v>
      </c>
      <c r="E9621" s="43">
        <v>9500</v>
      </c>
      <c r="F9621" s="43"/>
      <c r="G9621" s="48">
        <f t="shared" si="240"/>
        <v>41257.101594364038</v>
      </c>
      <c r="H9621" s="389" t="s">
        <v>9567</v>
      </c>
      <c r="I9621" s="657"/>
      <c r="J9621" s="658"/>
      <c r="K9621" s="658"/>
    </row>
    <row r="9622" spans="1:13" ht="19.5" thickBot="1" x14ac:dyDescent="0.35">
      <c r="A9622" s="45">
        <v>45492</v>
      </c>
      <c r="B9622" s="396" t="s">
        <v>13833</v>
      </c>
      <c r="C9622" s="5" t="s">
        <v>5793</v>
      </c>
      <c r="D9622" s="5" t="s">
        <v>14029</v>
      </c>
      <c r="E9622" s="43">
        <v>3000</v>
      </c>
      <c r="F9622" s="43"/>
      <c r="G9622" s="48">
        <f t="shared" si="240"/>
        <v>38257.101594364038</v>
      </c>
      <c r="H9622" s="389" t="s">
        <v>9567</v>
      </c>
      <c r="I9622" s="657"/>
      <c r="J9622" s="659"/>
      <c r="K9622" s="658"/>
    </row>
    <row r="9623" spans="1:13" ht="19.5" thickBot="1" x14ac:dyDescent="0.35">
      <c r="A9623" s="45">
        <v>45492</v>
      </c>
      <c r="B9623" s="396" t="s">
        <v>13902</v>
      </c>
      <c r="C9623" s="5" t="s">
        <v>30</v>
      </c>
      <c r="D9623" s="5" t="s">
        <v>10637</v>
      </c>
      <c r="E9623" s="43">
        <v>1500</v>
      </c>
      <c r="F9623" s="43"/>
      <c r="G9623" s="48">
        <f t="shared" si="240"/>
        <v>36757.101594364038</v>
      </c>
      <c r="H9623" s="389" t="s">
        <v>9567</v>
      </c>
      <c r="I9623" s="657"/>
      <c r="J9623" s="658"/>
      <c r="K9623" s="659"/>
    </row>
    <row r="9624" spans="1:13" ht="19.5" thickBot="1" x14ac:dyDescent="0.35">
      <c r="A9624" s="45">
        <v>45492</v>
      </c>
      <c r="B9624" s="396" t="s">
        <v>13709</v>
      </c>
      <c r="C9624" s="5" t="s">
        <v>5793</v>
      </c>
      <c r="D9624" s="5" t="s">
        <v>8924</v>
      </c>
      <c r="E9624" s="43">
        <v>600</v>
      </c>
      <c r="F9624" s="43"/>
      <c r="G9624" s="48">
        <f t="shared" si="240"/>
        <v>36157.101594364038</v>
      </c>
      <c r="H9624" s="389" t="s">
        <v>9567</v>
      </c>
      <c r="I9624" s="657"/>
      <c r="J9624" s="659"/>
      <c r="K9624" s="659"/>
      <c r="M9624" s="4">
        <v>500</v>
      </c>
    </row>
    <row r="9625" spans="1:13" ht="19.5" thickBot="1" x14ac:dyDescent="0.35">
      <c r="A9625" s="45">
        <v>45492</v>
      </c>
      <c r="B9625" s="396" t="s">
        <v>13709</v>
      </c>
      <c r="C9625" s="5" t="s">
        <v>5793</v>
      </c>
      <c r="D9625" s="5" t="s">
        <v>40</v>
      </c>
      <c r="E9625" s="43">
        <v>500</v>
      </c>
      <c r="F9625" s="43"/>
      <c r="G9625" s="48">
        <f t="shared" si="240"/>
        <v>35657.101594364038</v>
      </c>
      <c r="H9625" s="389" t="s">
        <v>9567</v>
      </c>
      <c r="I9625" s="657"/>
      <c r="J9625" s="660"/>
      <c r="K9625" s="660"/>
      <c r="M9625" s="4">
        <v>600</v>
      </c>
    </row>
    <row r="9626" spans="1:13" ht="19.5" thickBot="1" x14ac:dyDescent="0.35">
      <c r="A9626" s="45">
        <v>45492</v>
      </c>
      <c r="B9626" s="396" t="s">
        <v>13709</v>
      </c>
      <c r="C9626" s="5" t="s">
        <v>5793</v>
      </c>
      <c r="D9626" s="5" t="s">
        <v>40</v>
      </c>
      <c r="E9626" s="43">
        <v>5500</v>
      </c>
      <c r="F9626" s="43"/>
      <c r="G9626" s="48">
        <f t="shared" si="240"/>
        <v>30157.101594364038</v>
      </c>
      <c r="H9626" s="389" t="s">
        <v>9567</v>
      </c>
      <c r="I9626" s="657"/>
      <c r="J9626" s="660"/>
      <c r="K9626" s="660"/>
      <c r="M9626" s="4">
        <v>1500</v>
      </c>
    </row>
    <row r="9627" spans="1:13" x14ac:dyDescent="0.3">
      <c r="A9627" s="45">
        <v>45492</v>
      </c>
      <c r="B9627" s="396" t="s">
        <v>13981</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13709</v>
      </c>
      <c r="C9629" s="5" t="s">
        <v>84</v>
      </c>
      <c r="D9629" s="5" t="s">
        <v>14039</v>
      </c>
      <c r="E9629" s="43">
        <v>5000</v>
      </c>
      <c r="F9629" s="43"/>
      <c r="G9629" s="48">
        <f t="shared" si="241"/>
        <v>20357.101594364038</v>
      </c>
      <c r="H9629" s="389" t="s">
        <v>9567</v>
      </c>
      <c r="I9629" s="655" t="s">
        <v>13720</v>
      </c>
      <c r="J9629" s="656">
        <v>5102475</v>
      </c>
      <c r="K9629" s="656">
        <v>854500</v>
      </c>
    </row>
    <row r="9630" spans="1:13" ht="19.5" thickBot="1" x14ac:dyDescent="0.35">
      <c r="A9630" s="45">
        <v>45493</v>
      </c>
      <c r="B9630" s="396" t="s">
        <v>12086</v>
      </c>
      <c r="C9630" s="5" t="s">
        <v>11174</v>
      </c>
      <c r="D9630" s="5" t="s">
        <v>14040</v>
      </c>
      <c r="E9630" s="43">
        <v>500</v>
      </c>
      <c r="F9630" s="43"/>
      <c r="G9630" s="48">
        <f t="shared" si="241"/>
        <v>19857.101594364038</v>
      </c>
      <c r="H9630" s="389" t="s">
        <v>9567</v>
      </c>
      <c r="I9630" s="657" t="s">
        <v>13721</v>
      </c>
      <c r="J9630" s="659">
        <v>918445</v>
      </c>
      <c r="K9630" s="658" t="s">
        <v>13957</v>
      </c>
    </row>
    <row r="9631" spans="1:13" ht="19.5" thickBot="1" x14ac:dyDescent="0.35">
      <c r="A9631" s="45">
        <v>45493</v>
      </c>
      <c r="B9631" s="396" t="s">
        <v>13551</v>
      </c>
      <c r="C9631" s="5" t="s">
        <v>11174</v>
      </c>
      <c r="D9631" s="5" t="s">
        <v>677</v>
      </c>
      <c r="E9631" s="43">
        <v>700</v>
      </c>
      <c r="F9631" s="43"/>
      <c r="G9631" s="48">
        <f t="shared" si="241"/>
        <v>19157.101594364038</v>
      </c>
      <c r="H9631" s="389" t="s">
        <v>9567</v>
      </c>
      <c r="I9631" s="657"/>
      <c r="J9631" s="658"/>
      <c r="K9631" s="658"/>
    </row>
    <row r="9632" spans="1:13" ht="19.5" thickBot="1" x14ac:dyDescent="0.35">
      <c r="A9632" s="45">
        <v>45493</v>
      </c>
      <c r="B9632" s="396" t="s">
        <v>13709</v>
      </c>
      <c r="C9632" s="5" t="s">
        <v>11174</v>
      </c>
      <c r="D9632" s="5" t="s">
        <v>14041</v>
      </c>
      <c r="E9632" s="43">
        <v>1450</v>
      </c>
      <c r="F9632" s="43"/>
      <c r="G9632" s="48">
        <f t="shared" si="241"/>
        <v>17707.101594364038</v>
      </c>
      <c r="H9632" s="389" t="s">
        <v>9567</v>
      </c>
      <c r="I9632" s="657" t="s">
        <v>13961</v>
      </c>
      <c r="J9632" s="658"/>
      <c r="K9632" s="658"/>
    </row>
    <row r="9633" spans="1:11" ht="19.5" thickBot="1" x14ac:dyDescent="0.35">
      <c r="A9633" s="45">
        <v>45493</v>
      </c>
      <c r="B9633" s="396" t="s">
        <v>12133</v>
      </c>
      <c r="C9633" s="5" t="s">
        <v>84</v>
      </c>
      <c r="D9633" s="5" t="s">
        <v>14042</v>
      </c>
      <c r="E9633" s="43">
        <v>5000</v>
      </c>
      <c r="F9633" s="43"/>
      <c r="G9633" s="48">
        <f t="shared" si="241"/>
        <v>12707.101594364038</v>
      </c>
      <c r="H9633" s="389" t="s">
        <v>9567</v>
      </c>
      <c r="I9633" s="657"/>
      <c r="J9633" s="658"/>
      <c r="K9633" s="658"/>
    </row>
    <row r="9634" spans="1:11" ht="19.5" thickBot="1" x14ac:dyDescent="0.35">
      <c r="A9634" s="45">
        <v>45493</v>
      </c>
      <c r="B9634" s="396" t="s">
        <v>25</v>
      </c>
      <c r="C9634" s="5" t="s">
        <v>25</v>
      </c>
      <c r="D9634" s="5" t="s">
        <v>3205</v>
      </c>
      <c r="E9634" s="43">
        <v>4000</v>
      </c>
      <c r="F9634" s="43"/>
      <c r="G9634" s="48">
        <f t="shared" si="241"/>
        <v>8707.1015943640377</v>
      </c>
      <c r="H9634" s="389" t="s">
        <v>9567</v>
      </c>
      <c r="I9634" s="657" t="s">
        <v>13958</v>
      </c>
      <c r="J9634" s="658" t="s">
        <v>13957</v>
      </c>
      <c r="K9634" s="659">
        <v>111085</v>
      </c>
    </row>
    <row r="9635" spans="1:11" ht="19.5" thickBot="1" x14ac:dyDescent="0.35">
      <c r="A9635" s="45">
        <v>45493</v>
      </c>
      <c r="B9635" s="396" t="s">
        <v>25</v>
      </c>
      <c r="C9635" s="5" t="s">
        <v>4400</v>
      </c>
      <c r="D9635" s="5" t="s">
        <v>14043</v>
      </c>
      <c r="E9635" s="43">
        <v>5330</v>
      </c>
      <c r="F9635" s="43"/>
      <c r="G9635" s="48">
        <f t="shared" si="241"/>
        <v>3377.1015943640377</v>
      </c>
      <c r="H9635" s="389" t="s">
        <v>9567</v>
      </c>
      <c r="I9635" s="657" t="s">
        <v>13723</v>
      </c>
      <c r="J9635" s="659">
        <v>6020920</v>
      </c>
      <c r="K9635" s="659">
        <v>965585</v>
      </c>
    </row>
    <row r="9636" spans="1:11" ht="19.5" thickBot="1" x14ac:dyDescent="0.35">
      <c r="A9636" s="45">
        <v>45493</v>
      </c>
      <c r="B9636" s="396" t="s">
        <v>13902</v>
      </c>
      <c r="C9636" s="5" t="s">
        <v>30</v>
      </c>
      <c r="D9636" s="5" t="s">
        <v>10629</v>
      </c>
      <c r="E9636" s="43">
        <v>350</v>
      </c>
      <c r="F9636" s="43"/>
      <c r="G9636" s="48">
        <f t="shared" si="241"/>
        <v>3027.1015943640377</v>
      </c>
      <c r="H9636" s="389" t="s">
        <v>9567</v>
      </c>
      <c r="I9636" s="657" t="s">
        <v>13959</v>
      </c>
      <c r="J9636" s="660"/>
      <c r="K9636" s="660"/>
    </row>
    <row r="9637" spans="1:11" ht="19.5" thickBot="1" x14ac:dyDescent="0.35">
      <c r="A9637" s="45">
        <v>45493</v>
      </c>
      <c r="B9637" s="396" t="s">
        <v>25</v>
      </c>
      <c r="C9637" s="5" t="s">
        <v>26</v>
      </c>
      <c r="D9637" s="5" t="s">
        <v>14044</v>
      </c>
      <c r="E9637" s="43">
        <v>1500</v>
      </c>
      <c r="F9637" s="43"/>
      <c r="G9637" s="48">
        <f t="shared" si="241"/>
        <v>1527.1015943640377</v>
      </c>
      <c r="H9637" s="389" t="s">
        <v>9567</v>
      </c>
      <c r="I9637" s="657" t="s">
        <v>13960</v>
      </c>
      <c r="J9637" s="660"/>
      <c r="K9637" s="660"/>
    </row>
    <row r="9638" spans="1:11" x14ac:dyDescent="0.3">
      <c r="A9638" s="45">
        <v>45493</v>
      </c>
      <c r="B9638" s="396" t="s">
        <v>13833</v>
      </c>
      <c r="C9638" s="5" t="s">
        <v>5793</v>
      </c>
      <c r="D9638" s="5" t="s">
        <v>40</v>
      </c>
      <c r="E9638" s="43">
        <v>1000</v>
      </c>
      <c r="F9638" s="43"/>
      <c r="G9638" s="48">
        <f t="shared" si="241"/>
        <v>527.10159436403774</v>
      </c>
      <c r="H9638" s="389" t="s">
        <v>9567</v>
      </c>
    </row>
    <row r="9639" spans="1:11" x14ac:dyDescent="0.3">
      <c r="A9639" s="45">
        <v>45495</v>
      </c>
      <c r="B9639" s="565"/>
      <c r="C9639" s="480"/>
      <c r="D9639" s="491" t="s">
        <v>12269</v>
      </c>
      <c r="E9639" s="480"/>
      <c r="F9639" s="43">
        <v>1000000</v>
      </c>
      <c r="G9639" s="48">
        <f t="shared" si="241"/>
        <v>1000527.101594364</v>
      </c>
      <c r="H9639" s="389" t="s">
        <v>9567</v>
      </c>
    </row>
    <row r="9640" spans="1:11" x14ac:dyDescent="0.3">
      <c r="A9640" s="45">
        <v>45495</v>
      </c>
      <c r="B9640" s="396" t="s">
        <v>13321</v>
      </c>
      <c r="C9640" s="5" t="s">
        <v>14046</v>
      </c>
      <c r="D9640" s="5" t="s">
        <v>14047</v>
      </c>
      <c r="E9640" s="43">
        <v>100000</v>
      </c>
      <c r="F9640" s="43"/>
      <c r="G9640" s="48">
        <f t="shared" si="241"/>
        <v>900527.10159436404</v>
      </c>
      <c r="H9640" s="389" t="s">
        <v>9567</v>
      </c>
    </row>
    <row r="9641" spans="1:11" x14ac:dyDescent="0.3">
      <c r="A9641" s="45">
        <v>45495</v>
      </c>
      <c r="B9641" s="396" t="s">
        <v>13321</v>
      </c>
      <c r="C9641" s="5" t="s">
        <v>57</v>
      </c>
      <c r="D9641" s="5" t="s">
        <v>3910</v>
      </c>
      <c r="E9641" s="43">
        <v>50000</v>
      </c>
      <c r="F9641" s="43"/>
      <c r="G9641" s="48">
        <f t="shared" si="241"/>
        <v>850527.10159436404</v>
      </c>
      <c r="H9641" s="389" t="s">
        <v>9567</v>
      </c>
    </row>
    <row r="9642" spans="1:11" x14ac:dyDescent="0.3">
      <c r="A9642" s="45">
        <v>45495</v>
      </c>
      <c r="B9642" s="396" t="s">
        <v>13321</v>
      </c>
      <c r="C9642" s="5" t="s">
        <v>14</v>
      </c>
      <c r="D9642" s="5" t="s">
        <v>294</v>
      </c>
      <c r="E9642" s="43">
        <v>20000</v>
      </c>
      <c r="F9642" s="43"/>
      <c r="G9642" s="48">
        <f t="shared" si="241"/>
        <v>830527.10159436404</v>
      </c>
      <c r="H9642" s="389" t="s">
        <v>9567</v>
      </c>
    </row>
    <row r="9643" spans="1:11" x14ac:dyDescent="0.3">
      <c r="A9643" s="45">
        <v>45495</v>
      </c>
      <c r="B9643" s="565"/>
      <c r="C9643" s="480"/>
      <c r="D9643" s="491" t="s">
        <v>14081</v>
      </c>
      <c r="E9643" s="480"/>
      <c r="F9643" s="43">
        <v>100000</v>
      </c>
      <c r="G9643" s="48">
        <f t="shared" si="241"/>
        <v>930527.10159436404</v>
      </c>
      <c r="H9643" s="389" t="s">
        <v>9567</v>
      </c>
    </row>
    <row r="9644" spans="1:11" x14ac:dyDescent="0.3">
      <c r="A9644" s="45">
        <v>45495</v>
      </c>
      <c r="B9644" s="396" t="s">
        <v>13188</v>
      </c>
      <c r="C9644" s="5" t="s">
        <v>5793</v>
      </c>
      <c r="D9644" s="5" t="s">
        <v>40</v>
      </c>
      <c r="E9644" s="43">
        <v>1000</v>
      </c>
      <c r="F9644" s="43"/>
      <c r="G9644" s="48">
        <f t="shared" si="241"/>
        <v>929527.10159436404</v>
      </c>
      <c r="H9644" s="389" t="s">
        <v>9567</v>
      </c>
    </row>
    <row r="9645" spans="1:11" x14ac:dyDescent="0.3">
      <c r="A9645" s="45">
        <v>45495</v>
      </c>
      <c r="B9645" s="396" t="s">
        <v>13188</v>
      </c>
      <c r="C9645" s="5" t="s">
        <v>11174</v>
      </c>
      <c r="D9645" s="5" t="s">
        <v>14050</v>
      </c>
      <c r="E9645" s="43">
        <v>15000</v>
      </c>
      <c r="F9645" s="43"/>
      <c r="G9645" s="48">
        <f t="shared" si="241"/>
        <v>914527.10159436404</v>
      </c>
      <c r="H9645" s="389" t="s">
        <v>9567</v>
      </c>
    </row>
    <row r="9646" spans="1:11" x14ac:dyDescent="0.3">
      <c r="A9646" s="45">
        <v>45495</v>
      </c>
      <c r="B9646" s="396" t="s">
        <v>13946</v>
      </c>
      <c r="C9646" s="5" t="s">
        <v>14051</v>
      </c>
      <c r="D9646" s="5" t="s">
        <v>294</v>
      </c>
      <c r="E9646" s="43">
        <v>40000</v>
      </c>
      <c r="F9646" s="43"/>
      <c r="G9646" s="48">
        <f t="shared" ref="G9646:G9709" si="242">G9645+F9646-E9646</f>
        <v>874527.10159436404</v>
      </c>
      <c r="H9646" s="389" t="s">
        <v>9567</v>
      </c>
    </row>
    <row r="9647" spans="1:11" x14ac:dyDescent="0.3">
      <c r="A9647" s="45">
        <v>45495</v>
      </c>
      <c r="B9647" s="396" t="s">
        <v>13709</v>
      </c>
      <c r="C9647" s="5" t="s">
        <v>5793</v>
      </c>
      <c r="D9647" s="5" t="s">
        <v>40</v>
      </c>
      <c r="E9647" s="43">
        <v>2000</v>
      </c>
      <c r="F9647" s="43"/>
      <c r="G9647" s="48">
        <f t="shared" si="242"/>
        <v>872527.10159436404</v>
      </c>
      <c r="H9647" s="389" t="s">
        <v>9567</v>
      </c>
    </row>
    <row r="9648" spans="1:11" x14ac:dyDescent="0.3">
      <c r="A9648" s="45">
        <v>45496</v>
      </c>
      <c r="B9648" s="396" t="s">
        <v>13833</v>
      </c>
      <c r="C9648" s="5" t="s">
        <v>3220</v>
      </c>
      <c r="D9648" s="5" t="s">
        <v>294</v>
      </c>
      <c r="E9648" s="43">
        <v>20000</v>
      </c>
      <c r="F9648" s="43"/>
      <c r="G9648" s="48">
        <f t="shared" si="242"/>
        <v>852527.10159436404</v>
      </c>
      <c r="H9648" s="389" t="s">
        <v>9567</v>
      </c>
    </row>
    <row r="9649" spans="1:8" x14ac:dyDescent="0.3">
      <c r="A9649" s="45">
        <v>45496</v>
      </c>
      <c r="B9649" s="396" t="s">
        <v>12055</v>
      </c>
      <c r="C9649" s="5" t="s">
        <v>9451</v>
      </c>
      <c r="D9649" s="5" t="s">
        <v>14052</v>
      </c>
      <c r="E9649" s="43">
        <v>5500</v>
      </c>
      <c r="F9649" s="43"/>
      <c r="G9649" s="48">
        <f t="shared" si="242"/>
        <v>847027.10159436404</v>
      </c>
      <c r="H9649" s="389" t="s">
        <v>9567</v>
      </c>
    </row>
    <row r="9650" spans="1:8" x14ac:dyDescent="0.3">
      <c r="A9650" s="45">
        <v>45496</v>
      </c>
      <c r="B9650" s="396" t="s">
        <v>12055</v>
      </c>
      <c r="C9650" s="5" t="s">
        <v>30</v>
      </c>
      <c r="D9650" s="5" t="s">
        <v>12364</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14053</v>
      </c>
      <c r="D9652" s="5" t="s">
        <v>14054</v>
      </c>
      <c r="E9652" s="43">
        <v>40000</v>
      </c>
      <c r="F9652" s="43"/>
      <c r="G9652" s="48">
        <f t="shared" si="242"/>
        <v>801527.10159436404</v>
      </c>
      <c r="H9652" s="389" t="s">
        <v>9567</v>
      </c>
    </row>
    <row r="9653" spans="1:8" x14ac:dyDescent="0.3">
      <c r="A9653" s="45">
        <v>45496</v>
      </c>
      <c r="B9653" s="396" t="s">
        <v>13833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13138</v>
      </c>
      <c r="C9655" s="5" t="s">
        <v>84</v>
      </c>
      <c r="D9655" s="5" t="s">
        <v>14056</v>
      </c>
      <c r="E9655" s="43">
        <v>5000</v>
      </c>
      <c r="F9655" s="43"/>
      <c r="G9655" s="48">
        <f t="shared" si="242"/>
        <v>784027.10159436404</v>
      </c>
      <c r="H9655" s="389" t="s">
        <v>9567</v>
      </c>
    </row>
    <row r="9656" spans="1:8" x14ac:dyDescent="0.3">
      <c r="A9656" s="45">
        <v>45496</v>
      </c>
      <c r="B9656" s="396" t="s">
        <v>13709</v>
      </c>
      <c r="C9656" s="5" t="s">
        <v>5793</v>
      </c>
      <c r="D9656" s="5" t="s">
        <v>294</v>
      </c>
      <c r="E9656" s="43">
        <v>600</v>
      </c>
      <c r="F9656" s="43"/>
      <c r="G9656" s="48">
        <f t="shared" si="242"/>
        <v>783427.10159436404</v>
      </c>
      <c r="H9656" s="389" t="s">
        <v>9567</v>
      </c>
    </row>
    <row r="9657" spans="1:8" x14ac:dyDescent="0.3">
      <c r="A9657" s="45">
        <v>45496</v>
      </c>
      <c r="B9657" s="396" t="s">
        <v>12055</v>
      </c>
      <c r="C9657" s="5" t="s">
        <v>84</v>
      </c>
      <c r="D9657" s="5" t="s">
        <v>14057</v>
      </c>
      <c r="E9657" s="43">
        <v>5000</v>
      </c>
      <c r="F9657" s="43"/>
      <c r="G9657" s="48">
        <f t="shared" si="242"/>
        <v>778427.10159436404</v>
      </c>
      <c r="H9657" s="389" t="s">
        <v>9567</v>
      </c>
    </row>
    <row r="9658" spans="1:8" x14ac:dyDescent="0.3">
      <c r="A9658" s="45">
        <v>45496</v>
      </c>
      <c r="B9658" s="396" t="s">
        <v>13902</v>
      </c>
      <c r="C9658" s="5" t="s">
        <v>9451</v>
      </c>
      <c r="D9658" s="5" t="s">
        <v>14058</v>
      </c>
      <c r="E9658" s="43">
        <v>4500</v>
      </c>
      <c r="F9658" s="43"/>
      <c r="G9658" s="48">
        <f t="shared" si="242"/>
        <v>773927.10159436404</v>
      </c>
      <c r="H9658" s="389" t="s">
        <v>9567</v>
      </c>
    </row>
    <row r="9659" spans="1:8" x14ac:dyDescent="0.3">
      <c r="A9659" s="45">
        <v>45496</v>
      </c>
      <c r="B9659" s="396" t="s">
        <v>13981</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13946</v>
      </c>
      <c r="C9661" s="5" t="s">
        <v>11174</v>
      </c>
      <c r="D9661" s="5" t="s">
        <v>14060</v>
      </c>
      <c r="E9661" s="43">
        <v>1700</v>
      </c>
      <c r="F9661" s="43"/>
      <c r="G9661" s="48">
        <f t="shared" si="242"/>
        <v>751727.10159436404</v>
      </c>
      <c r="H9661" s="389" t="s">
        <v>9567</v>
      </c>
    </row>
    <row r="9662" spans="1:8" x14ac:dyDescent="0.3">
      <c r="A9662" s="45">
        <v>45496</v>
      </c>
      <c r="B9662" s="396" t="s">
        <v>13764</v>
      </c>
      <c r="C9662" s="5" t="s">
        <v>9451</v>
      </c>
      <c r="D9662" s="5" t="s">
        <v>14059</v>
      </c>
      <c r="E9662" s="43">
        <v>1300</v>
      </c>
      <c r="F9662" s="43"/>
      <c r="G9662" s="48">
        <f t="shared" si="242"/>
        <v>750427.10159436404</v>
      </c>
      <c r="H9662" s="389" t="s">
        <v>9567</v>
      </c>
    </row>
    <row r="9663" spans="1:8" x14ac:dyDescent="0.3">
      <c r="A9663" s="45">
        <v>45496</v>
      </c>
      <c r="B9663" s="396" t="s">
        <v>13946</v>
      </c>
      <c r="C9663" s="5" t="s">
        <v>11174</v>
      </c>
      <c r="D9663" s="5" t="s">
        <v>12533</v>
      </c>
      <c r="E9663" s="43">
        <v>1800</v>
      </c>
      <c r="F9663" s="43"/>
      <c r="G9663" s="48">
        <f t="shared" si="242"/>
        <v>748627.10159436404</v>
      </c>
      <c r="H9663" s="389" t="s">
        <v>9567</v>
      </c>
    </row>
    <row r="9664" spans="1:8" x14ac:dyDescent="0.3">
      <c r="A9664" s="45">
        <v>45496</v>
      </c>
      <c r="B9664" s="396" t="s">
        <v>14032</v>
      </c>
      <c r="C9664" s="5" t="s">
        <v>9758</v>
      </c>
      <c r="D9664" s="5" t="s">
        <v>14080</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13981</v>
      </c>
      <c r="C9666" s="5" t="s">
        <v>5793</v>
      </c>
      <c r="D9666" s="5" t="s">
        <v>14061</v>
      </c>
      <c r="E9666" s="43">
        <v>1000</v>
      </c>
      <c r="F9666" s="43"/>
      <c r="G9666" s="48">
        <f t="shared" si="242"/>
        <v>737627.10159436404</v>
      </c>
      <c r="H9666" s="389" t="s">
        <v>9567</v>
      </c>
    </row>
    <row r="9667" spans="1:8" x14ac:dyDescent="0.3">
      <c r="A9667" s="45">
        <v>45497</v>
      </c>
      <c r="B9667" s="396" t="s">
        <v>13188</v>
      </c>
      <c r="C9667" s="5" t="s">
        <v>26</v>
      </c>
      <c r="D9667" s="5" t="s">
        <v>11536</v>
      </c>
      <c r="E9667" s="43">
        <v>1300</v>
      </c>
      <c r="F9667" s="43"/>
      <c r="G9667" s="48">
        <f t="shared" si="242"/>
        <v>736327.10159436404</v>
      </c>
      <c r="H9667" s="389" t="s">
        <v>9567</v>
      </c>
    </row>
    <row r="9668" spans="1:8" x14ac:dyDescent="0.3">
      <c r="A9668" s="45">
        <v>45497</v>
      </c>
      <c r="B9668" s="396" t="s">
        <v>12133</v>
      </c>
      <c r="C9668" s="5" t="s">
        <v>11174</v>
      </c>
      <c r="D9668" s="5" t="s">
        <v>14062</v>
      </c>
      <c r="E9668" s="43">
        <v>6000</v>
      </c>
      <c r="F9668" s="43"/>
      <c r="G9668" s="48">
        <f t="shared" si="242"/>
        <v>730327.10159436404</v>
      </c>
      <c r="H9668" s="389" t="s">
        <v>9567</v>
      </c>
    </row>
    <row r="9669" spans="1:8" x14ac:dyDescent="0.3">
      <c r="A9669" s="45">
        <v>45497</v>
      </c>
      <c r="B9669" s="396" t="s">
        <v>13981</v>
      </c>
      <c r="C9669" s="5" t="s">
        <v>11174</v>
      </c>
      <c r="D9669" s="5" t="s">
        <v>13102</v>
      </c>
      <c r="E9669" s="43">
        <v>1000</v>
      </c>
      <c r="F9669" s="43"/>
      <c r="G9669" s="48">
        <f t="shared" si="242"/>
        <v>729327.10159436404</v>
      </c>
      <c r="H9669" s="389" t="s">
        <v>9567</v>
      </c>
    </row>
    <row r="9670" spans="1:8" x14ac:dyDescent="0.3">
      <c r="A9670" s="45">
        <v>45497</v>
      </c>
      <c r="B9670" s="396" t="s">
        <v>13188</v>
      </c>
      <c r="C9670" s="5" t="s">
        <v>84</v>
      </c>
      <c r="D9670" s="5" t="s">
        <v>14063</v>
      </c>
      <c r="E9670" s="43">
        <v>3000</v>
      </c>
      <c r="F9670" s="43"/>
      <c r="G9670" s="48">
        <f t="shared" si="242"/>
        <v>726327.10159436404</v>
      </c>
      <c r="H9670" s="389" t="s">
        <v>9567</v>
      </c>
    </row>
    <row r="9671" spans="1:8" x14ac:dyDescent="0.3">
      <c r="A9671" s="45">
        <v>45497</v>
      </c>
      <c r="B9671" s="396" t="s">
        <v>13458</v>
      </c>
      <c r="C9671" s="5" t="s">
        <v>5618</v>
      </c>
      <c r="D9671" s="5" t="s">
        <v>14064</v>
      </c>
      <c r="E9671" s="43">
        <v>20000</v>
      </c>
      <c r="F9671" s="43"/>
      <c r="G9671" s="48">
        <f t="shared" si="242"/>
        <v>706327.10159436404</v>
      </c>
      <c r="H9671" s="389" t="s">
        <v>9567</v>
      </c>
    </row>
    <row r="9672" spans="1:8" x14ac:dyDescent="0.3">
      <c r="A9672" s="45">
        <v>45497</v>
      </c>
      <c r="B9672" s="396" t="s">
        <v>13981</v>
      </c>
      <c r="C9672" s="5"/>
      <c r="D9672" s="5" t="s">
        <v>13267</v>
      </c>
      <c r="E9672" s="43">
        <v>2755</v>
      </c>
      <c r="F9672" s="43"/>
      <c r="G9672" s="48">
        <f t="shared" si="242"/>
        <v>703572.10159436404</v>
      </c>
      <c r="H9672" s="389" t="s">
        <v>9567</v>
      </c>
    </row>
    <row r="9673" spans="1:8" x14ac:dyDescent="0.3">
      <c r="A9673" s="45">
        <v>45497</v>
      </c>
      <c r="B9673" s="396" t="s">
        <v>25</v>
      </c>
      <c r="C9673" s="5" t="s">
        <v>30</v>
      </c>
      <c r="D9673" s="5" t="s">
        <v>14068</v>
      </c>
      <c r="E9673" s="43">
        <v>1000</v>
      </c>
      <c r="F9673" s="43"/>
      <c r="G9673" s="48">
        <f t="shared" si="242"/>
        <v>702572.10159436404</v>
      </c>
      <c r="H9673" s="389" t="s">
        <v>9567</v>
      </c>
    </row>
    <row r="9674" spans="1:8" x14ac:dyDescent="0.3">
      <c r="A9674" s="45">
        <v>45497</v>
      </c>
      <c r="B9674" s="396" t="s">
        <v>12080</v>
      </c>
      <c r="C9674" s="5" t="s">
        <v>84</v>
      </c>
      <c r="D9674" s="5" t="s">
        <v>14066</v>
      </c>
      <c r="E9674" s="43">
        <v>15000</v>
      </c>
      <c r="F9674" s="43"/>
      <c r="G9674" s="48">
        <f t="shared" si="242"/>
        <v>687572.10159436404</v>
      </c>
      <c r="H9674" s="389" t="s">
        <v>9567</v>
      </c>
    </row>
    <row r="9675" spans="1:8" x14ac:dyDescent="0.3">
      <c r="A9675" s="45">
        <v>45497</v>
      </c>
      <c r="B9675" s="396" t="s">
        <v>12133</v>
      </c>
      <c r="C9675" s="5" t="s">
        <v>5793</v>
      </c>
      <c r="D9675" s="5" t="s">
        <v>294</v>
      </c>
      <c r="E9675" s="43">
        <v>2900</v>
      </c>
      <c r="F9675" s="43"/>
      <c r="G9675" s="48">
        <f t="shared" si="242"/>
        <v>684672.10159436404</v>
      </c>
      <c r="H9675" s="389" t="s">
        <v>9567</v>
      </c>
    </row>
    <row r="9676" spans="1:8" x14ac:dyDescent="0.3">
      <c r="A9676" s="45">
        <v>45497</v>
      </c>
      <c r="B9676" s="396" t="s">
        <v>13981</v>
      </c>
      <c r="C9676" s="5" t="s">
        <v>5793</v>
      </c>
      <c r="D9676" s="5" t="s">
        <v>294</v>
      </c>
      <c r="E9676" s="43">
        <v>500</v>
      </c>
      <c r="F9676" s="43"/>
      <c r="G9676" s="48">
        <f t="shared" si="242"/>
        <v>684172.10159436404</v>
      </c>
      <c r="H9676" s="389" t="s">
        <v>9567</v>
      </c>
    </row>
    <row r="9677" spans="1:8" x14ac:dyDescent="0.3">
      <c r="A9677" s="45">
        <v>45497</v>
      </c>
      <c r="B9677" s="396" t="s">
        <v>12230</v>
      </c>
      <c r="C9677" s="5" t="s">
        <v>1074</v>
      </c>
      <c r="D9677" s="5" t="s">
        <v>12215</v>
      </c>
      <c r="E9677" s="43">
        <v>123946</v>
      </c>
      <c r="F9677" s="43"/>
      <c r="G9677" s="48">
        <f t="shared" si="242"/>
        <v>560226.10159436404</v>
      </c>
      <c r="H9677" s="389" t="s">
        <v>9567</v>
      </c>
    </row>
    <row r="9678" spans="1:8" x14ac:dyDescent="0.3">
      <c r="A9678" s="45">
        <v>45497</v>
      </c>
      <c r="B9678" s="396" t="s">
        <v>25</v>
      </c>
      <c r="C9678" s="5" t="s">
        <v>1074</v>
      </c>
      <c r="D9678" s="5" t="s">
        <v>12215</v>
      </c>
      <c r="E9678" s="43">
        <v>77157</v>
      </c>
      <c r="F9678" s="43"/>
      <c r="G9678" s="48">
        <f t="shared" si="242"/>
        <v>483069.10159436404</v>
      </c>
      <c r="H9678" s="389" t="s">
        <v>9567</v>
      </c>
    </row>
    <row r="9679" spans="1:8" x14ac:dyDescent="0.3">
      <c r="A9679" s="45">
        <v>45497</v>
      </c>
      <c r="B9679" s="396" t="s">
        <v>12133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14067</v>
      </c>
      <c r="E9681" s="43">
        <v>1340</v>
      </c>
      <c r="F9681" s="43"/>
      <c r="G9681" s="48">
        <f t="shared" si="242"/>
        <v>432229.10159436404</v>
      </c>
      <c r="H9681" s="389" t="s">
        <v>9567</v>
      </c>
    </row>
    <row r="9682" spans="1:8" x14ac:dyDescent="0.3">
      <c r="A9682" s="45">
        <v>45497</v>
      </c>
      <c r="B9682" s="396" t="s">
        <v>13981</v>
      </c>
      <c r="C9682" s="5" t="s">
        <v>11174</v>
      </c>
      <c r="D9682" s="5" t="s">
        <v>14069</v>
      </c>
      <c r="E9682" s="43">
        <v>1000</v>
      </c>
      <c r="F9682" s="43"/>
      <c r="G9682" s="48">
        <f t="shared" si="242"/>
        <v>431229.10159436404</v>
      </c>
      <c r="H9682" s="389" t="s">
        <v>9567</v>
      </c>
    </row>
    <row r="9683" spans="1:8" x14ac:dyDescent="0.3">
      <c r="A9683" s="45">
        <v>45497</v>
      </c>
      <c r="B9683" s="396" t="s">
        <v>25</v>
      </c>
      <c r="C9683" s="5" t="s">
        <v>26</v>
      </c>
      <c r="D9683" s="5" t="s">
        <v>14070</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13981</v>
      </c>
      <c r="C9685" s="5" t="s">
        <v>5793</v>
      </c>
      <c r="D9685" s="5" t="s">
        <v>40</v>
      </c>
      <c r="E9685" s="43">
        <v>1800</v>
      </c>
      <c r="F9685" s="43"/>
      <c r="G9685" s="48">
        <f t="shared" si="242"/>
        <v>424029.10159436404</v>
      </c>
      <c r="H9685" s="389" t="s">
        <v>9567</v>
      </c>
    </row>
    <row r="9686" spans="1:8" x14ac:dyDescent="0.3">
      <c r="A9686" s="45">
        <v>45499</v>
      </c>
      <c r="B9686" s="396" t="s">
        <v>12080</v>
      </c>
      <c r="C9686" s="5" t="s">
        <v>26</v>
      </c>
      <c r="D9686" s="5" t="s">
        <v>14071</v>
      </c>
      <c r="E9686" s="43">
        <v>2000</v>
      </c>
      <c r="F9686" s="43"/>
      <c r="G9686" s="48">
        <f t="shared" si="242"/>
        <v>422029.10159436404</v>
      </c>
      <c r="H9686" s="389" t="s">
        <v>9567</v>
      </c>
    </row>
    <row r="9687" spans="1:8" x14ac:dyDescent="0.3">
      <c r="A9687" s="45">
        <v>45499</v>
      </c>
      <c r="B9687" s="396" t="s">
        <v>13833</v>
      </c>
      <c r="C9687" s="5" t="s">
        <v>3220</v>
      </c>
      <c r="D9687" s="5" t="s">
        <v>14072</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5"/>
      <c r="C9689" s="480"/>
      <c r="D9689" s="491" t="s">
        <v>11014</v>
      </c>
      <c r="E9689" s="480"/>
      <c r="F9689" s="43">
        <v>50000</v>
      </c>
      <c r="G9689" s="48">
        <f t="shared" si="242"/>
        <v>422029.10159436404</v>
      </c>
      <c r="H9689" s="389" t="s">
        <v>9567</v>
      </c>
    </row>
    <row r="9690" spans="1:8" x14ac:dyDescent="0.3">
      <c r="A9690" s="45">
        <v>45499</v>
      </c>
      <c r="B9690" s="396" t="s">
        <v>13981</v>
      </c>
      <c r="C9690" s="5" t="s">
        <v>11174</v>
      </c>
      <c r="D9690" s="5" t="s">
        <v>14077</v>
      </c>
      <c r="E9690" s="43">
        <v>1750</v>
      </c>
      <c r="F9690" s="43"/>
      <c r="G9690" s="48">
        <f t="shared" si="242"/>
        <v>420279.10159436404</v>
      </c>
      <c r="H9690" s="389" t="s">
        <v>9567</v>
      </c>
    </row>
    <row r="9691" spans="1:8" x14ac:dyDescent="0.3">
      <c r="A9691" s="45">
        <v>45499</v>
      </c>
      <c r="B9691" s="396" t="s">
        <v>13709</v>
      </c>
      <c r="C9691" s="5" t="s">
        <v>14074</v>
      </c>
      <c r="D9691" s="5" t="s">
        <v>14075</v>
      </c>
      <c r="E9691" s="43">
        <v>220000</v>
      </c>
      <c r="F9691" s="43"/>
      <c r="G9691" s="48">
        <f t="shared" si="242"/>
        <v>200279.10159436404</v>
      </c>
      <c r="H9691" s="389" t="s">
        <v>9567</v>
      </c>
    </row>
    <row r="9692" spans="1:8" x14ac:dyDescent="0.3">
      <c r="A9692" s="45">
        <v>45499</v>
      </c>
      <c r="B9692" s="396" t="s">
        <v>13981</v>
      </c>
      <c r="C9692" s="5" t="s">
        <v>11174</v>
      </c>
      <c r="D9692" s="5" t="s">
        <v>14076</v>
      </c>
      <c r="E9692" s="43">
        <v>117500</v>
      </c>
      <c r="F9692" s="43"/>
      <c r="G9692" s="48">
        <f t="shared" si="242"/>
        <v>82779.101594364038</v>
      </c>
      <c r="H9692" s="389" t="s">
        <v>9567</v>
      </c>
    </row>
    <row r="9693" spans="1:8" x14ac:dyDescent="0.3">
      <c r="A9693" s="45">
        <v>45499</v>
      </c>
      <c r="B9693" s="396" t="s">
        <v>12611</v>
      </c>
      <c r="C9693" s="5" t="s">
        <v>5793</v>
      </c>
      <c r="D9693" s="5" t="s">
        <v>14078</v>
      </c>
      <c r="E9693" s="43">
        <v>1500</v>
      </c>
      <c r="F9693" s="43"/>
      <c r="G9693" s="48">
        <f t="shared" si="242"/>
        <v>81279.101594364038</v>
      </c>
      <c r="H9693" s="389" t="s">
        <v>9567</v>
      </c>
    </row>
    <row r="9694" spans="1:8" x14ac:dyDescent="0.3">
      <c r="A9694" s="45">
        <v>45499</v>
      </c>
      <c r="B9694" s="396" t="s">
        <v>12611</v>
      </c>
      <c r="C9694" s="5" t="s">
        <v>11174</v>
      </c>
      <c r="D9694" s="5" t="s">
        <v>14079</v>
      </c>
      <c r="E9694" s="43">
        <v>340</v>
      </c>
      <c r="F9694" s="43"/>
      <c r="G9694" s="48">
        <f t="shared" si="242"/>
        <v>80939.101594364038</v>
      </c>
      <c r="H9694" s="389" t="s">
        <v>9567</v>
      </c>
    </row>
    <row r="9695" spans="1:8" x14ac:dyDescent="0.3">
      <c r="A9695" s="45">
        <v>45499</v>
      </c>
      <c r="B9695" s="396" t="s">
        <v>13709</v>
      </c>
      <c r="C9695" s="5" t="s">
        <v>5793</v>
      </c>
      <c r="D9695" s="5" t="s">
        <v>40</v>
      </c>
      <c r="E9695" s="43">
        <v>1500</v>
      </c>
      <c r="F9695" s="43"/>
      <c r="G9695" s="48">
        <f t="shared" si="242"/>
        <v>79439.101594364038</v>
      </c>
      <c r="H9695" s="389" t="s">
        <v>9567</v>
      </c>
    </row>
    <row r="9696" spans="1:8" x14ac:dyDescent="0.3">
      <c r="A9696" s="45">
        <v>45500</v>
      </c>
      <c r="B9696" s="396" t="s">
        <v>13188</v>
      </c>
      <c r="C9696" s="5" t="s">
        <v>11174</v>
      </c>
      <c r="D9696" s="5" t="s">
        <v>14082</v>
      </c>
      <c r="E9696" s="43">
        <v>34000</v>
      </c>
      <c r="F9696" s="43"/>
      <c r="G9696" s="48">
        <f t="shared" si="242"/>
        <v>45439.101594364038</v>
      </c>
      <c r="H9696" s="389" t="s">
        <v>9567</v>
      </c>
    </row>
    <row r="9697" spans="1:8" x14ac:dyDescent="0.3">
      <c r="A9697" s="45">
        <v>45500</v>
      </c>
      <c r="B9697" s="396" t="s">
        <v>25</v>
      </c>
      <c r="C9697" s="5" t="s">
        <v>30</v>
      </c>
      <c r="D9697" s="5" t="s">
        <v>14068</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12636</v>
      </c>
      <c r="C9699" s="5" t="s">
        <v>11174</v>
      </c>
      <c r="D9699" s="5" t="s">
        <v>14083</v>
      </c>
      <c r="E9699" s="43">
        <v>3200</v>
      </c>
      <c r="F9699" s="43"/>
      <c r="G9699" s="48">
        <f t="shared" si="242"/>
        <v>35239.101594364038</v>
      </c>
      <c r="H9699" s="389" t="s">
        <v>9567</v>
      </c>
    </row>
    <row r="9700" spans="1:8" x14ac:dyDescent="0.3">
      <c r="A9700" s="45">
        <v>45500</v>
      </c>
      <c r="B9700" s="396" t="s">
        <v>13902</v>
      </c>
      <c r="C9700" s="5" t="s">
        <v>11174</v>
      </c>
      <c r="D9700" s="5" t="s">
        <v>14084</v>
      </c>
      <c r="E9700" s="43">
        <v>7830</v>
      </c>
      <c r="F9700" s="43"/>
      <c r="G9700" s="48">
        <f t="shared" si="242"/>
        <v>27409.101594364038</v>
      </c>
      <c r="H9700" s="389" t="s">
        <v>9567</v>
      </c>
    </row>
    <row r="9701" spans="1:8" x14ac:dyDescent="0.3">
      <c r="A9701" s="45">
        <v>45500</v>
      </c>
      <c r="B9701" s="396" t="s">
        <v>13188</v>
      </c>
      <c r="C9701" s="5" t="s">
        <v>5793</v>
      </c>
      <c r="D9701" s="5" t="s">
        <v>294</v>
      </c>
      <c r="E9701" s="43">
        <v>2000</v>
      </c>
      <c r="F9701" s="43"/>
      <c r="G9701" s="48">
        <f t="shared" si="242"/>
        <v>25409.101594364038</v>
      </c>
      <c r="H9701" s="389" t="s">
        <v>9567</v>
      </c>
    </row>
    <row r="9702" spans="1:8" x14ac:dyDescent="0.3">
      <c r="A9702" s="45">
        <v>45500</v>
      </c>
      <c r="B9702" s="396" t="s">
        <v>13833</v>
      </c>
      <c r="C9702" s="5" t="s">
        <v>5793</v>
      </c>
      <c r="D9702" s="5" t="s">
        <v>294</v>
      </c>
      <c r="E9702" s="43">
        <v>2000</v>
      </c>
      <c r="F9702" s="43"/>
      <c r="G9702" s="48">
        <f t="shared" si="242"/>
        <v>23409.101594364038</v>
      </c>
      <c r="H9702" s="389" t="s">
        <v>9567</v>
      </c>
    </row>
    <row r="9703" spans="1:8" x14ac:dyDescent="0.3">
      <c r="A9703" s="45">
        <v>45500</v>
      </c>
      <c r="B9703" s="396" t="s">
        <v>13981</v>
      </c>
      <c r="C9703" s="5" t="s">
        <v>5793</v>
      </c>
      <c r="D9703" s="5" t="s">
        <v>294</v>
      </c>
      <c r="E9703" s="43">
        <v>2000</v>
      </c>
      <c r="F9703" s="43"/>
      <c r="G9703" s="48">
        <f t="shared" si="242"/>
        <v>21409.101594364038</v>
      </c>
      <c r="H9703" s="389" t="s">
        <v>9567</v>
      </c>
    </row>
    <row r="9704" spans="1:8" x14ac:dyDescent="0.3">
      <c r="A9704" s="45">
        <v>45500</v>
      </c>
      <c r="B9704" s="565"/>
      <c r="C9704" s="480"/>
      <c r="D9704" s="491" t="s">
        <v>14086</v>
      </c>
      <c r="E9704" s="480"/>
      <c r="F9704" s="43">
        <v>112000</v>
      </c>
      <c r="G9704" s="48">
        <f t="shared" si="242"/>
        <v>133409.10159436404</v>
      </c>
      <c r="H9704" s="389" t="s">
        <v>9567</v>
      </c>
    </row>
    <row r="9705" spans="1:8" x14ac:dyDescent="0.3">
      <c r="A9705" s="45">
        <v>45500</v>
      </c>
      <c r="B9705" s="396" t="s">
        <v>12055</v>
      </c>
      <c r="C9705" s="5" t="s">
        <v>26</v>
      </c>
      <c r="D9705" s="5" t="s">
        <v>14087</v>
      </c>
      <c r="E9705" s="43">
        <v>68000</v>
      </c>
      <c r="F9705" s="43"/>
      <c r="G9705" s="48">
        <f t="shared" si="242"/>
        <v>65409.101594364038</v>
      </c>
      <c r="H9705" s="389" t="s">
        <v>9567</v>
      </c>
    </row>
    <row r="9706" spans="1:8" x14ac:dyDescent="0.3">
      <c r="A9706" s="45">
        <v>45500</v>
      </c>
      <c r="B9706" s="396" t="s">
        <v>12055</v>
      </c>
      <c r="C9706" s="5" t="s">
        <v>26</v>
      </c>
      <c r="D9706" s="5" t="s">
        <v>14088</v>
      </c>
      <c r="E9706" s="43">
        <v>18000</v>
      </c>
      <c r="F9706" s="43"/>
      <c r="G9706" s="48">
        <f t="shared" si="242"/>
        <v>47409.101594364038</v>
      </c>
      <c r="H9706" s="389" t="s">
        <v>9567</v>
      </c>
    </row>
    <row r="9707" spans="1:8" x14ac:dyDescent="0.3">
      <c r="A9707" s="45">
        <v>45500</v>
      </c>
      <c r="B9707" s="396" t="s">
        <v>12055</v>
      </c>
      <c r="C9707" s="5" t="s">
        <v>8009</v>
      </c>
      <c r="D9707" s="5" t="s">
        <v>14089</v>
      </c>
      <c r="E9707" s="43">
        <v>6000</v>
      </c>
      <c r="F9707" s="43"/>
      <c r="G9707" s="48">
        <f t="shared" si="242"/>
        <v>41409.101594364038</v>
      </c>
      <c r="H9707" s="389" t="s">
        <v>9567</v>
      </c>
    </row>
    <row r="9708" spans="1:8" x14ac:dyDescent="0.3">
      <c r="A9708" s="45">
        <v>45500</v>
      </c>
      <c r="B9708" s="396" t="s">
        <v>12086</v>
      </c>
      <c r="C9708" s="5" t="s">
        <v>11174</v>
      </c>
      <c r="D9708" s="5" t="s">
        <v>14090</v>
      </c>
      <c r="E9708" s="43">
        <v>180</v>
      </c>
      <c r="F9708" s="43"/>
      <c r="G9708" s="48">
        <f t="shared" si="242"/>
        <v>41229.101594364038</v>
      </c>
      <c r="H9708" s="389" t="s">
        <v>9567</v>
      </c>
    </row>
    <row r="9709" spans="1:8" x14ac:dyDescent="0.3">
      <c r="A9709" s="45">
        <v>45500</v>
      </c>
      <c r="B9709" s="396" t="s">
        <v>12046</v>
      </c>
      <c r="C9709" s="5" t="s">
        <v>26</v>
      </c>
      <c r="D9709" s="5" t="s">
        <v>14091</v>
      </c>
      <c r="E9709" s="43">
        <v>2000</v>
      </c>
      <c r="F9709" s="43"/>
      <c r="G9709" s="48">
        <f t="shared" si="242"/>
        <v>39229.101594364038</v>
      </c>
      <c r="H9709" s="389" t="s">
        <v>9567</v>
      </c>
    </row>
    <row r="9710" spans="1:8" x14ac:dyDescent="0.3">
      <c r="A9710" s="45">
        <v>45500</v>
      </c>
      <c r="B9710" s="396" t="s">
        <v>13188</v>
      </c>
      <c r="C9710" s="5" t="s">
        <v>26</v>
      </c>
      <c r="D9710" s="5" t="s">
        <v>14092</v>
      </c>
      <c r="E9710" s="43">
        <v>2200</v>
      </c>
      <c r="F9710" s="43"/>
      <c r="G9710" s="48">
        <f t="shared" ref="G9710:G9774" si="243">G9709+F9710-E9710</f>
        <v>37029.101594364038</v>
      </c>
      <c r="H9710" s="389" t="s">
        <v>9567</v>
      </c>
    </row>
    <row r="9711" spans="1:8" x14ac:dyDescent="0.3">
      <c r="A9711" s="45">
        <v>45500</v>
      </c>
      <c r="B9711" s="396" t="s">
        <v>25</v>
      </c>
      <c r="C9711" s="5" t="s">
        <v>26</v>
      </c>
      <c r="D9711" s="5" t="s">
        <v>14093</v>
      </c>
      <c r="E9711" s="43">
        <v>1950</v>
      </c>
      <c r="F9711" s="43"/>
      <c r="G9711" s="48">
        <f t="shared" si="243"/>
        <v>35079.101594364038</v>
      </c>
      <c r="H9711" s="389" t="s">
        <v>9567</v>
      </c>
    </row>
    <row r="9712" spans="1:8" x14ac:dyDescent="0.3">
      <c r="A9712" s="45">
        <v>45500</v>
      </c>
      <c r="B9712" s="396" t="s">
        <v>13946</v>
      </c>
      <c r="C9712" s="5" t="s">
        <v>14051</v>
      </c>
      <c r="D9712" s="5" t="s">
        <v>294</v>
      </c>
      <c r="E9712" s="43">
        <v>20000</v>
      </c>
      <c r="F9712" s="43"/>
      <c r="G9712" s="48">
        <f t="shared" si="243"/>
        <v>15079.101594364038</v>
      </c>
      <c r="H9712" s="389" t="s">
        <v>9567</v>
      </c>
    </row>
    <row r="9713" spans="1:13" x14ac:dyDescent="0.3">
      <c r="A9713" s="45">
        <v>45502</v>
      </c>
      <c r="B9713" s="396" t="s">
        <v>13981</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13188</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13902</v>
      </c>
      <c r="C9716" s="5" t="s">
        <v>5793</v>
      </c>
      <c r="D9716" s="5" t="s">
        <v>40</v>
      </c>
      <c r="E9716" s="43">
        <v>1000</v>
      </c>
      <c r="F9716" s="43"/>
      <c r="G9716" s="48">
        <f t="shared" si="243"/>
        <v>5479.1015943640377</v>
      </c>
      <c r="H9716" s="389" t="s">
        <v>9567</v>
      </c>
      <c r="K9716" s="52">
        <v>360</v>
      </c>
    </row>
    <row r="9717" spans="1:13" x14ac:dyDescent="0.3">
      <c r="A9717" s="45">
        <v>45502</v>
      </c>
      <c r="B9717" s="396" t="s">
        <v>13709</v>
      </c>
      <c r="C9717" s="5" t="s">
        <v>5793</v>
      </c>
      <c r="D9717" s="5" t="s">
        <v>40</v>
      </c>
      <c r="E9717" s="43">
        <v>1400</v>
      </c>
      <c r="F9717" s="43"/>
      <c r="G9717" s="48">
        <f t="shared" si="243"/>
        <v>4079.1015943640377</v>
      </c>
      <c r="H9717" s="389" t="s">
        <v>9567</v>
      </c>
      <c r="K9717" s="52">
        <v>500</v>
      </c>
      <c r="L9717" s="4" t="s">
        <v>14094</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13709</v>
      </c>
      <c r="C9719" s="5" t="s">
        <v>11174</v>
      </c>
      <c r="D9719" s="5" t="s">
        <v>14096</v>
      </c>
      <c r="E9719" s="65">
        <v>1740</v>
      </c>
      <c r="F9719" s="43"/>
      <c r="G9719" s="48">
        <f t="shared" si="243"/>
        <v>839.10159436403774</v>
      </c>
      <c r="H9719" s="389" t="s">
        <v>9567</v>
      </c>
      <c r="K9719" s="52">
        <v>250</v>
      </c>
      <c r="L9719" s="4" t="s">
        <v>8924</v>
      </c>
      <c r="M9719" s="4">
        <v>2000</v>
      </c>
    </row>
    <row r="9720" spans="1:13" x14ac:dyDescent="0.3">
      <c r="A9720" s="45">
        <v>45504</v>
      </c>
      <c r="B9720" s="565"/>
      <c r="C9720" s="480"/>
      <c r="D9720" s="491" t="s">
        <v>14098</v>
      </c>
      <c r="E9720" s="480"/>
      <c r="F9720" s="43">
        <v>800000</v>
      </c>
      <c r="G9720" s="48">
        <f t="shared" si="243"/>
        <v>800839.10159436404</v>
      </c>
      <c r="H9720" s="389" t="s">
        <v>9567</v>
      </c>
      <c r="M9720" s="4">
        <v>6840</v>
      </c>
    </row>
    <row r="9721" spans="1:13" x14ac:dyDescent="0.3">
      <c r="A9721" s="45">
        <v>45504</v>
      </c>
      <c r="B9721" s="396"/>
      <c r="C9721" s="5" t="s">
        <v>14</v>
      </c>
      <c r="D9721" s="5" t="s">
        <v>14099</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14101</v>
      </c>
      <c r="E9722" s="43">
        <v>2000</v>
      </c>
      <c r="F9722" s="43"/>
      <c r="G9722" s="48">
        <f t="shared" si="243"/>
        <v>698839.10159436404</v>
      </c>
      <c r="H9722" s="389" t="s">
        <v>9567</v>
      </c>
    </row>
    <row r="9723" spans="1:13" x14ac:dyDescent="0.3">
      <c r="A9723" s="45">
        <v>45504</v>
      </c>
      <c r="B9723" s="396" t="s">
        <v>13981</v>
      </c>
      <c r="C9723" s="5" t="s">
        <v>11174</v>
      </c>
      <c r="D9723" s="5" t="s">
        <v>14097</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13709</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14100</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14101</v>
      </c>
      <c r="E9727" s="43">
        <v>5330</v>
      </c>
      <c r="F9727" s="43"/>
      <c r="G9727" s="48">
        <f t="shared" si="243"/>
        <v>679049.10159436404</v>
      </c>
      <c r="H9727" s="389" t="s">
        <v>9567</v>
      </c>
      <c r="K9727" s="52">
        <v>250</v>
      </c>
      <c r="L9727" s="4" t="s">
        <v>8924</v>
      </c>
    </row>
    <row r="9728" spans="1:13" x14ac:dyDescent="0.3">
      <c r="A9728" s="45">
        <v>45505</v>
      </c>
      <c r="B9728" s="396" t="s">
        <v>13981</v>
      </c>
      <c r="C9728" s="5" t="s">
        <v>11174</v>
      </c>
      <c r="D9728" s="5" t="s">
        <v>14105</v>
      </c>
      <c r="E9728" s="43">
        <v>1740</v>
      </c>
      <c r="F9728" s="43"/>
      <c r="G9728" s="48">
        <f t="shared" si="243"/>
        <v>677309.10159436404</v>
      </c>
      <c r="H9728" s="389" t="s">
        <v>9567</v>
      </c>
      <c r="K9728" s="52">
        <f>K9727+K9726+K9725+K9724+K9723</f>
        <v>6180</v>
      </c>
    </row>
    <row r="9729" spans="1:12" x14ac:dyDescent="0.3">
      <c r="A9729" s="45">
        <v>45505</v>
      </c>
      <c r="B9729" s="396" t="s">
        <v>12611</v>
      </c>
      <c r="C9729" s="5" t="s">
        <v>11174</v>
      </c>
      <c r="D9729" s="5" t="s">
        <v>14106</v>
      </c>
      <c r="E9729" s="43">
        <v>2250</v>
      </c>
      <c r="F9729" s="43"/>
      <c r="G9729" s="48">
        <f t="shared" si="243"/>
        <v>675059.10159436404</v>
      </c>
      <c r="H9729" s="389" t="s">
        <v>9567</v>
      </c>
    </row>
    <row r="9730" spans="1:12" x14ac:dyDescent="0.3">
      <c r="A9730" s="45">
        <v>45505</v>
      </c>
      <c r="B9730" s="396" t="s">
        <v>13709</v>
      </c>
      <c r="C9730" s="5" t="s">
        <v>11174</v>
      </c>
      <c r="D9730" s="5" t="s">
        <v>14107</v>
      </c>
      <c r="E9730" s="43">
        <v>1500</v>
      </c>
      <c r="F9730" s="43"/>
      <c r="G9730" s="48">
        <f t="shared" si="243"/>
        <v>673559.10159436404</v>
      </c>
      <c r="H9730" s="389" t="s">
        <v>9567</v>
      </c>
      <c r="L9730" s="4" t="s">
        <v>14109</v>
      </c>
    </row>
    <row r="9731" spans="1:12" x14ac:dyDescent="0.3">
      <c r="A9731" s="45">
        <v>45505</v>
      </c>
      <c r="B9731" s="396" t="s">
        <v>10319</v>
      </c>
      <c r="C9731" s="5" t="s">
        <v>30</v>
      </c>
      <c r="D9731" s="5" t="s">
        <v>14108</v>
      </c>
      <c r="E9731" s="43">
        <v>1100</v>
      </c>
      <c r="F9731" s="43"/>
      <c r="G9731" s="48">
        <f t="shared" si="243"/>
        <v>672459.10159436404</v>
      </c>
      <c r="H9731" s="389" t="s">
        <v>9567</v>
      </c>
      <c r="J9731" s="45">
        <v>45505</v>
      </c>
      <c r="K9731" s="52" t="s">
        <v>14110</v>
      </c>
      <c r="L9731" s="4">
        <v>365</v>
      </c>
    </row>
    <row r="9732" spans="1:12" x14ac:dyDescent="0.3">
      <c r="A9732" s="45">
        <v>45505</v>
      </c>
      <c r="B9732" s="396" t="s">
        <v>13981</v>
      </c>
      <c r="C9732" s="5" t="s">
        <v>5793</v>
      </c>
      <c r="D9732" s="5" t="s">
        <v>40</v>
      </c>
      <c r="E9732" s="43">
        <v>1800</v>
      </c>
      <c r="F9732" s="43"/>
      <c r="G9732" s="48">
        <f t="shared" si="243"/>
        <v>670659.10159436404</v>
      </c>
      <c r="H9732" s="389" t="s">
        <v>9567</v>
      </c>
      <c r="J9732" s="45">
        <v>45506</v>
      </c>
    </row>
    <row r="9733" spans="1:12" x14ac:dyDescent="0.3">
      <c r="A9733" s="45">
        <v>45505</v>
      </c>
      <c r="B9733" s="396" t="s">
        <v>13188</v>
      </c>
      <c r="C9733" s="5" t="s">
        <v>9451</v>
      </c>
      <c r="D9733" s="5" t="s">
        <v>14112</v>
      </c>
      <c r="E9733" s="43">
        <v>6840</v>
      </c>
      <c r="F9733" s="43"/>
      <c r="G9733" s="48">
        <f t="shared" si="243"/>
        <v>663819.10159436404</v>
      </c>
      <c r="H9733" s="389" t="s">
        <v>9567</v>
      </c>
    </row>
    <row r="9734" spans="1:12" x14ac:dyDescent="0.3">
      <c r="A9734" s="45">
        <v>45505</v>
      </c>
      <c r="B9734" s="396" t="s">
        <v>12230</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13833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14113</v>
      </c>
      <c r="E9738" s="43">
        <v>5000</v>
      </c>
      <c r="F9738" s="43"/>
      <c r="G9738" s="48">
        <f t="shared" si="243"/>
        <v>623429.10159436404</v>
      </c>
      <c r="H9738" s="389" t="s">
        <v>9567</v>
      </c>
    </row>
    <row r="9739" spans="1:12" x14ac:dyDescent="0.3">
      <c r="A9739" s="45">
        <v>45505</v>
      </c>
      <c r="B9739" s="396" t="s">
        <v>10319</v>
      </c>
      <c r="C9739" s="5" t="s">
        <v>9794</v>
      </c>
      <c r="D9739" s="5" t="s">
        <v>14114</v>
      </c>
      <c r="E9739" s="43">
        <v>9500</v>
      </c>
      <c r="F9739" s="43"/>
      <c r="G9739" s="48">
        <f t="shared" si="243"/>
        <v>613929.10159436404</v>
      </c>
      <c r="H9739" s="389" t="s">
        <v>9567</v>
      </c>
    </row>
    <row r="9740" spans="1:12" x14ac:dyDescent="0.3">
      <c r="A9740" s="45">
        <v>45505</v>
      </c>
      <c r="B9740" s="396" t="s">
        <v>13709</v>
      </c>
      <c r="C9740" s="5" t="s">
        <v>11174</v>
      </c>
      <c r="D9740" s="5" t="s">
        <v>14115</v>
      </c>
      <c r="E9740" s="43">
        <v>13830</v>
      </c>
      <c r="F9740" s="43"/>
      <c r="G9740" s="48">
        <f t="shared" si="243"/>
        <v>600099.10159436404</v>
      </c>
      <c r="H9740" s="389" t="s">
        <v>9567</v>
      </c>
    </row>
    <row r="9741" spans="1:12" x14ac:dyDescent="0.3">
      <c r="A9741" s="45">
        <v>45505</v>
      </c>
      <c r="B9741" s="396" t="s">
        <v>13981</v>
      </c>
      <c r="C9741" s="5" t="s">
        <v>13982</v>
      </c>
      <c r="D9741" s="5" t="s">
        <v>14116</v>
      </c>
      <c r="E9741" s="43">
        <v>75000</v>
      </c>
      <c r="F9741" s="43"/>
      <c r="G9741" s="48">
        <f t="shared" si="243"/>
        <v>525099.10159436404</v>
      </c>
      <c r="H9741" s="389" t="s">
        <v>9567</v>
      </c>
    </row>
    <row r="9742" spans="1:12" x14ac:dyDescent="0.3">
      <c r="A9742" s="45">
        <v>45505</v>
      </c>
      <c r="B9742" s="396" t="s">
        <v>13709</v>
      </c>
      <c r="C9742" s="5" t="s">
        <v>5793</v>
      </c>
      <c r="D9742" s="5" t="s">
        <v>40</v>
      </c>
      <c r="E9742" s="43">
        <v>3500</v>
      </c>
      <c r="F9742" s="43"/>
      <c r="G9742" s="48">
        <f t="shared" si="243"/>
        <v>521599.10159436404</v>
      </c>
      <c r="H9742" s="389" t="s">
        <v>9567</v>
      </c>
    </row>
    <row r="9743" spans="1:12" x14ac:dyDescent="0.3">
      <c r="A9743" s="45">
        <v>45505</v>
      </c>
      <c r="B9743" s="396" t="s">
        <v>12055</v>
      </c>
      <c r="C9743" s="5" t="s">
        <v>11174</v>
      </c>
      <c r="D9743" s="5" t="s">
        <v>14119</v>
      </c>
      <c r="E9743" s="43">
        <v>3500</v>
      </c>
      <c r="F9743" s="43"/>
      <c r="G9743" s="48">
        <f t="shared" si="243"/>
        <v>518099.10159436404</v>
      </c>
      <c r="H9743" s="389" t="s">
        <v>9567</v>
      </c>
    </row>
    <row r="9744" spans="1:12" x14ac:dyDescent="0.3">
      <c r="A9744" s="45">
        <v>45505</v>
      </c>
      <c r="B9744" s="396" t="s">
        <v>25</v>
      </c>
      <c r="C9744" s="5" t="s">
        <v>14053</v>
      </c>
      <c r="D9744" s="5" t="s">
        <v>14117</v>
      </c>
      <c r="E9744" s="43">
        <v>5000</v>
      </c>
      <c r="F9744" s="43"/>
      <c r="G9744" s="48">
        <f t="shared" si="243"/>
        <v>513099.10159436404</v>
      </c>
      <c r="H9744" s="389" t="s">
        <v>9567</v>
      </c>
    </row>
    <row r="9745" spans="1:8" x14ac:dyDescent="0.3">
      <c r="A9745" s="45">
        <v>45505</v>
      </c>
      <c r="B9745" s="396" t="s">
        <v>12133</v>
      </c>
      <c r="C9745" s="5" t="s">
        <v>26</v>
      </c>
      <c r="D9745" s="5" t="s">
        <v>14118</v>
      </c>
      <c r="E9745" s="43">
        <v>1500</v>
      </c>
      <c r="F9745" s="43"/>
      <c r="G9745" s="48">
        <f t="shared" si="243"/>
        <v>511599.10159436404</v>
      </c>
      <c r="H9745" s="389" t="s">
        <v>9567</v>
      </c>
    </row>
    <row r="9746" spans="1:8" x14ac:dyDescent="0.3">
      <c r="A9746" s="45">
        <v>45505</v>
      </c>
      <c r="B9746" s="396" t="s">
        <v>13981</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13981</v>
      </c>
      <c r="C9748" s="5" t="s">
        <v>11174</v>
      </c>
      <c r="D9748" s="5" t="s">
        <v>14124</v>
      </c>
      <c r="E9748" s="65">
        <v>5280</v>
      </c>
      <c r="F9748" s="43"/>
      <c r="G9748" s="48">
        <f t="shared" si="243"/>
        <v>470319.10159436404</v>
      </c>
      <c r="H9748" s="389" t="s">
        <v>9567</v>
      </c>
    </row>
    <row r="9749" spans="1:8" x14ac:dyDescent="0.3">
      <c r="A9749" s="45">
        <v>45506</v>
      </c>
      <c r="B9749" s="396" t="s">
        <v>13902</v>
      </c>
      <c r="C9749" s="5" t="s">
        <v>11174</v>
      </c>
      <c r="D9749" s="5" t="s">
        <v>14122</v>
      </c>
      <c r="E9749" s="43">
        <v>51850</v>
      </c>
      <c r="F9749" s="43"/>
      <c r="G9749" s="48">
        <f t="shared" si="243"/>
        <v>418469.10159436404</v>
      </c>
      <c r="H9749" s="389" t="s">
        <v>9567</v>
      </c>
    </row>
    <row r="9750" spans="1:8" x14ac:dyDescent="0.3">
      <c r="A9750" s="45">
        <v>45506</v>
      </c>
      <c r="B9750" s="396" t="s">
        <v>13981</v>
      </c>
      <c r="C9750" s="5" t="s">
        <v>11174</v>
      </c>
      <c r="D9750" s="5" t="s">
        <v>14123</v>
      </c>
      <c r="E9750" s="43">
        <v>1500</v>
      </c>
      <c r="F9750" s="43"/>
      <c r="G9750" s="48">
        <f t="shared" si="243"/>
        <v>416969.10159436404</v>
      </c>
      <c r="H9750" s="389" t="s">
        <v>9567</v>
      </c>
    </row>
    <row r="9751" spans="1:8" x14ac:dyDescent="0.3">
      <c r="A9751" s="45">
        <v>45506</v>
      </c>
      <c r="B9751" s="396" t="s">
        <v>13981</v>
      </c>
      <c r="C9751" s="5" t="s">
        <v>11174</v>
      </c>
      <c r="D9751" s="5" t="s">
        <v>14125</v>
      </c>
      <c r="E9751" s="43">
        <v>3340</v>
      </c>
      <c r="F9751" s="43"/>
      <c r="G9751" s="48">
        <f t="shared" si="243"/>
        <v>413629.10159436404</v>
      </c>
      <c r="H9751" s="389" t="s">
        <v>9567</v>
      </c>
    </row>
    <row r="9752" spans="1:8" x14ac:dyDescent="0.3">
      <c r="A9752" s="45">
        <v>45506</v>
      </c>
      <c r="B9752" s="396" t="s">
        <v>13709</v>
      </c>
      <c r="C9752" s="5" t="s">
        <v>30</v>
      </c>
      <c r="D9752" s="5" t="s">
        <v>14126</v>
      </c>
      <c r="E9752" s="43">
        <v>1000</v>
      </c>
      <c r="F9752" s="43"/>
      <c r="G9752" s="48">
        <f t="shared" si="243"/>
        <v>412629.10159436404</v>
      </c>
      <c r="H9752" s="389" t="s">
        <v>9567</v>
      </c>
    </row>
    <row r="9753" spans="1:8" x14ac:dyDescent="0.3">
      <c r="A9753" s="45">
        <v>45506</v>
      </c>
      <c r="B9753" s="396" t="s">
        <v>13902</v>
      </c>
      <c r="C9753" s="5" t="s">
        <v>84</v>
      </c>
      <c r="D9753" s="5" t="s">
        <v>14127</v>
      </c>
      <c r="E9753" s="43">
        <v>5000</v>
      </c>
      <c r="F9753" s="43"/>
      <c r="G9753" s="48">
        <f t="shared" si="243"/>
        <v>407629.10159436404</v>
      </c>
      <c r="H9753" s="389" t="s">
        <v>9567</v>
      </c>
    </row>
    <row r="9754" spans="1:8" x14ac:dyDescent="0.3">
      <c r="A9754" s="45">
        <v>45506</v>
      </c>
      <c r="B9754" s="396" t="s">
        <v>13709</v>
      </c>
      <c r="C9754" s="5" t="s">
        <v>5793</v>
      </c>
      <c r="D9754" s="5" t="s">
        <v>49</v>
      </c>
      <c r="E9754" s="43">
        <v>14000</v>
      </c>
      <c r="F9754" s="43"/>
      <c r="G9754" s="48">
        <f t="shared" si="243"/>
        <v>393629.10159436404</v>
      </c>
      <c r="H9754" s="389" t="s">
        <v>9567</v>
      </c>
    </row>
    <row r="9755" spans="1:8" x14ac:dyDescent="0.3">
      <c r="A9755" s="45">
        <v>45506</v>
      </c>
      <c r="B9755" s="396" t="s">
        <v>12133</v>
      </c>
      <c r="C9755" s="5" t="s">
        <v>5793</v>
      </c>
      <c r="D9755" s="5" t="s">
        <v>49</v>
      </c>
      <c r="E9755" s="43">
        <v>7000</v>
      </c>
      <c r="F9755" s="43"/>
      <c r="G9755" s="48">
        <f t="shared" si="243"/>
        <v>386629.10159436404</v>
      </c>
      <c r="H9755" s="389" t="s">
        <v>9567</v>
      </c>
    </row>
    <row r="9756" spans="1:8" x14ac:dyDescent="0.3">
      <c r="A9756" s="45">
        <v>45506</v>
      </c>
      <c r="B9756" s="396" t="s">
        <v>13902</v>
      </c>
      <c r="C9756" s="5" t="s">
        <v>5793</v>
      </c>
      <c r="D9756" s="5" t="s">
        <v>49</v>
      </c>
      <c r="E9756" s="43">
        <v>5000</v>
      </c>
      <c r="F9756" s="43"/>
      <c r="G9756" s="48">
        <f t="shared" si="243"/>
        <v>381629.10159436404</v>
      </c>
      <c r="H9756" s="389" t="s">
        <v>9567</v>
      </c>
    </row>
    <row r="9757" spans="1:8" x14ac:dyDescent="0.3">
      <c r="A9757" s="45">
        <v>45506</v>
      </c>
      <c r="B9757" s="396" t="s">
        <v>13902</v>
      </c>
      <c r="C9757" s="5" t="s">
        <v>11174</v>
      </c>
      <c r="D9757" s="5" t="s">
        <v>14128</v>
      </c>
      <c r="E9757" s="43">
        <v>3560</v>
      </c>
      <c r="F9757" s="43"/>
      <c r="G9757" s="48">
        <f t="shared" si="243"/>
        <v>378069.10159436404</v>
      </c>
      <c r="H9757" s="389" t="s">
        <v>9567</v>
      </c>
    </row>
    <row r="9758" spans="1:8" x14ac:dyDescent="0.3">
      <c r="A9758" s="45">
        <v>45506</v>
      </c>
      <c r="B9758" s="396" t="s">
        <v>13902</v>
      </c>
      <c r="C9758" s="5" t="s">
        <v>14129</v>
      </c>
      <c r="D9758" s="5" t="s">
        <v>13893</v>
      </c>
      <c r="E9758" s="43">
        <v>200000</v>
      </c>
      <c r="F9758" s="43"/>
      <c r="G9758" s="48">
        <f t="shared" si="243"/>
        <v>178069.10159436404</v>
      </c>
      <c r="H9758" s="389" t="s">
        <v>9567</v>
      </c>
    </row>
    <row r="9759" spans="1:8" x14ac:dyDescent="0.3">
      <c r="A9759" s="45">
        <v>45507</v>
      </c>
      <c r="B9759" s="396" t="s">
        <v>13981</v>
      </c>
      <c r="C9759" s="5" t="s">
        <v>13982</v>
      </c>
      <c r="D9759" s="5" t="s">
        <v>294</v>
      </c>
      <c r="E9759" s="43">
        <v>100000</v>
      </c>
      <c r="F9759" s="43"/>
      <c r="G9759" s="48">
        <f t="shared" si="243"/>
        <v>78069.101594364038</v>
      </c>
      <c r="H9759" s="389" t="s">
        <v>9567</v>
      </c>
    </row>
    <row r="9760" spans="1:8" x14ac:dyDescent="0.3">
      <c r="A9760" s="45">
        <v>45507</v>
      </c>
      <c r="B9760" s="396"/>
      <c r="C9760" s="5" t="s">
        <v>84</v>
      </c>
      <c r="D9760" s="5" t="s">
        <v>14132</v>
      </c>
      <c r="E9760" s="43">
        <v>2000</v>
      </c>
      <c r="F9760" s="43"/>
      <c r="G9760" s="48">
        <f t="shared" si="243"/>
        <v>76069.101594364038</v>
      </c>
      <c r="H9760" s="389" t="s">
        <v>9567</v>
      </c>
    </row>
    <row r="9761" spans="1:13" x14ac:dyDescent="0.3">
      <c r="A9761" s="45">
        <v>45507</v>
      </c>
      <c r="B9761" s="565"/>
      <c r="C9761" s="480"/>
      <c r="D9761" s="491" t="s">
        <v>14134</v>
      </c>
      <c r="E9761" s="480"/>
      <c r="F9761" s="43">
        <v>70000</v>
      </c>
      <c r="G9761" s="48">
        <f t="shared" si="243"/>
        <v>146069.10159436404</v>
      </c>
      <c r="H9761" s="389" t="s">
        <v>9567</v>
      </c>
      <c r="M9761" s="4">
        <v>6840</v>
      </c>
    </row>
    <row r="9762" spans="1:13" x14ac:dyDescent="0.3">
      <c r="A9762" s="45">
        <v>45507</v>
      </c>
      <c r="B9762" s="396" t="s">
        <v>13458</v>
      </c>
      <c r="C9762" s="5" t="s">
        <v>14051</v>
      </c>
      <c r="D9762" s="5" t="s">
        <v>294</v>
      </c>
      <c r="E9762" s="43">
        <v>40000</v>
      </c>
      <c r="F9762" s="43"/>
      <c r="G9762" s="48">
        <f t="shared" si="243"/>
        <v>106069.10159436404</v>
      </c>
      <c r="H9762" s="389" t="s">
        <v>9567</v>
      </c>
    </row>
    <row r="9763" spans="1:13" x14ac:dyDescent="0.3">
      <c r="A9763" s="45">
        <v>45507</v>
      </c>
      <c r="B9763" s="396" t="s">
        <v>13458</v>
      </c>
      <c r="C9763" s="5" t="s">
        <v>11174</v>
      </c>
      <c r="D9763" s="5" t="s">
        <v>14135</v>
      </c>
      <c r="E9763" s="43">
        <v>25000</v>
      </c>
      <c r="F9763" s="43"/>
      <c r="G9763" s="48">
        <f t="shared" si="243"/>
        <v>81069.101594364038</v>
      </c>
      <c r="H9763" s="389" t="s">
        <v>9567</v>
      </c>
    </row>
    <row r="9764" spans="1:13" x14ac:dyDescent="0.3">
      <c r="A9764" s="45">
        <v>45507</v>
      </c>
      <c r="B9764" s="396" t="s">
        <v>25</v>
      </c>
      <c r="C9764" s="5" t="s">
        <v>26</v>
      </c>
      <c r="D9764" s="5" t="s">
        <v>14136</v>
      </c>
      <c r="E9764" s="43">
        <v>1000</v>
      </c>
      <c r="F9764" s="43"/>
      <c r="G9764" s="48">
        <f t="shared" si="243"/>
        <v>80069.101594364038</v>
      </c>
      <c r="H9764" s="389" t="s">
        <v>9567</v>
      </c>
    </row>
    <row r="9765" spans="1:13" x14ac:dyDescent="0.3">
      <c r="A9765" s="45">
        <v>45507</v>
      </c>
      <c r="B9765" s="396" t="s">
        <v>13981</v>
      </c>
      <c r="C9765" s="5" t="s">
        <v>5793</v>
      </c>
      <c r="D9765" s="5" t="s">
        <v>40</v>
      </c>
      <c r="E9765" s="43">
        <v>3500</v>
      </c>
      <c r="F9765" s="43"/>
      <c r="G9765" s="48">
        <f t="shared" si="243"/>
        <v>76569.101594364038</v>
      </c>
      <c r="H9765" s="389" t="s">
        <v>9567</v>
      </c>
    </row>
    <row r="9766" spans="1:13" x14ac:dyDescent="0.3">
      <c r="A9766" s="45">
        <v>45507</v>
      </c>
      <c r="B9766" s="396" t="s">
        <v>13709</v>
      </c>
      <c r="C9766" s="5" t="s">
        <v>5793</v>
      </c>
      <c r="D9766" s="5" t="s">
        <v>40</v>
      </c>
      <c r="E9766" s="43">
        <v>1000</v>
      </c>
      <c r="F9766" s="43"/>
      <c r="G9766" s="48">
        <f t="shared" si="243"/>
        <v>75569.101594364038</v>
      </c>
      <c r="H9766" s="389" t="s">
        <v>9567</v>
      </c>
    </row>
    <row r="9767" spans="1:13" x14ac:dyDescent="0.3">
      <c r="A9767" s="45">
        <v>45507</v>
      </c>
      <c r="B9767" s="396" t="s">
        <v>13981</v>
      </c>
      <c r="C9767" s="5" t="s">
        <v>5793</v>
      </c>
      <c r="D9767" s="5" t="s">
        <v>8924</v>
      </c>
      <c r="E9767" s="43">
        <v>400</v>
      </c>
      <c r="F9767" s="43"/>
      <c r="G9767" s="48">
        <f t="shared" si="243"/>
        <v>75169.101594364038</v>
      </c>
      <c r="H9767" s="389" t="s">
        <v>9567</v>
      </c>
    </row>
    <row r="9768" spans="1:13" x14ac:dyDescent="0.3">
      <c r="A9768" s="45">
        <v>45507</v>
      </c>
      <c r="B9768" s="396" t="s">
        <v>12133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12133</v>
      </c>
      <c r="C9770" s="5" t="s">
        <v>9457</v>
      </c>
      <c r="D9770" s="5" t="s">
        <v>14141</v>
      </c>
      <c r="E9770" s="43">
        <v>2000</v>
      </c>
      <c r="F9770" s="43"/>
      <c r="G9770" s="48">
        <f t="shared" si="243"/>
        <v>66169.101594364038</v>
      </c>
      <c r="H9770" s="389" t="s">
        <v>9567</v>
      </c>
    </row>
    <row r="9771" spans="1:13" x14ac:dyDescent="0.3">
      <c r="A9771" s="45">
        <v>45507</v>
      </c>
      <c r="B9771" s="396" t="s">
        <v>25</v>
      </c>
      <c r="C9771" s="5" t="s">
        <v>64</v>
      </c>
      <c r="D9771" s="5" t="s">
        <v>14142</v>
      </c>
      <c r="E9771" s="43">
        <v>3190</v>
      </c>
      <c r="F9771" s="43"/>
      <c r="G9771" s="48">
        <f t="shared" si="243"/>
        <v>62979.101594364038</v>
      </c>
      <c r="H9771" s="389" t="s">
        <v>9567</v>
      </c>
    </row>
    <row r="9772" spans="1:13" x14ac:dyDescent="0.3">
      <c r="A9772" s="45">
        <v>45507</v>
      </c>
      <c r="B9772" s="396" t="s">
        <v>13709</v>
      </c>
      <c r="C9772" s="5"/>
      <c r="D9772" s="5" t="s">
        <v>14133</v>
      </c>
      <c r="E9772" s="43">
        <v>30000</v>
      </c>
      <c r="F9772" s="43"/>
      <c r="G9772" s="48">
        <f t="shared" si="243"/>
        <v>32979.101594364038</v>
      </c>
      <c r="H9772" s="389" t="s">
        <v>9567</v>
      </c>
    </row>
    <row r="9773" spans="1:13" x14ac:dyDescent="0.3">
      <c r="A9773" s="45">
        <v>45507</v>
      </c>
      <c r="B9773" s="396" t="s">
        <v>13981</v>
      </c>
      <c r="C9773" s="5" t="s">
        <v>9451</v>
      </c>
      <c r="D9773" s="5" t="s">
        <v>14143</v>
      </c>
      <c r="E9773" s="43">
        <v>7000</v>
      </c>
      <c r="F9773" s="43"/>
      <c r="G9773" s="48">
        <f t="shared" si="243"/>
        <v>25979.101594364038</v>
      </c>
      <c r="H9773" s="389" t="s">
        <v>9567</v>
      </c>
      <c r="J9773" s="52">
        <v>750</v>
      </c>
    </row>
    <row r="9774" spans="1:13" x14ac:dyDescent="0.3">
      <c r="A9774" s="45">
        <v>45507</v>
      </c>
      <c r="B9774" s="396" t="s">
        <v>13902</v>
      </c>
      <c r="C9774" s="5" t="s">
        <v>11174</v>
      </c>
      <c r="D9774" s="5" t="s">
        <v>14144</v>
      </c>
      <c r="E9774" s="43">
        <v>800</v>
      </c>
      <c r="F9774" s="43"/>
      <c r="G9774" s="48">
        <f t="shared" si="243"/>
        <v>25179.101594364038</v>
      </c>
      <c r="H9774" s="389" t="s">
        <v>9567</v>
      </c>
      <c r="J9774" s="52">
        <v>6820</v>
      </c>
    </row>
    <row r="9775" spans="1:13" x14ac:dyDescent="0.3">
      <c r="A9775" s="45">
        <v>45507</v>
      </c>
      <c r="B9775" s="396"/>
      <c r="C9775" s="5" t="s">
        <v>84</v>
      </c>
      <c r="D9775" s="5" t="s">
        <v>14145</v>
      </c>
      <c r="E9775" s="43">
        <v>5000</v>
      </c>
      <c r="F9775" s="43"/>
      <c r="G9775" s="48">
        <f t="shared" ref="G9775:G9841" si="244">G9774+F9775-E9775</f>
        <v>20179.101594364038</v>
      </c>
      <c r="H9775" s="389" t="s">
        <v>9567</v>
      </c>
      <c r="J9775" s="52">
        <v>5200</v>
      </c>
    </row>
    <row r="9776" spans="1:13" x14ac:dyDescent="0.3">
      <c r="A9776" s="45">
        <v>45507</v>
      </c>
      <c r="B9776" s="396" t="s">
        <v>13902</v>
      </c>
      <c r="C9776" s="5" t="s">
        <v>26</v>
      </c>
      <c r="D9776" s="5" t="s">
        <v>14146</v>
      </c>
      <c r="E9776" s="43">
        <v>4000</v>
      </c>
      <c r="F9776" s="43"/>
      <c r="G9776" s="48">
        <f t="shared" si="244"/>
        <v>16179.101594364038</v>
      </c>
      <c r="H9776" s="389" t="s">
        <v>9567</v>
      </c>
      <c r="J9776" s="52">
        <v>16800</v>
      </c>
    </row>
    <row r="9777" spans="1:13" x14ac:dyDescent="0.3">
      <c r="A9777" s="45">
        <v>45507</v>
      </c>
      <c r="B9777" s="396"/>
      <c r="C9777" s="5" t="s">
        <v>84</v>
      </c>
      <c r="D9777" s="5" t="s">
        <v>14147</v>
      </c>
      <c r="E9777" s="43">
        <v>5000</v>
      </c>
      <c r="F9777" s="43"/>
      <c r="G9777" s="48">
        <f t="shared" si="244"/>
        <v>11179.101594364038</v>
      </c>
      <c r="H9777" s="389" t="s">
        <v>9567</v>
      </c>
      <c r="J9777" s="52">
        <v>1050</v>
      </c>
    </row>
    <row r="9778" spans="1:13" x14ac:dyDescent="0.3">
      <c r="A9778" s="45">
        <v>45507</v>
      </c>
      <c r="B9778" s="396" t="s">
        <v>13902</v>
      </c>
      <c r="C9778" s="5" t="s">
        <v>5793</v>
      </c>
      <c r="D9778" s="5" t="s">
        <v>40</v>
      </c>
      <c r="E9778" s="43">
        <v>3500</v>
      </c>
      <c r="F9778" s="43"/>
      <c r="G9778" s="48">
        <f t="shared" si="244"/>
        <v>7679.1015943640377</v>
      </c>
      <c r="H9778" s="389" t="s">
        <v>9567</v>
      </c>
      <c r="J9778" s="52">
        <f>SUM(J9773:J9777)</f>
        <v>30620</v>
      </c>
    </row>
    <row r="9779" spans="1:13" x14ac:dyDescent="0.3">
      <c r="A9779" s="45">
        <v>45509</v>
      </c>
      <c r="B9779" s="565"/>
      <c r="C9779" s="480"/>
      <c r="D9779" s="491" t="s">
        <v>4106</v>
      </c>
      <c r="E9779" s="480"/>
      <c r="F9779" s="43">
        <v>500000</v>
      </c>
      <c r="G9779" s="48">
        <f t="shared" si="244"/>
        <v>507679.10159436404</v>
      </c>
      <c r="H9779" s="389" t="s">
        <v>9567</v>
      </c>
      <c r="M9779" s="4">
        <v>6840</v>
      </c>
    </row>
    <row r="9780" spans="1:13" x14ac:dyDescent="0.3">
      <c r="A9780" s="45">
        <v>45509</v>
      </c>
      <c r="B9780" s="396" t="s">
        <v>13902</v>
      </c>
      <c r="C9780" s="5" t="s">
        <v>11174</v>
      </c>
      <c r="D9780" s="5" t="s">
        <v>14148</v>
      </c>
      <c r="E9780" s="43">
        <v>6900</v>
      </c>
      <c r="F9780" s="43"/>
      <c r="G9780" s="48">
        <f t="shared" si="244"/>
        <v>500779.10159436404</v>
      </c>
      <c r="H9780" s="389" t="s">
        <v>9567</v>
      </c>
    </row>
    <row r="9781" spans="1:13" x14ac:dyDescent="0.3">
      <c r="A9781" s="45">
        <v>45509</v>
      </c>
      <c r="B9781" s="396" t="s">
        <v>13981</v>
      </c>
      <c r="C9781" s="5" t="s">
        <v>5793</v>
      </c>
      <c r="D9781" s="5" t="s">
        <v>40</v>
      </c>
      <c r="E9781" s="43">
        <v>3000</v>
      </c>
      <c r="F9781" s="43"/>
      <c r="G9781" s="48">
        <f t="shared" si="244"/>
        <v>497779.10159436404</v>
      </c>
      <c r="H9781" s="389" t="s">
        <v>9567</v>
      </c>
    </row>
    <row r="9782" spans="1:13" x14ac:dyDescent="0.3">
      <c r="A9782" s="45">
        <v>45509</v>
      </c>
      <c r="B9782" s="396" t="s">
        <v>13098</v>
      </c>
      <c r="C9782" s="5" t="s">
        <v>11174</v>
      </c>
      <c r="D9782" s="5" t="s">
        <v>14149</v>
      </c>
      <c r="E9782" s="43">
        <v>19280</v>
      </c>
      <c r="F9782" s="43"/>
      <c r="G9782" s="48">
        <f t="shared" si="244"/>
        <v>478499.10159436404</v>
      </c>
      <c r="H9782" s="389" t="s">
        <v>9567</v>
      </c>
    </row>
    <row r="9783" spans="1:13" x14ac:dyDescent="0.3">
      <c r="A9783" s="45">
        <v>45509</v>
      </c>
      <c r="B9783" s="396" t="s">
        <v>13709</v>
      </c>
      <c r="C9783" s="5" t="s">
        <v>5793</v>
      </c>
      <c r="D9783" s="5" t="s">
        <v>40</v>
      </c>
      <c r="E9783" s="43">
        <v>3000</v>
      </c>
      <c r="F9783" s="43"/>
      <c r="G9783" s="48">
        <f t="shared" si="244"/>
        <v>475499.10159436404</v>
      </c>
      <c r="H9783" s="389" t="s">
        <v>9567</v>
      </c>
    </row>
    <row r="9784" spans="1:13" x14ac:dyDescent="0.3">
      <c r="A9784" s="45">
        <v>45509</v>
      </c>
      <c r="B9784" s="394" t="s">
        <v>13902</v>
      </c>
      <c r="C9784" s="186" t="s">
        <v>54</v>
      </c>
      <c r="D9784" s="186" t="s">
        <v>6245</v>
      </c>
      <c r="E9784" s="187">
        <v>100000</v>
      </c>
      <c r="F9784" s="43"/>
      <c r="G9784" s="48">
        <f t="shared" si="244"/>
        <v>375499.10159436404</v>
      </c>
      <c r="H9784" s="389" t="s">
        <v>9567</v>
      </c>
    </row>
    <row r="9785" spans="1:13" x14ac:dyDescent="0.3">
      <c r="A9785" s="45">
        <v>45509</v>
      </c>
      <c r="B9785" s="396" t="s">
        <v>13709</v>
      </c>
      <c r="C9785" s="5" t="s">
        <v>13639</v>
      </c>
      <c r="D9785" s="5" t="s">
        <v>14150</v>
      </c>
      <c r="E9785" s="43">
        <v>27580</v>
      </c>
      <c r="F9785" s="43"/>
      <c r="G9785" s="48">
        <f t="shared" si="244"/>
        <v>347919.10159436404</v>
      </c>
      <c r="H9785" s="389" t="s">
        <v>9567</v>
      </c>
    </row>
    <row r="9786" spans="1:13" x14ac:dyDescent="0.3">
      <c r="A9786" s="45">
        <v>45509</v>
      </c>
      <c r="B9786" s="396" t="s">
        <v>13902</v>
      </c>
      <c r="C9786" s="5" t="s">
        <v>5793</v>
      </c>
      <c r="D9786" s="5" t="s">
        <v>40</v>
      </c>
      <c r="E9786" s="43">
        <v>3000</v>
      </c>
      <c r="F9786" s="43"/>
      <c r="G9786" s="48">
        <f t="shared" si="244"/>
        <v>344919.10159436404</v>
      </c>
      <c r="H9786" s="389" t="s">
        <v>9567</v>
      </c>
    </row>
    <row r="9787" spans="1:13" x14ac:dyDescent="0.3">
      <c r="A9787" s="45">
        <v>45509</v>
      </c>
      <c r="B9787" s="396" t="s">
        <v>13981</v>
      </c>
      <c r="C9787" s="5" t="s">
        <v>5793</v>
      </c>
      <c r="D9787" s="5" t="s">
        <v>40</v>
      </c>
      <c r="E9787" s="43">
        <v>1100</v>
      </c>
      <c r="F9787" s="43"/>
      <c r="G9787" s="48">
        <f t="shared" si="244"/>
        <v>343819.10159436404</v>
      </c>
      <c r="H9787" s="389" t="s">
        <v>9567</v>
      </c>
    </row>
    <row r="9788" spans="1:13" x14ac:dyDescent="0.3">
      <c r="A9788" s="45">
        <v>45509</v>
      </c>
      <c r="B9788" s="394" t="s">
        <v>12133</v>
      </c>
      <c r="C9788" s="186" t="s">
        <v>54</v>
      </c>
      <c r="D9788" s="186" t="s">
        <v>12758</v>
      </c>
      <c r="E9788" s="187">
        <v>18620</v>
      </c>
      <c r="F9788" s="43"/>
      <c r="G9788" s="48">
        <f t="shared" si="244"/>
        <v>325199.10159436404</v>
      </c>
      <c r="H9788" s="389" t="s">
        <v>9567</v>
      </c>
    </row>
    <row r="9789" spans="1:13" x14ac:dyDescent="0.3">
      <c r="A9789" s="45">
        <v>45509</v>
      </c>
      <c r="B9789" s="394" t="s">
        <v>13709</v>
      </c>
      <c r="C9789" s="186" t="s">
        <v>54</v>
      </c>
      <c r="D9789" s="186" t="s">
        <v>13994</v>
      </c>
      <c r="E9789" s="187">
        <v>63650</v>
      </c>
      <c r="F9789" s="43"/>
      <c r="G9789" s="48">
        <f t="shared" si="244"/>
        <v>261549.10159436404</v>
      </c>
      <c r="H9789" s="389" t="s">
        <v>9567</v>
      </c>
    </row>
    <row r="9790" spans="1:13" x14ac:dyDescent="0.3">
      <c r="A9790" s="45">
        <v>45509</v>
      </c>
      <c r="B9790" s="394" t="s">
        <v>13458</v>
      </c>
      <c r="C9790" s="186" t="s">
        <v>54</v>
      </c>
      <c r="D9790" s="186" t="s">
        <v>14151</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5"/>
      <c r="C9792" s="480"/>
      <c r="D9792" s="491" t="s">
        <v>14098</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13709</v>
      </c>
      <c r="C9795" s="5" t="s">
        <v>30</v>
      </c>
      <c r="D9795" s="5" t="s">
        <v>14126</v>
      </c>
      <c r="E9795" s="43">
        <v>1000</v>
      </c>
      <c r="F9795" s="43"/>
      <c r="G9795" s="48">
        <f t="shared" si="244"/>
        <v>1316468.101594364</v>
      </c>
      <c r="H9795" s="389" t="s">
        <v>9567</v>
      </c>
    </row>
    <row r="9796" spans="1:9" x14ac:dyDescent="0.3">
      <c r="A9796" s="45">
        <v>45510</v>
      </c>
      <c r="B9796" s="396" t="s">
        <v>12796</v>
      </c>
      <c r="C9796" s="5" t="s">
        <v>11174</v>
      </c>
      <c r="D9796" s="5" t="s">
        <v>14152</v>
      </c>
      <c r="E9796" s="43">
        <v>13000</v>
      </c>
      <c r="F9796" s="43"/>
      <c r="G9796" s="48">
        <f t="shared" si="244"/>
        <v>1303468.101594364</v>
      </c>
      <c r="H9796" s="389" t="s">
        <v>9567</v>
      </c>
    </row>
    <row r="9797" spans="1:9" x14ac:dyDescent="0.3">
      <c r="A9797" s="45">
        <v>45510</v>
      </c>
      <c r="B9797" s="394" t="s">
        <v>13902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11434</v>
      </c>
      <c r="E9798" s="43">
        <v>1500</v>
      </c>
      <c r="F9798" s="43"/>
      <c r="G9798" s="48">
        <f t="shared" si="244"/>
        <v>1236828.101594364</v>
      </c>
      <c r="H9798" s="389" t="s">
        <v>9567</v>
      </c>
    </row>
    <row r="9799" spans="1:9" x14ac:dyDescent="0.3">
      <c r="A9799" s="45">
        <v>45510</v>
      </c>
      <c r="B9799" s="396" t="s">
        <v>25</v>
      </c>
      <c r="C9799" s="5" t="s">
        <v>25</v>
      </c>
      <c r="D9799" s="5" t="s">
        <v>11434</v>
      </c>
      <c r="E9799" s="43">
        <v>1500</v>
      </c>
      <c r="F9799" s="43"/>
      <c r="G9799" s="48">
        <f t="shared" si="244"/>
        <v>1235328.101594364</v>
      </c>
      <c r="H9799" s="389" t="s">
        <v>9567</v>
      </c>
    </row>
    <row r="9800" spans="1:9" x14ac:dyDescent="0.3">
      <c r="A9800" s="45">
        <v>45510</v>
      </c>
      <c r="B9800" s="394" t="s">
        <v>13458</v>
      </c>
      <c r="C9800" s="186" t="s">
        <v>54</v>
      </c>
      <c r="D9800" s="186" t="s">
        <v>13166</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14153</v>
      </c>
      <c r="E9801" s="43">
        <v>30000</v>
      </c>
      <c r="F9801" s="43"/>
      <c r="G9801" s="48">
        <f t="shared" si="244"/>
        <v>1154348.101594364</v>
      </c>
      <c r="H9801" s="389" t="s">
        <v>9567</v>
      </c>
    </row>
    <row r="9802" spans="1:9" x14ac:dyDescent="0.3">
      <c r="A9802" s="45">
        <v>45510</v>
      </c>
      <c r="B9802" s="396" t="s">
        <v>12230</v>
      </c>
      <c r="C9802" s="5" t="s">
        <v>1616</v>
      </c>
      <c r="D9802" s="5" t="s">
        <v>13974</v>
      </c>
      <c r="E9802" s="43">
        <f>1500+1050</f>
        <v>2550</v>
      </c>
      <c r="F9802" s="43"/>
      <c r="G9802" s="48">
        <f t="shared" si="244"/>
        <v>1151798.101594364</v>
      </c>
      <c r="H9802" s="389" t="s">
        <v>9567</v>
      </c>
    </row>
    <row r="9803" spans="1:9" x14ac:dyDescent="0.3">
      <c r="A9803" s="45">
        <v>45510</v>
      </c>
      <c r="B9803" s="396" t="s">
        <v>13709</v>
      </c>
      <c r="C9803" s="5" t="s">
        <v>30</v>
      </c>
      <c r="D9803" s="5" t="s">
        <v>14126</v>
      </c>
      <c r="E9803" s="43">
        <v>2000</v>
      </c>
      <c r="F9803" s="43"/>
      <c r="G9803" s="48">
        <f t="shared" si="244"/>
        <v>1149798.101594364</v>
      </c>
      <c r="H9803" s="389" t="s">
        <v>9567</v>
      </c>
    </row>
    <row r="9804" spans="1:9" x14ac:dyDescent="0.3">
      <c r="A9804" s="45">
        <v>45510</v>
      </c>
      <c r="B9804" s="394" t="s">
        <v>12611</v>
      </c>
      <c r="C9804" s="186" t="s">
        <v>54</v>
      </c>
      <c r="D9804" s="186" t="s">
        <v>13164</v>
      </c>
      <c r="E9804" s="187">
        <v>865653</v>
      </c>
      <c r="F9804" s="43"/>
      <c r="G9804" s="48">
        <f t="shared" si="244"/>
        <v>284145.10159436404</v>
      </c>
      <c r="H9804" s="389" t="s">
        <v>9567</v>
      </c>
    </row>
    <row r="9805" spans="1:9" x14ac:dyDescent="0.3">
      <c r="A9805" s="45">
        <v>45510</v>
      </c>
      <c r="B9805" s="394" t="s">
        <v>12080</v>
      </c>
      <c r="C9805" s="186" t="s">
        <v>54</v>
      </c>
      <c r="D9805" s="186" t="s">
        <v>12746</v>
      </c>
      <c r="E9805" s="187">
        <v>203198</v>
      </c>
      <c r="F9805" s="43"/>
      <c r="G9805" s="48">
        <f t="shared" si="244"/>
        <v>80947.101594364038</v>
      </c>
      <c r="H9805" s="389" t="s">
        <v>9567</v>
      </c>
    </row>
    <row r="9806" spans="1:9" x14ac:dyDescent="0.3">
      <c r="A9806" s="45">
        <v>45510</v>
      </c>
      <c r="B9806" s="394" t="s">
        <v>13709</v>
      </c>
      <c r="C9806" s="186" t="s">
        <v>54</v>
      </c>
      <c r="D9806" s="186" t="s">
        <v>14154</v>
      </c>
      <c r="E9806" s="187">
        <v>76300</v>
      </c>
      <c r="F9806" s="43"/>
      <c r="G9806" s="48">
        <f t="shared" si="244"/>
        <v>4647.1015943640377</v>
      </c>
      <c r="H9806" s="389" t="s">
        <v>9567</v>
      </c>
    </row>
    <row r="9807" spans="1:9" x14ac:dyDescent="0.3">
      <c r="A9807" s="45">
        <v>45510</v>
      </c>
      <c r="B9807" s="396" t="s">
        <v>13379</v>
      </c>
      <c r="C9807" s="5" t="s">
        <v>26</v>
      </c>
      <c r="D9807" s="5" t="s">
        <v>14155</v>
      </c>
      <c r="E9807" s="43">
        <v>1700</v>
      </c>
      <c r="F9807" s="43"/>
      <c r="G9807" s="48">
        <f t="shared" si="244"/>
        <v>2947.1015943640377</v>
      </c>
      <c r="H9807" s="389" t="s">
        <v>9567</v>
      </c>
    </row>
    <row r="9808" spans="1:9" ht="17.25" customHeight="1" x14ac:dyDescent="0.3">
      <c r="A9808" s="45">
        <v>45510</v>
      </c>
      <c r="B9808" s="565"/>
      <c r="C9808" s="480"/>
      <c r="D9808" s="491" t="s">
        <v>14098</v>
      </c>
      <c r="E9808" s="480"/>
      <c r="F9808" s="43">
        <v>200000</v>
      </c>
      <c r="G9808" s="48">
        <f t="shared" si="244"/>
        <v>202947.10159436404</v>
      </c>
      <c r="H9808" s="389" t="s">
        <v>9567</v>
      </c>
    </row>
    <row r="9809" spans="1:12" x14ac:dyDescent="0.3">
      <c r="A9809" s="45">
        <v>45510</v>
      </c>
      <c r="B9809" s="396" t="s">
        <v>12080</v>
      </c>
      <c r="C9809" s="5" t="s">
        <v>26</v>
      </c>
      <c r="D9809" s="5" t="s">
        <v>14156</v>
      </c>
      <c r="E9809" s="43">
        <v>4000</v>
      </c>
      <c r="F9809" s="43"/>
      <c r="G9809" s="48">
        <f t="shared" si="244"/>
        <v>198947.10159436404</v>
      </c>
      <c r="H9809" s="389" t="s">
        <v>9567</v>
      </c>
    </row>
    <row r="9810" spans="1:12" x14ac:dyDescent="0.3">
      <c r="A9810" s="45">
        <v>45510</v>
      </c>
      <c r="B9810" s="396" t="s">
        <v>14104</v>
      </c>
      <c r="C9810" s="5" t="s">
        <v>5793</v>
      </c>
      <c r="D9810" s="5" t="s">
        <v>40</v>
      </c>
      <c r="E9810" s="43">
        <v>1200</v>
      </c>
      <c r="F9810" s="43"/>
      <c r="G9810" s="48">
        <f t="shared" si="244"/>
        <v>197747.10159436404</v>
      </c>
      <c r="H9810" s="389" t="s">
        <v>9567</v>
      </c>
    </row>
    <row r="9811" spans="1:12" x14ac:dyDescent="0.3">
      <c r="A9811" s="45">
        <v>45510</v>
      </c>
      <c r="B9811" s="396" t="s">
        <v>13138</v>
      </c>
      <c r="C9811" s="5" t="s">
        <v>26</v>
      </c>
      <c r="D9811" s="5" t="s">
        <v>14158</v>
      </c>
      <c r="E9811" s="43">
        <v>1500</v>
      </c>
      <c r="F9811" s="43"/>
      <c r="G9811" s="48">
        <f t="shared" si="244"/>
        <v>196247.10159436404</v>
      </c>
      <c r="H9811" s="389" t="s">
        <v>9567</v>
      </c>
    </row>
    <row r="9812" spans="1:12" x14ac:dyDescent="0.3">
      <c r="A9812" s="45">
        <v>45510</v>
      </c>
      <c r="B9812" s="396" t="s">
        <v>25</v>
      </c>
      <c r="C9812" s="5" t="s">
        <v>26</v>
      </c>
      <c r="D9812" s="5" t="s">
        <v>14159</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12611</v>
      </c>
      <c r="C9814" s="5" t="s">
        <v>64</v>
      </c>
      <c r="D9814" s="5" t="s">
        <v>14160</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12055</v>
      </c>
      <c r="C9816" s="186" t="s">
        <v>54</v>
      </c>
      <c r="D9816" s="186" t="s">
        <v>6236</v>
      </c>
      <c r="E9816" s="187">
        <v>160181</v>
      </c>
      <c r="F9816" s="43"/>
      <c r="G9816" s="48">
        <f t="shared" si="244"/>
        <v>14606.101594364038</v>
      </c>
      <c r="H9816" s="389" t="s">
        <v>9567</v>
      </c>
    </row>
    <row r="9817" spans="1:12" x14ac:dyDescent="0.3">
      <c r="A9817" s="45">
        <v>45511</v>
      </c>
      <c r="B9817" s="396" t="s">
        <v>13902</v>
      </c>
      <c r="C9817" s="5" t="s">
        <v>5793</v>
      </c>
      <c r="D9817" s="5" t="s">
        <v>14029</v>
      </c>
      <c r="E9817" s="43">
        <v>4000</v>
      </c>
      <c r="F9817" s="43"/>
      <c r="G9817" s="48">
        <f t="shared" si="244"/>
        <v>10606.101594364038</v>
      </c>
      <c r="H9817" s="389" t="s">
        <v>9567</v>
      </c>
    </row>
    <row r="9818" spans="1:12" x14ac:dyDescent="0.3">
      <c r="A9818" s="45">
        <v>45511</v>
      </c>
      <c r="B9818" s="396" t="s">
        <v>13833</v>
      </c>
      <c r="C9818" s="5" t="s">
        <v>11174</v>
      </c>
      <c r="D9818" s="5" t="s">
        <v>14165</v>
      </c>
      <c r="E9818" s="43">
        <v>3000</v>
      </c>
      <c r="F9818" s="43"/>
      <c r="G9818" s="48">
        <f t="shared" si="244"/>
        <v>7606.1015943640377</v>
      </c>
      <c r="H9818" s="389" t="s">
        <v>9567</v>
      </c>
      <c r="L9818" s="52"/>
    </row>
    <row r="9819" spans="1:12" x14ac:dyDescent="0.3">
      <c r="A9819" s="45">
        <v>45511</v>
      </c>
      <c r="B9819" s="396" t="s">
        <v>13188</v>
      </c>
      <c r="C9819" s="5" t="s">
        <v>11174</v>
      </c>
      <c r="D9819" s="5" t="s">
        <v>13267</v>
      </c>
      <c r="E9819" s="43">
        <v>1270</v>
      </c>
      <c r="F9819" s="43"/>
      <c r="G9819" s="48">
        <f t="shared" si="244"/>
        <v>6336.1015943640377</v>
      </c>
      <c r="H9819" s="389" t="s">
        <v>9567</v>
      </c>
      <c r="L9819" s="52"/>
    </row>
    <row r="9820" spans="1:12" x14ac:dyDescent="0.3">
      <c r="A9820" s="45">
        <v>45511</v>
      </c>
      <c r="B9820" s="396" t="s">
        <v>13833</v>
      </c>
      <c r="C9820" s="5" t="s">
        <v>11174</v>
      </c>
      <c r="D9820" s="5" t="s">
        <v>14166</v>
      </c>
      <c r="E9820" s="43">
        <v>5660</v>
      </c>
      <c r="F9820" s="43"/>
      <c r="G9820" s="48">
        <f t="shared" si="244"/>
        <v>676.10159436403774</v>
      </c>
      <c r="H9820" s="389" t="s">
        <v>9567</v>
      </c>
      <c r="L9820" s="52"/>
    </row>
    <row r="9821" spans="1:12" x14ac:dyDescent="0.3">
      <c r="A9821" s="45">
        <v>45511</v>
      </c>
      <c r="B9821" s="565"/>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12133</v>
      </c>
      <c r="C9822" s="5" t="s">
        <v>26</v>
      </c>
      <c r="D9822" s="5" t="s">
        <v>14167</v>
      </c>
      <c r="E9822" s="43">
        <v>1000</v>
      </c>
      <c r="F9822" s="43"/>
      <c r="G9822" s="48">
        <f t="shared" si="244"/>
        <v>99676.101594364038</v>
      </c>
      <c r="H9822" s="389" t="s">
        <v>9567</v>
      </c>
      <c r="L9822" s="52">
        <v>1000</v>
      </c>
    </row>
    <row r="9823" spans="1:12" x14ac:dyDescent="0.3">
      <c r="A9823" s="45">
        <v>45511</v>
      </c>
      <c r="B9823" s="394" t="s">
        <v>12133</v>
      </c>
      <c r="C9823" s="186" t="s">
        <v>54</v>
      </c>
      <c r="D9823" s="186" t="s">
        <v>14168</v>
      </c>
      <c r="E9823" s="187">
        <v>36532</v>
      </c>
      <c r="F9823" s="43"/>
      <c r="G9823" s="48">
        <f t="shared" si="244"/>
        <v>63144.101594364038</v>
      </c>
      <c r="H9823" s="389" t="s">
        <v>9567</v>
      </c>
      <c r="L9823" s="52">
        <v>250</v>
      </c>
    </row>
    <row r="9824" spans="1:12" x14ac:dyDescent="0.3">
      <c r="A9824" s="45">
        <v>45511</v>
      </c>
      <c r="B9824" s="396" t="s">
        <v>13981</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5"/>
      <c r="C9825" s="480"/>
      <c r="D9825" s="491" t="s">
        <v>14098</v>
      </c>
      <c r="E9825" s="480"/>
      <c r="F9825" s="43">
        <v>762250</v>
      </c>
      <c r="G9825" s="48">
        <f t="shared" si="244"/>
        <v>821894.10159436404</v>
      </c>
      <c r="H9825" s="389" t="s">
        <v>9567</v>
      </c>
    </row>
    <row r="9826" spans="1:12" x14ac:dyDescent="0.3">
      <c r="A9826" s="45">
        <v>45511</v>
      </c>
      <c r="B9826" s="394" t="s">
        <v>13138</v>
      </c>
      <c r="C9826" s="186" t="s">
        <v>54</v>
      </c>
      <c r="D9826" s="186" t="s">
        <v>14174</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12133</v>
      </c>
      <c r="C9828" s="186" t="s">
        <v>54</v>
      </c>
      <c r="D9828" s="186" t="s">
        <v>14171</v>
      </c>
      <c r="E9828" s="187">
        <f>35500+57661+56109</f>
        <v>149270</v>
      </c>
      <c r="F9828" s="43"/>
      <c r="G9828" s="48">
        <f t="shared" si="244"/>
        <v>609124.10159436404</v>
      </c>
      <c r="H9828" s="389" t="s">
        <v>9567</v>
      </c>
      <c r="L9828" s="52">
        <v>36532</v>
      </c>
    </row>
    <row r="9829" spans="1:12" x14ac:dyDescent="0.3">
      <c r="A9829" s="45">
        <v>45511</v>
      </c>
      <c r="B9829" s="396" t="s">
        <v>12133</v>
      </c>
      <c r="C9829" s="5" t="s">
        <v>9758</v>
      </c>
      <c r="D9829" s="5" t="s">
        <v>14172</v>
      </c>
      <c r="E9829" s="43">
        <v>2250</v>
      </c>
      <c r="F9829" s="43"/>
      <c r="G9829" s="48">
        <f t="shared" si="244"/>
        <v>606874.10159436404</v>
      </c>
      <c r="H9829" s="389" t="s">
        <v>9567</v>
      </c>
      <c r="L9829" s="52">
        <v>25968</v>
      </c>
    </row>
    <row r="9830" spans="1:12" x14ac:dyDescent="0.3">
      <c r="A9830" s="45">
        <v>45511</v>
      </c>
      <c r="B9830" s="396" t="s">
        <v>25</v>
      </c>
      <c r="C9830" s="5" t="s">
        <v>30</v>
      </c>
      <c r="D9830" s="5" t="s">
        <v>14173</v>
      </c>
      <c r="E9830" s="43">
        <v>2000</v>
      </c>
      <c r="F9830" s="43"/>
      <c r="G9830" s="48">
        <f t="shared" si="244"/>
        <v>604874.10159436404</v>
      </c>
      <c r="H9830" s="389" t="s">
        <v>9567</v>
      </c>
      <c r="L9830" s="52">
        <v>3766</v>
      </c>
    </row>
    <row r="9831" spans="1:12" x14ac:dyDescent="0.3">
      <c r="A9831" s="45">
        <v>45511</v>
      </c>
      <c r="B9831" s="394" t="s">
        <v>12133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12556</v>
      </c>
      <c r="E9832" s="187">
        <v>55000</v>
      </c>
      <c r="F9832" s="43"/>
      <c r="G9832" s="48">
        <f t="shared" si="244"/>
        <v>489674.10159436404</v>
      </c>
      <c r="H9832" s="389" t="s">
        <v>9567</v>
      </c>
    </row>
    <row r="9833" spans="1:12" x14ac:dyDescent="0.3">
      <c r="A9833" s="45">
        <v>45511</v>
      </c>
      <c r="B9833" s="396" t="s">
        <v>25</v>
      </c>
      <c r="C9833" s="5" t="s">
        <v>84</v>
      </c>
      <c r="D9833" s="5" t="s">
        <v>14175</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14176</v>
      </c>
      <c r="E9834" s="187">
        <v>7260</v>
      </c>
      <c r="F9834" s="43"/>
      <c r="G9834" s="48">
        <f t="shared" si="244"/>
        <v>457414.10159436404</v>
      </c>
      <c r="H9834" s="389" t="s">
        <v>9567</v>
      </c>
      <c r="L9834" s="93"/>
    </row>
    <row r="9835" spans="1:12" x14ac:dyDescent="0.3">
      <c r="A9835" s="45">
        <v>45511</v>
      </c>
      <c r="B9835" s="396" t="s">
        <v>13833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14183</v>
      </c>
      <c r="E9836" s="187">
        <f>278520-58065</f>
        <v>220455</v>
      </c>
      <c r="F9836" s="43"/>
      <c r="G9836" s="48">
        <f t="shared" si="244"/>
        <v>235959.10159436404</v>
      </c>
      <c r="H9836" s="389" t="s">
        <v>9567</v>
      </c>
    </row>
    <row r="9837" spans="1:12" x14ac:dyDescent="0.3">
      <c r="A9837" s="45">
        <v>45512</v>
      </c>
      <c r="B9837" s="394" t="s">
        <v>12079</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12079</v>
      </c>
      <c r="C9839" s="5" t="s">
        <v>11174</v>
      </c>
      <c r="D9839" s="5" t="s">
        <v>14178</v>
      </c>
      <c r="E9839" s="43">
        <v>300</v>
      </c>
      <c r="F9839" s="43"/>
      <c r="G9839" s="48">
        <f t="shared" si="244"/>
        <v>85109.101594364038</v>
      </c>
      <c r="H9839" s="389" t="s">
        <v>9567</v>
      </c>
    </row>
    <row r="9840" spans="1:12" x14ac:dyDescent="0.3">
      <c r="A9840" s="45">
        <v>45512</v>
      </c>
      <c r="B9840" s="396" t="s">
        <v>13762</v>
      </c>
      <c r="C9840" s="5" t="s">
        <v>9758</v>
      </c>
      <c r="D9840" s="5" t="s">
        <v>13972</v>
      </c>
      <c r="E9840" s="43">
        <v>5000</v>
      </c>
      <c r="F9840" s="43"/>
      <c r="G9840" s="48">
        <f t="shared" si="244"/>
        <v>80109.101594364038</v>
      </c>
      <c r="H9840" s="389" t="s">
        <v>9567</v>
      </c>
    </row>
    <row r="9841" spans="1:10" x14ac:dyDescent="0.3">
      <c r="A9841" s="45">
        <v>45512</v>
      </c>
      <c r="B9841" s="396" t="s">
        <v>13458</v>
      </c>
      <c r="C9841" s="5" t="s">
        <v>11174</v>
      </c>
      <c r="D9841" s="5" t="s">
        <v>14179</v>
      </c>
      <c r="E9841" s="43">
        <v>10450</v>
      </c>
      <c r="F9841" s="43"/>
      <c r="G9841" s="48">
        <f t="shared" si="244"/>
        <v>69659.101594364038</v>
      </c>
      <c r="H9841" s="389" t="s">
        <v>9567</v>
      </c>
    </row>
    <row r="9842" spans="1:10" x14ac:dyDescent="0.3">
      <c r="A9842" s="45">
        <v>45512</v>
      </c>
      <c r="B9842" s="396" t="s">
        <v>13981</v>
      </c>
      <c r="C9842" s="5" t="s">
        <v>11174</v>
      </c>
      <c r="D9842" s="5" t="s">
        <v>14180</v>
      </c>
      <c r="E9842" s="43">
        <v>3300</v>
      </c>
      <c r="F9842" s="43"/>
      <c r="G9842" s="48">
        <f t="shared" ref="G9842:G9906" si="245">G9841+F9842-E9842</f>
        <v>66359.101594364038</v>
      </c>
      <c r="H9842" s="389" t="s">
        <v>9567</v>
      </c>
      <c r="I9842" s="583" t="s">
        <v>12514</v>
      </c>
      <c r="J9842" s="187">
        <v>2945805.2419354836</v>
      </c>
    </row>
    <row r="9843" spans="1:10" x14ac:dyDescent="0.3">
      <c r="A9843" s="45">
        <v>45512</v>
      </c>
      <c r="B9843" s="396" t="s">
        <v>13981</v>
      </c>
      <c r="C9843" s="5" t="s">
        <v>11174</v>
      </c>
      <c r="D9843" s="5" t="s">
        <v>13369</v>
      </c>
      <c r="E9843" s="43">
        <v>300</v>
      </c>
      <c r="F9843" s="43"/>
      <c r="G9843" s="48">
        <f t="shared" si="245"/>
        <v>66059.101594364038</v>
      </c>
      <c r="H9843" s="389" t="s">
        <v>9567</v>
      </c>
      <c r="I9843" s="583"/>
      <c r="J9843" s="187"/>
    </row>
    <row r="9844" spans="1:10" x14ac:dyDescent="0.3">
      <c r="A9844" s="45">
        <v>45512</v>
      </c>
      <c r="B9844" s="396" t="s">
        <v>12133</v>
      </c>
      <c r="C9844" s="5" t="s">
        <v>11174</v>
      </c>
      <c r="D9844" s="5" t="s">
        <v>14182</v>
      </c>
      <c r="E9844" s="43">
        <v>900</v>
      </c>
      <c r="F9844" s="43"/>
      <c r="G9844" s="48">
        <f t="shared" si="245"/>
        <v>65159.101594364038</v>
      </c>
      <c r="H9844" s="389" t="s">
        <v>9567</v>
      </c>
      <c r="I9844" s="583" t="s">
        <v>55</v>
      </c>
      <c r="J9844" s="187">
        <f ca="1">SUMIF(C9754:E9970,"salary",E9754:E9970)</f>
        <v>2791635</v>
      </c>
    </row>
    <row r="9845" spans="1:10" x14ac:dyDescent="0.3">
      <c r="A9845" s="45">
        <v>45512</v>
      </c>
      <c r="B9845" s="396" t="s">
        <v>13709</v>
      </c>
      <c r="C9845" s="5" t="s">
        <v>5793</v>
      </c>
      <c r="D9845" s="5" t="s">
        <v>40</v>
      </c>
      <c r="E9845" s="43">
        <v>2000</v>
      </c>
      <c r="F9845" s="43"/>
      <c r="G9845" s="48">
        <f t="shared" si="245"/>
        <v>63159.101594364038</v>
      </c>
      <c r="H9845" s="389" t="s">
        <v>9567</v>
      </c>
      <c r="I9845" s="583" t="s">
        <v>12233</v>
      </c>
      <c r="J9845" s="187">
        <f ca="1">J9842-J9844</f>
        <v>154170.24193548365</v>
      </c>
    </row>
    <row r="9846" spans="1:10" x14ac:dyDescent="0.3">
      <c r="A9846" s="45">
        <v>45512</v>
      </c>
      <c r="B9846" s="396" t="s">
        <v>12055</v>
      </c>
      <c r="C9846" s="5" t="s">
        <v>26</v>
      </c>
      <c r="D9846" s="5" t="s">
        <v>14181</v>
      </c>
      <c r="E9846" s="43">
        <v>7000</v>
      </c>
      <c r="F9846" s="43"/>
      <c r="G9846" s="48">
        <f t="shared" si="245"/>
        <v>56159.101594364038</v>
      </c>
      <c r="H9846" s="389" t="s">
        <v>9567</v>
      </c>
    </row>
    <row r="9847" spans="1:10" x14ac:dyDescent="0.3">
      <c r="A9847" s="45">
        <v>45512</v>
      </c>
      <c r="B9847" s="396" t="s">
        <v>13981</v>
      </c>
      <c r="C9847" s="5" t="s">
        <v>5793</v>
      </c>
      <c r="D9847" s="5" t="s">
        <v>40</v>
      </c>
      <c r="E9847" s="43">
        <v>900</v>
      </c>
      <c r="F9847" s="43"/>
      <c r="G9847" s="48">
        <f t="shared" si="245"/>
        <v>55259.101594364038</v>
      </c>
      <c r="H9847" s="389" t="s">
        <v>9567</v>
      </c>
      <c r="J9847" s="52">
        <v>2951217</v>
      </c>
    </row>
    <row r="9848" spans="1:10" x14ac:dyDescent="0.3">
      <c r="A9848" s="45">
        <v>45513</v>
      </c>
      <c r="B9848" s="396" t="s">
        <v>13981</v>
      </c>
      <c r="C9848" s="5" t="s">
        <v>5793</v>
      </c>
      <c r="D9848" s="5" t="s">
        <v>40</v>
      </c>
      <c r="E9848" s="43">
        <v>2300</v>
      </c>
      <c r="F9848" s="43"/>
      <c r="G9848" s="48">
        <f t="shared" si="245"/>
        <v>52959.101594364038</v>
      </c>
      <c r="H9848" s="389" t="s">
        <v>9567</v>
      </c>
      <c r="J9848" s="52">
        <v>28000</v>
      </c>
    </row>
    <row r="9849" spans="1:10" x14ac:dyDescent="0.3">
      <c r="A9849" s="45">
        <v>45513</v>
      </c>
      <c r="B9849" s="396" t="s">
        <v>13833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12133</v>
      </c>
      <c r="C9850" s="5" t="s">
        <v>11174</v>
      </c>
      <c r="D9850" s="5" t="s">
        <v>14192</v>
      </c>
      <c r="E9850" s="43">
        <v>26600</v>
      </c>
      <c r="F9850" s="43"/>
      <c r="G9850" s="48">
        <f t="shared" si="245"/>
        <v>24059.101594364038</v>
      </c>
      <c r="H9850" s="389" t="s">
        <v>9567</v>
      </c>
    </row>
    <row r="9851" spans="1:10" x14ac:dyDescent="0.3">
      <c r="A9851" s="45">
        <v>45513</v>
      </c>
      <c r="B9851" s="396" t="s">
        <v>25</v>
      </c>
      <c r="C9851" s="5" t="s">
        <v>25</v>
      </c>
      <c r="D9851" s="5" t="s">
        <v>14186</v>
      </c>
      <c r="E9851" s="43">
        <v>2000</v>
      </c>
      <c r="F9851" s="43"/>
      <c r="G9851" s="48">
        <f t="shared" si="245"/>
        <v>22059.101594364038</v>
      </c>
      <c r="H9851" s="389" t="s">
        <v>9567</v>
      </c>
    </row>
    <row r="9852" spans="1:10" x14ac:dyDescent="0.3">
      <c r="A9852" s="45">
        <v>45513</v>
      </c>
      <c r="B9852" s="396" t="s">
        <v>13709</v>
      </c>
      <c r="C9852" s="5" t="s">
        <v>11174</v>
      </c>
      <c r="D9852" s="5" t="s">
        <v>14184</v>
      </c>
      <c r="E9852" s="43">
        <v>7880</v>
      </c>
      <c r="F9852" s="43"/>
      <c r="G9852" s="48">
        <f t="shared" si="245"/>
        <v>14179.101594364038</v>
      </c>
      <c r="H9852" s="389" t="s">
        <v>9567</v>
      </c>
    </row>
    <row r="9853" spans="1:10" x14ac:dyDescent="0.3">
      <c r="A9853" s="45">
        <v>45513</v>
      </c>
      <c r="B9853" s="396" t="s">
        <v>12133</v>
      </c>
      <c r="C9853" s="5" t="s">
        <v>11174</v>
      </c>
      <c r="D9853" s="5" t="s">
        <v>14185</v>
      </c>
      <c r="E9853" s="43">
        <v>8000</v>
      </c>
      <c r="F9853" s="43"/>
      <c r="G9853" s="48">
        <f t="shared" si="245"/>
        <v>6179.1015943640377</v>
      </c>
      <c r="H9853" s="389" t="s">
        <v>9567</v>
      </c>
    </row>
    <row r="9854" spans="1:10" x14ac:dyDescent="0.3">
      <c r="A9854" s="45">
        <v>45513</v>
      </c>
      <c r="B9854" s="396" t="s">
        <v>14104</v>
      </c>
      <c r="C9854" s="5" t="s">
        <v>11174</v>
      </c>
      <c r="D9854" s="5" t="s">
        <v>14187</v>
      </c>
      <c r="E9854" s="43">
        <v>2250</v>
      </c>
      <c r="F9854" s="43"/>
      <c r="G9854" s="48">
        <f t="shared" si="245"/>
        <v>3929.1015943640377</v>
      </c>
      <c r="H9854" s="389" t="s">
        <v>9567</v>
      </c>
    </row>
    <row r="9855" spans="1:10" x14ac:dyDescent="0.3">
      <c r="A9855" s="45">
        <v>45514</v>
      </c>
      <c r="B9855" s="565"/>
      <c r="C9855" s="480"/>
      <c r="D9855" s="491" t="s">
        <v>14098</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13709</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13833</v>
      </c>
      <c r="C9859" s="5" t="s">
        <v>10695</v>
      </c>
      <c r="D9859" s="5" t="s">
        <v>14189</v>
      </c>
      <c r="E9859" s="43">
        <v>50000</v>
      </c>
      <c r="F9859" s="43"/>
      <c r="G9859" s="48">
        <f t="shared" si="245"/>
        <v>347929.10159436404</v>
      </c>
      <c r="H9859" s="389" t="s">
        <v>9567</v>
      </c>
    </row>
    <row r="9860" spans="1:10" x14ac:dyDescent="0.3">
      <c r="A9860" s="45">
        <v>45514</v>
      </c>
      <c r="B9860" s="394" t="s">
        <v>13833</v>
      </c>
      <c r="C9860" s="186" t="s">
        <v>54</v>
      </c>
      <c r="D9860" s="186" t="s">
        <v>14191</v>
      </c>
      <c r="E9860" s="187">
        <v>70000</v>
      </c>
      <c r="F9860" s="43"/>
      <c r="G9860" s="48">
        <f t="shared" si="245"/>
        <v>277929.10159436404</v>
      </c>
      <c r="H9860" s="389" t="s">
        <v>9567</v>
      </c>
      <c r="J9860" s="52">
        <v>3500</v>
      </c>
    </row>
    <row r="9861" spans="1:10" x14ac:dyDescent="0.3">
      <c r="A9861" s="45">
        <v>45514</v>
      </c>
      <c r="B9861" s="394" t="s">
        <v>14003</v>
      </c>
      <c r="C9861" s="186" t="s">
        <v>54</v>
      </c>
      <c r="D9861" s="186" t="s">
        <v>14190</v>
      </c>
      <c r="E9861" s="187">
        <v>58065</v>
      </c>
      <c r="F9861" s="43"/>
      <c r="G9861" s="48">
        <f t="shared" si="245"/>
        <v>219864.10159436404</v>
      </c>
      <c r="H9861" s="389" t="s">
        <v>9567</v>
      </c>
    </row>
    <row r="9862" spans="1:10" x14ac:dyDescent="0.3">
      <c r="A9862" s="45">
        <v>45514</v>
      </c>
      <c r="B9862" s="394" t="s">
        <v>12055</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13902</v>
      </c>
      <c r="C9863" s="5" t="s">
        <v>30</v>
      </c>
      <c r="D9863" s="5" t="s">
        <v>10629</v>
      </c>
      <c r="E9863" s="43">
        <v>1000</v>
      </c>
      <c r="F9863" s="43"/>
      <c r="G9863" s="48">
        <f t="shared" si="245"/>
        <v>190864.10159436404</v>
      </c>
      <c r="H9863" s="389" t="s">
        <v>9567</v>
      </c>
    </row>
    <row r="9864" spans="1:10" x14ac:dyDescent="0.3">
      <c r="A9864" s="45">
        <v>45514</v>
      </c>
      <c r="B9864" s="396" t="s">
        <v>13981</v>
      </c>
      <c r="C9864" s="5" t="s">
        <v>5793</v>
      </c>
      <c r="D9864" s="5" t="s">
        <v>40</v>
      </c>
      <c r="E9864" s="43">
        <v>1700</v>
      </c>
      <c r="F9864" s="43"/>
      <c r="G9864" s="48">
        <f t="shared" si="245"/>
        <v>189164.10159436404</v>
      </c>
      <c r="H9864" s="389" t="s">
        <v>9567</v>
      </c>
    </row>
    <row r="9865" spans="1:10" x14ac:dyDescent="0.3">
      <c r="A9865" s="45">
        <v>45514</v>
      </c>
      <c r="B9865" s="396" t="s">
        <v>14104</v>
      </c>
      <c r="C9865" s="5" t="s">
        <v>5793</v>
      </c>
      <c r="D9865" s="5" t="s">
        <v>40</v>
      </c>
      <c r="E9865" s="43">
        <v>800</v>
      </c>
      <c r="F9865" s="43"/>
      <c r="G9865" s="48">
        <f t="shared" si="245"/>
        <v>188364.10159436404</v>
      </c>
      <c r="H9865" s="389" t="s">
        <v>9567</v>
      </c>
    </row>
    <row r="9866" spans="1:10" x14ac:dyDescent="0.3">
      <c r="A9866" s="45">
        <v>45514</v>
      </c>
      <c r="B9866" s="396" t="s">
        <v>13321</v>
      </c>
      <c r="C9866" s="5" t="s">
        <v>5793</v>
      </c>
      <c r="D9866" s="5" t="s">
        <v>40</v>
      </c>
      <c r="E9866" s="43">
        <v>500</v>
      </c>
      <c r="F9866" s="43"/>
      <c r="G9866" s="48">
        <f t="shared" si="245"/>
        <v>187864.10159436404</v>
      </c>
      <c r="H9866" s="389" t="s">
        <v>9567</v>
      </c>
    </row>
    <row r="9867" spans="1:10" x14ac:dyDescent="0.3">
      <c r="A9867" s="45">
        <v>45514</v>
      </c>
      <c r="B9867" s="396" t="s">
        <v>13458</v>
      </c>
      <c r="C9867" s="5" t="s">
        <v>14051</v>
      </c>
      <c r="D9867" s="5" t="s">
        <v>14188</v>
      </c>
      <c r="E9867" s="43">
        <v>30000</v>
      </c>
      <c r="F9867" s="43"/>
      <c r="G9867" s="48">
        <f t="shared" si="245"/>
        <v>157864.10159436404</v>
      </c>
      <c r="H9867" s="389" t="s">
        <v>9567</v>
      </c>
    </row>
    <row r="9868" spans="1:10" x14ac:dyDescent="0.3">
      <c r="A9868" s="45">
        <v>45514</v>
      </c>
      <c r="B9868" s="396" t="s">
        <v>13981</v>
      </c>
      <c r="C9868" s="5" t="s">
        <v>14193</v>
      </c>
      <c r="D9868" s="5" t="s">
        <v>14188</v>
      </c>
      <c r="E9868" s="43">
        <v>10000</v>
      </c>
      <c r="F9868" s="43"/>
      <c r="G9868" s="48">
        <f t="shared" si="245"/>
        <v>147864.10159436404</v>
      </c>
      <c r="H9868" s="389" t="s">
        <v>9567</v>
      </c>
    </row>
    <row r="9869" spans="1:10" x14ac:dyDescent="0.3">
      <c r="A9869" s="45">
        <v>45514</v>
      </c>
      <c r="B9869" s="396" t="s">
        <v>13709</v>
      </c>
      <c r="C9869" s="5" t="s">
        <v>5793</v>
      </c>
      <c r="D9869" s="5" t="s">
        <v>14078</v>
      </c>
      <c r="E9869" s="43">
        <v>800</v>
      </c>
      <c r="F9869" s="43"/>
      <c r="G9869" s="48">
        <f t="shared" si="245"/>
        <v>147064.10159436404</v>
      </c>
      <c r="H9869" s="389" t="s">
        <v>9567</v>
      </c>
    </row>
    <row r="9870" spans="1:10" x14ac:dyDescent="0.3">
      <c r="A9870" s="45">
        <v>45514</v>
      </c>
      <c r="B9870" s="396" t="s">
        <v>13981</v>
      </c>
      <c r="C9870" s="5" t="s">
        <v>26</v>
      </c>
      <c r="D9870" s="5" t="s">
        <v>14194</v>
      </c>
      <c r="E9870" s="43">
        <v>200</v>
      </c>
      <c r="F9870" s="43"/>
      <c r="G9870" s="48">
        <f t="shared" si="245"/>
        <v>146864.10159436404</v>
      </c>
      <c r="H9870" s="389" t="s">
        <v>9567</v>
      </c>
    </row>
    <row r="9871" spans="1:10" x14ac:dyDescent="0.3">
      <c r="A9871" s="45">
        <v>45514</v>
      </c>
      <c r="B9871" s="396" t="s">
        <v>13902</v>
      </c>
      <c r="C9871" s="5" t="s">
        <v>5793</v>
      </c>
      <c r="D9871" s="5" t="s">
        <v>40</v>
      </c>
      <c r="E9871" s="43">
        <v>500</v>
      </c>
      <c r="F9871" s="43"/>
      <c r="G9871" s="48">
        <f t="shared" si="245"/>
        <v>146364.10159436404</v>
      </c>
      <c r="H9871" s="389" t="s">
        <v>9567</v>
      </c>
    </row>
    <row r="9872" spans="1:10" x14ac:dyDescent="0.3">
      <c r="A9872" s="45">
        <v>45514</v>
      </c>
      <c r="B9872" s="394" t="s">
        <v>12086</v>
      </c>
      <c r="C9872" s="186" t="s">
        <v>54</v>
      </c>
      <c r="D9872" s="186" t="s">
        <v>14197</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13833</v>
      </c>
      <c r="C9874" s="5" t="s">
        <v>11174</v>
      </c>
      <c r="D9874" s="5" t="s">
        <v>14208</v>
      </c>
      <c r="E9874" s="43">
        <v>9000</v>
      </c>
      <c r="F9874" s="43"/>
      <c r="G9874" s="48">
        <f t="shared" si="245"/>
        <v>116764.10159436404</v>
      </c>
      <c r="H9874" s="389" t="s">
        <v>9567</v>
      </c>
      <c r="J9874" s="52">
        <v>90</v>
      </c>
    </row>
    <row r="9875" spans="1:10" x14ac:dyDescent="0.3">
      <c r="A9875" s="45">
        <v>45516</v>
      </c>
      <c r="B9875" s="396" t="s">
        <v>13981</v>
      </c>
      <c r="C9875" s="5" t="s">
        <v>11174</v>
      </c>
      <c r="D9875" s="5" t="s">
        <v>14204</v>
      </c>
      <c r="E9875" s="43">
        <v>18200</v>
      </c>
      <c r="F9875" s="43"/>
      <c r="G9875" s="48">
        <f t="shared" si="245"/>
        <v>98564.101594364038</v>
      </c>
      <c r="H9875" s="389" t="s">
        <v>9567</v>
      </c>
      <c r="J9875" s="52">
        <f>SUM(J9872:J9874)</f>
        <v>22330</v>
      </c>
    </row>
    <row r="9876" spans="1:10" x14ac:dyDescent="0.3">
      <c r="A9876" s="45">
        <v>45516</v>
      </c>
      <c r="B9876" s="396" t="s">
        <v>13458</v>
      </c>
      <c r="C9876" s="5" t="s">
        <v>11174</v>
      </c>
      <c r="D9876" s="5" t="s">
        <v>14205</v>
      </c>
      <c r="E9876" s="43">
        <v>3000</v>
      </c>
      <c r="F9876" s="43"/>
      <c r="G9876" s="48">
        <f t="shared" si="245"/>
        <v>95564.101594364038</v>
      </c>
      <c r="H9876" s="389" t="s">
        <v>9567</v>
      </c>
    </row>
    <row r="9877" spans="1:10" x14ac:dyDescent="0.3">
      <c r="A9877" s="45">
        <v>45516</v>
      </c>
      <c r="B9877" s="396" t="s">
        <v>13458</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12133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13580</v>
      </c>
      <c r="E9880" s="43">
        <v>10000</v>
      </c>
      <c r="F9880" s="43"/>
      <c r="G9880" s="48">
        <f t="shared" si="245"/>
        <v>76564.101594364038</v>
      </c>
      <c r="H9880" s="389" t="s">
        <v>9567</v>
      </c>
    </row>
    <row r="9881" spans="1:10" x14ac:dyDescent="0.3">
      <c r="A9881" s="45">
        <v>45516</v>
      </c>
      <c r="B9881" s="396" t="s">
        <v>13902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12215</v>
      </c>
      <c r="E9882" s="43">
        <v>52562</v>
      </c>
      <c r="F9882" s="43"/>
      <c r="G9882" s="48">
        <f t="shared" si="245"/>
        <v>20502.101594364038</v>
      </c>
      <c r="H9882" s="389" t="s">
        <v>9567</v>
      </c>
    </row>
    <row r="9883" spans="1:10" x14ac:dyDescent="0.3">
      <c r="A9883" s="45">
        <v>45516</v>
      </c>
      <c r="B9883" s="394" t="s">
        <v>12133</v>
      </c>
      <c r="C9883" s="186" t="s">
        <v>54</v>
      </c>
      <c r="D9883" s="186" t="s">
        <v>14202</v>
      </c>
      <c r="E9883" s="187">
        <v>4400</v>
      </c>
      <c r="F9883" s="43"/>
      <c r="G9883" s="48">
        <f t="shared" si="245"/>
        <v>16102.101594364038</v>
      </c>
      <c r="H9883" s="389" t="s">
        <v>9567</v>
      </c>
    </row>
    <row r="9884" spans="1:10" x14ac:dyDescent="0.3">
      <c r="A9884" s="45">
        <v>45516</v>
      </c>
      <c r="B9884" s="396" t="s">
        <v>13709</v>
      </c>
      <c r="C9884" s="5" t="s">
        <v>11174</v>
      </c>
      <c r="D9884" s="5" t="s">
        <v>14203</v>
      </c>
      <c r="E9884" s="43">
        <f>3480+360</f>
        <v>3840</v>
      </c>
      <c r="F9884" s="43"/>
      <c r="G9884" s="48">
        <f t="shared" si="245"/>
        <v>12262.101594364038</v>
      </c>
      <c r="H9884" s="389" t="s">
        <v>9567</v>
      </c>
    </row>
    <row r="9885" spans="1:10" x14ac:dyDescent="0.3">
      <c r="A9885" s="45">
        <v>45516</v>
      </c>
      <c r="B9885" s="396" t="s">
        <v>13902</v>
      </c>
      <c r="C9885" s="5" t="s">
        <v>5793</v>
      </c>
      <c r="D9885" s="5" t="s">
        <v>8924</v>
      </c>
      <c r="E9885" s="43">
        <v>350</v>
      </c>
      <c r="F9885" s="43"/>
      <c r="G9885" s="48">
        <f t="shared" si="245"/>
        <v>11912.101594364038</v>
      </c>
      <c r="H9885" s="389" t="s">
        <v>9567</v>
      </c>
    </row>
    <row r="9886" spans="1:10" x14ac:dyDescent="0.3">
      <c r="A9886" s="45">
        <v>45517</v>
      </c>
      <c r="B9886" s="396" t="s">
        <v>13902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12055</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14213</v>
      </c>
      <c r="E9889" s="43">
        <v>1000</v>
      </c>
      <c r="F9889" s="43"/>
      <c r="G9889" s="48">
        <f t="shared" si="245"/>
        <v>2462.1015943640377</v>
      </c>
      <c r="H9889" s="389" t="s">
        <v>9567</v>
      </c>
      <c r="J9889" s="52">
        <f>J9888*5%</f>
        <v>7000000</v>
      </c>
    </row>
    <row r="9890" spans="1:10" x14ac:dyDescent="0.3">
      <c r="A9890" s="45">
        <v>45517</v>
      </c>
      <c r="B9890" s="396" t="s">
        <v>25</v>
      </c>
      <c r="C9890" s="5" t="s">
        <v>25</v>
      </c>
      <c r="D9890" s="5" t="s">
        <v>14214</v>
      </c>
      <c r="E9890" s="43">
        <v>500</v>
      </c>
      <c r="F9890" s="43"/>
      <c r="G9890" s="48">
        <f t="shared" si="245"/>
        <v>1962.1015943640377</v>
      </c>
      <c r="H9890" s="389" t="s">
        <v>9567</v>
      </c>
    </row>
    <row r="9891" spans="1:10" x14ac:dyDescent="0.3">
      <c r="A9891" s="45">
        <v>45519</v>
      </c>
      <c r="B9891" s="396" t="s">
        <v>25</v>
      </c>
      <c r="C9891" s="5" t="s">
        <v>25</v>
      </c>
      <c r="D9891" s="5" t="s">
        <v>14216</v>
      </c>
      <c r="E9891" s="43">
        <v>1000</v>
      </c>
      <c r="F9891" s="43"/>
      <c r="G9891" s="48">
        <f t="shared" si="245"/>
        <v>962.10159436403774</v>
      </c>
      <c r="H9891" s="389" t="s">
        <v>9567</v>
      </c>
    </row>
    <row r="9892" spans="1:10" x14ac:dyDescent="0.3">
      <c r="A9892" s="45">
        <v>45519</v>
      </c>
      <c r="B9892" s="565"/>
      <c r="C9892" s="480"/>
      <c r="D9892" s="491" t="s">
        <v>14098</v>
      </c>
      <c r="E9892" s="480"/>
      <c r="F9892" s="43">
        <v>850000</v>
      </c>
      <c r="G9892" s="48">
        <f t="shared" si="245"/>
        <v>850962.10159436404</v>
      </c>
      <c r="H9892" s="389" t="s">
        <v>9567</v>
      </c>
    </row>
    <row r="9893" spans="1:10" x14ac:dyDescent="0.3">
      <c r="A9893" s="45">
        <v>45520</v>
      </c>
      <c r="B9893" s="396" t="s">
        <v>13709</v>
      </c>
      <c r="C9893" s="5" t="s">
        <v>18</v>
      </c>
      <c r="D9893" s="5" t="s">
        <v>5813</v>
      </c>
      <c r="E9893" s="43">
        <v>5000</v>
      </c>
      <c r="F9893" s="43"/>
      <c r="G9893" s="48">
        <f t="shared" si="245"/>
        <v>845962.10159436404</v>
      </c>
      <c r="H9893" s="389" t="s">
        <v>9567</v>
      </c>
    </row>
    <row r="9894" spans="1:10" x14ac:dyDescent="0.3">
      <c r="A9894" s="45">
        <v>45520</v>
      </c>
      <c r="B9894" s="396" t="s">
        <v>13709</v>
      </c>
      <c r="C9894" s="5" t="s">
        <v>11174</v>
      </c>
      <c r="D9894" s="5" t="s">
        <v>14220</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12611</v>
      </c>
      <c r="C9896" s="5" t="s">
        <v>84</v>
      </c>
      <c r="D9896" s="5" t="s">
        <v>14221</v>
      </c>
      <c r="E9896" s="43">
        <v>2000</v>
      </c>
      <c r="F9896" s="43"/>
      <c r="G9896" s="48">
        <f t="shared" si="245"/>
        <v>834962.10159436404</v>
      </c>
      <c r="H9896" s="389" t="s">
        <v>9567</v>
      </c>
    </row>
    <row r="9897" spans="1:10" x14ac:dyDescent="0.3">
      <c r="A9897" s="45">
        <v>45520</v>
      </c>
      <c r="B9897" s="396" t="s">
        <v>13902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14222</v>
      </c>
      <c r="E9898" s="43">
        <v>5000</v>
      </c>
      <c r="F9898" s="43"/>
      <c r="G9898" s="48">
        <f t="shared" si="245"/>
        <v>826962.10159436404</v>
      </c>
      <c r="H9898" s="389" t="s">
        <v>9567</v>
      </c>
    </row>
    <row r="9899" spans="1:10" x14ac:dyDescent="0.3">
      <c r="A9899" s="45">
        <v>45520</v>
      </c>
      <c r="B9899" s="396" t="s">
        <v>13833</v>
      </c>
      <c r="C9899" s="5" t="s">
        <v>11174</v>
      </c>
      <c r="D9899" s="5" t="s">
        <v>14223</v>
      </c>
      <c r="E9899" s="43">
        <v>2300</v>
      </c>
      <c r="F9899" s="43"/>
      <c r="G9899" s="48">
        <f t="shared" si="245"/>
        <v>824662.10159436404</v>
      </c>
      <c r="H9899" s="389" t="s">
        <v>9567</v>
      </c>
    </row>
    <row r="9900" spans="1:10" x14ac:dyDescent="0.3">
      <c r="A9900" s="45">
        <v>45520</v>
      </c>
      <c r="B9900" s="396" t="s">
        <v>25</v>
      </c>
      <c r="C9900" s="5" t="s">
        <v>84</v>
      </c>
      <c r="D9900" s="5" t="s">
        <v>14224</v>
      </c>
      <c r="E9900" s="43">
        <v>5000</v>
      </c>
      <c r="F9900" s="43"/>
      <c r="G9900" s="48">
        <f t="shared" si="245"/>
        <v>819662.10159436404</v>
      </c>
      <c r="H9900" s="389" t="s">
        <v>9567</v>
      </c>
    </row>
    <row r="9901" spans="1:10" x14ac:dyDescent="0.3">
      <c r="A9901" s="45">
        <v>45520</v>
      </c>
      <c r="B9901" s="396" t="s">
        <v>13709</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14225</v>
      </c>
      <c r="E9902" s="43">
        <v>2000</v>
      </c>
      <c r="F9902" s="43"/>
      <c r="G9902" s="48">
        <f t="shared" si="245"/>
        <v>815262.10159436404</v>
      </c>
      <c r="H9902" s="389" t="s">
        <v>9567</v>
      </c>
    </row>
    <row r="9903" spans="1:10" x14ac:dyDescent="0.3">
      <c r="A9903" s="45">
        <v>45521</v>
      </c>
      <c r="B9903" s="396" t="s">
        <v>13709</v>
      </c>
      <c r="C9903" s="5" t="s">
        <v>11174</v>
      </c>
      <c r="D9903" s="5" t="s">
        <v>14220</v>
      </c>
      <c r="E9903" s="43">
        <v>3000</v>
      </c>
      <c r="F9903" s="43"/>
      <c r="G9903" s="48">
        <f t="shared" si="245"/>
        <v>812262.10159436404</v>
      </c>
      <c r="H9903" s="389" t="s">
        <v>9567</v>
      </c>
    </row>
    <row r="9904" spans="1:10" x14ac:dyDescent="0.3">
      <c r="A9904" s="45">
        <v>45521</v>
      </c>
      <c r="B9904" s="396" t="s">
        <v>12053</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13379</v>
      </c>
      <c r="C9906" s="5" t="s">
        <v>11174</v>
      </c>
      <c r="D9906" s="5" t="s">
        <v>14229</v>
      </c>
      <c r="E9906" s="43">
        <v>11200</v>
      </c>
      <c r="F9906" s="43"/>
      <c r="G9906" s="48">
        <f t="shared" si="245"/>
        <v>797062.10159436404</v>
      </c>
      <c r="H9906" s="389" t="s">
        <v>9567</v>
      </c>
    </row>
    <row r="9907" spans="1:10" x14ac:dyDescent="0.3">
      <c r="A9907" s="45">
        <v>45521</v>
      </c>
      <c r="B9907" s="396" t="s">
        <v>13902</v>
      </c>
      <c r="C9907" s="5" t="s">
        <v>11174</v>
      </c>
      <c r="D9907" s="5" t="s">
        <v>14229</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13833</v>
      </c>
      <c r="C9909" s="5" t="s">
        <v>5793</v>
      </c>
      <c r="D9909" s="5" t="s">
        <v>14237</v>
      </c>
      <c r="E9909" s="43">
        <v>2000</v>
      </c>
      <c r="F9909" s="43"/>
      <c r="G9909" s="48">
        <f t="shared" si="246"/>
        <v>739562.10159436404</v>
      </c>
      <c r="H9909" s="389" t="s">
        <v>9567</v>
      </c>
    </row>
    <row r="9910" spans="1:10" x14ac:dyDescent="0.3">
      <c r="A9910" s="45">
        <v>45523</v>
      </c>
      <c r="B9910" s="396" t="s">
        <v>12133</v>
      </c>
      <c r="C9910" s="5" t="s">
        <v>11174</v>
      </c>
      <c r="D9910" s="5" t="s">
        <v>14256</v>
      </c>
      <c r="E9910" s="43">
        <v>41000</v>
      </c>
      <c r="F9910" s="43"/>
      <c r="G9910" s="48">
        <f t="shared" ref="G9910:G9916" si="247">G9909+F9910-E9910</f>
        <v>698562.10159436404</v>
      </c>
      <c r="H9910" s="389" t="s">
        <v>9567</v>
      </c>
    </row>
    <row r="9911" spans="1:10" x14ac:dyDescent="0.3">
      <c r="A9911" s="45">
        <v>45523</v>
      </c>
      <c r="B9911" s="396" t="s">
        <v>13902</v>
      </c>
      <c r="C9911" s="5" t="s">
        <v>11174</v>
      </c>
      <c r="D9911" s="5" t="s">
        <v>14238</v>
      </c>
      <c r="E9911" s="43">
        <v>2800</v>
      </c>
      <c r="F9911" s="43"/>
      <c r="G9911" s="48">
        <f t="shared" si="247"/>
        <v>695762.10159436404</v>
      </c>
      <c r="H9911" s="389" t="s">
        <v>9567</v>
      </c>
    </row>
    <row r="9912" spans="1:10" x14ac:dyDescent="0.3">
      <c r="A9912" s="45">
        <v>45523</v>
      </c>
      <c r="B9912" s="396" t="s">
        <v>12133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14231</v>
      </c>
      <c r="E9913" s="43">
        <v>1500</v>
      </c>
      <c r="F9913" s="43"/>
      <c r="G9913" s="48">
        <f t="shared" si="247"/>
        <v>693262.10159436404</v>
      </c>
      <c r="H9913" s="389" t="s">
        <v>9567</v>
      </c>
    </row>
    <row r="9914" spans="1:10" x14ac:dyDescent="0.3">
      <c r="A9914" s="45">
        <v>45523</v>
      </c>
      <c r="B9914" s="396" t="s">
        <v>12133</v>
      </c>
      <c r="C9914" s="5" t="s">
        <v>5793</v>
      </c>
      <c r="D9914" s="5" t="s">
        <v>40</v>
      </c>
      <c r="E9914" s="43">
        <f>2100</f>
        <v>2100</v>
      </c>
      <c r="F9914" s="43"/>
      <c r="G9914" s="48">
        <f t="shared" si="247"/>
        <v>691162.10159436404</v>
      </c>
      <c r="H9914" s="389" t="s">
        <v>9567</v>
      </c>
    </row>
    <row r="9915" spans="1:10" x14ac:dyDescent="0.3">
      <c r="A9915" s="45">
        <v>45523</v>
      </c>
      <c r="B9915" s="396" t="s">
        <v>13833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14232</v>
      </c>
      <c r="E9916" s="43">
        <v>1500</v>
      </c>
      <c r="F9916" s="43"/>
      <c r="G9916" s="48">
        <f t="shared" si="247"/>
        <v>687562.10159436404</v>
      </c>
      <c r="H9916" s="389" t="s">
        <v>9567</v>
      </c>
    </row>
    <row r="9917" spans="1:10" x14ac:dyDescent="0.3">
      <c r="A9917" s="45">
        <v>45523</v>
      </c>
      <c r="B9917" s="396" t="s">
        <v>25</v>
      </c>
      <c r="C9917" s="5" t="s">
        <v>25</v>
      </c>
      <c r="D9917" s="5" t="s">
        <v>14233</v>
      </c>
      <c r="E9917" s="43">
        <v>1050</v>
      </c>
      <c r="F9917" s="43"/>
      <c r="G9917" s="48">
        <f t="shared" si="246"/>
        <v>686512.10159436404</v>
      </c>
      <c r="H9917" s="389" t="s">
        <v>9567</v>
      </c>
      <c r="J9917" s="52">
        <v>41000</v>
      </c>
    </row>
    <row r="9918" spans="1:10" x14ac:dyDescent="0.3">
      <c r="A9918" s="45">
        <v>45523</v>
      </c>
      <c r="B9918" s="396" t="s">
        <v>13458</v>
      </c>
      <c r="C9918" s="5" t="s">
        <v>5793</v>
      </c>
      <c r="D9918" s="5" t="s">
        <v>40</v>
      </c>
      <c r="E9918" s="43">
        <v>1000</v>
      </c>
      <c r="F9918" s="43"/>
      <c r="G9918" s="48">
        <f t="shared" si="246"/>
        <v>685512.10159436404</v>
      </c>
      <c r="H9918" s="389" t="s">
        <v>9567</v>
      </c>
      <c r="J9918" s="52">
        <v>2000</v>
      </c>
    </row>
    <row r="9919" spans="1:10" x14ac:dyDescent="0.3">
      <c r="A9919" s="45">
        <v>45523</v>
      </c>
      <c r="B9919" s="396" t="s">
        <v>13709</v>
      </c>
      <c r="C9919" s="5" t="s">
        <v>84</v>
      </c>
      <c r="D9919" s="5" t="s">
        <v>14235</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14225</v>
      </c>
      <c r="E9920" s="43">
        <v>2000</v>
      </c>
      <c r="F9920" s="43"/>
      <c r="G9920" s="48">
        <f t="shared" si="248"/>
        <v>678512.10159436404</v>
      </c>
      <c r="H9920" s="389" t="s">
        <v>9567</v>
      </c>
      <c r="J9920" s="52">
        <f>SUM(J9917:J9919)</f>
        <v>45800</v>
      </c>
    </row>
    <row r="9921" spans="1:10" x14ac:dyDescent="0.3">
      <c r="A9921" s="45">
        <v>45523</v>
      </c>
      <c r="B9921" s="396" t="s">
        <v>13138</v>
      </c>
      <c r="C9921" s="5" t="s">
        <v>84</v>
      </c>
      <c r="D9921" s="5" t="s">
        <v>14236</v>
      </c>
      <c r="E9921" s="43">
        <v>10000</v>
      </c>
      <c r="F9921" s="43"/>
      <c r="G9921" s="48">
        <f t="shared" si="248"/>
        <v>668512.10159436404</v>
      </c>
      <c r="H9921" s="389" t="s">
        <v>9567</v>
      </c>
      <c r="J9921" s="52">
        <f>J9920-50000</f>
        <v>-4200</v>
      </c>
    </row>
    <row r="9922" spans="1:10" x14ac:dyDescent="0.3">
      <c r="A9922" s="45">
        <v>45523</v>
      </c>
      <c r="B9922" s="396" t="s">
        <v>12133</v>
      </c>
      <c r="C9922" s="5" t="s">
        <v>84</v>
      </c>
      <c r="D9922" s="5" t="s">
        <v>14240</v>
      </c>
      <c r="E9922" s="43">
        <v>5000</v>
      </c>
      <c r="F9922" s="43"/>
      <c r="G9922" s="48">
        <f t="shared" si="248"/>
        <v>663512.10159436404</v>
      </c>
      <c r="H9922" s="389" t="s">
        <v>9567</v>
      </c>
    </row>
    <row r="9923" spans="1:10" x14ac:dyDescent="0.3">
      <c r="A9923" s="45">
        <v>45523</v>
      </c>
      <c r="B9923" s="565"/>
      <c r="C9923" s="480"/>
      <c r="D9923" s="491" t="s">
        <v>14242</v>
      </c>
      <c r="E9923" s="480"/>
      <c r="F9923" s="43">
        <v>50000</v>
      </c>
      <c r="G9923" s="48">
        <f t="shared" si="248"/>
        <v>713512.10159436404</v>
      </c>
      <c r="H9923" s="389" t="s">
        <v>9567</v>
      </c>
    </row>
    <row r="9924" spans="1:10" x14ac:dyDescent="0.3">
      <c r="A9924" s="45">
        <v>45524</v>
      </c>
      <c r="B9924" s="396" t="s">
        <v>13379</v>
      </c>
      <c r="C9924" s="5" t="s">
        <v>5793</v>
      </c>
      <c r="D9924" s="5" t="s">
        <v>40</v>
      </c>
      <c r="E9924" s="43">
        <v>2500</v>
      </c>
      <c r="F9924" s="43"/>
      <c r="G9924" s="48">
        <f t="shared" si="248"/>
        <v>711012.10159436404</v>
      </c>
      <c r="H9924" s="389" t="s">
        <v>9567</v>
      </c>
    </row>
    <row r="9925" spans="1:10" x14ac:dyDescent="0.3">
      <c r="A9925" s="45">
        <v>45524</v>
      </c>
      <c r="B9925" s="396" t="s">
        <v>13709</v>
      </c>
      <c r="C9925" s="5" t="s">
        <v>26</v>
      </c>
      <c r="D9925" s="5" t="s">
        <v>11536</v>
      </c>
      <c r="E9925" s="43">
        <v>1250</v>
      </c>
      <c r="F9925" s="43"/>
      <c r="G9925" s="48">
        <f t="shared" si="248"/>
        <v>709762.10159436404</v>
      </c>
      <c r="H9925" s="389" t="s">
        <v>9567</v>
      </c>
    </row>
    <row r="9926" spans="1:10" x14ac:dyDescent="0.3">
      <c r="A9926" s="45">
        <v>45524</v>
      </c>
      <c r="B9926" s="396" t="s">
        <v>12055</v>
      </c>
      <c r="C9926" s="5" t="s">
        <v>9451</v>
      </c>
      <c r="D9926" s="5" t="s">
        <v>14243</v>
      </c>
      <c r="E9926" s="43">
        <v>6000</v>
      </c>
      <c r="F9926" s="43"/>
      <c r="G9926" s="48">
        <f t="shared" si="248"/>
        <v>703762.10159436404</v>
      </c>
      <c r="H9926" s="389" t="s">
        <v>9567</v>
      </c>
    </row>
    <row r="9927" spans="1:10" x14ac:dyDescent="0.3">
      <c r="A9927" s="45">
        <v>45524</v>
      </c>
      <c r="B9927" s="396" t="s">
        <v>12055</v>
      </c>
      <c r="C9927" s="5" t="s">
        <v>11174</v>
      </c>
      <c r="D9927" s="5" t="s">
        <v>14244</v>
      </c>
      <c r="E9927" s="43">
        <v>1000</v>
      </c>
      <c r="F9927" s="43"/>
      <c r="G9927" s="48">
        <f t="shared" si="248"/>
        <v>702762.10159436404</v>
      </c>
      <c r="H9927" s="389" t="s">
        <v>9567</v>
      </c>
    </row>
    <row r="9928" spans="1:10" x14ac:dyDescent="0.3">
      <c r="A9928" s="45">
        <v>45524</v>
      </c>
      <c r="B9928" s="396" t="s">
        <v>13981</v>
      </c>
      <c r="C9928" s="5" t="s">
        <v>11174</v>
      </c>
      <c r="D9928" s="5" t="s">
        <v>14245</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12230</v>
      </c>
      <c r="C9931" s="5" t="s">
        <v>1074</v>
      </c>
      <c r="D9931" s="5" t="s">
        <v>6280</v>
      </c>
      <c r="E9931" s="43">
        <v>1230</v>
      </c>
      <c r="F9931" s="43"/>
      <c r="G9931" s="48">
        <f t="shared" si="248"/>
        <v>428632.10159436404</v>
      </c>
      <c r="H9931" s="389" t="s">
        <v>9567</v>
      </c>
    </row>
    <row r="9932" spans="1:10" x14ac:dyDescent="0.3">
      <c r="A9932" s="45">
        <v>45524</v>
      </c>
      <c r="B9932" s="396" t="s">
        <v>13709</v>
      </c>
      <c r="C9932" s="5" t="s">
        <v>84</v>
      </c>
      <c r="D9932" s="5" t="s">
        <v>14247</v>
      </c>
      <c r="E9932" s="43">
        <v>10000</v>
      </c>
      <c r="F9932" s="43"/>
      <c r="G9932" s="48">
        <f t="shared" si="248"/>
        <v>418632.10159436404</v>
      </c>
      <c r="H9932" s="389" t="s">
        <v>9567</v>
      </c>
    </row>
    <row r="9933" spans="1:10" x14ac:dyDescent="0.3">
      <c r="A9933" s="45">
        <v>45524</v>
      </c>
      <c r="B9933" s="396" t="s">
        <v>14248</v>
      </c>
      <c r="C9933" s="5" t="s">
        <v>5793</v>
      </c>
      <c r="D9933" s="5" t="s">
        <v>14249</v>
      </c>
      <c r="E9933" s="43">
        <v>500</v>
      </c>
      <c r="F9933" s="43"/>
      <c r="G9933" s="48">
        <f t="shared" si="248"/>
        <v>418132.10159436404</v>
      </c>
      <c r="H9933" s="389" t="s">
        <v>9567</v>
      </c>
    </row>
    <row r="9934" spans="1:10" x14ac:dyDescent="0.3">
      <c r="A9934" s="45">
        <v>45524</v>
      </c>
      <c r="B9934" s="396" t="s">
        <v>13902</v>
      </c>
      <c r="C9934" s="5" t="s">
        <v>5793</v>
      </c>
      <c r="D9934" s="5" t="s">
        <v>40</v>
      </c>
      <c r="E9934" s="43">
        <v>400</v>
      </c>
      <c r="F9934" s="43"/>
      <c r="G9934" s="48">
        <f t="shared" si="248"/>
        <v>417732.10159436404</v>
      </c>
      <c r="H9934" s="389" t="s">
        <v>9567</v>
      </c>
    </row>
    <row r="9935" spans="1:10" x14ac:dyDescent="0.3">
      <c r="A9935" s="45">
        <v>45525</v>
      </c>
      <c r="B9935" s="396" t="s">
        <v>13902</v>
      </c>
      <c r="C9935" s="5" t="s">
        <v>5793</v>
      </c>
      <c r="D9935" s="5" t="s">
        <v>40</v>
      </c>
      <c r="E9935" s="43">
        <v>500</v>
      </c>
      <c r="F9935" s="43"/>
      <c r="G9935" s="48">
        <f t="shared" si="248"/>
        <v>417232.10159436404</v>
      </c>
      <c r="H9935" s="389" t="s">
        <v>9567</v>
      </c>
    </row>
    <row r="9936" spans="1:10" x14ac:dyDescent="0.3">
      <c r="A9936" s="45">
        <v>45525</v>
      </c>
      <c r="B9936" s="396" t="s">
        <v>14248</v>
      </c>
      <c r="C9936" s="5" t="s">
        <v>11174</v>
      </c>
      <c r="D9936" s="5" t="s">
        <v>14251</v>
      </c>
      <c r="E9936" s="43">
        <v>5000</v>
      </c>
      <c r="F9936" s="43"/>
      <c r="G9936" s="48">
        <f t="shared" si="248"/>
        <v>412232.10159436404</v>
      </c>
      <c r="H9936" s="389" t="s">
        <v>9567</v>
      </c>
    </row>
    <row r="9937" spans="1:8" x14ac:dyDescent="0.3">
      <c r="A9937" s="45">
        <v>45525</v>
      </c>
      <c r="B9937" s="396"/>
      <c r="C9937" s="5" t="s">
        <v>68</v>
      </c>
      <c r="D9937" s="5" t="s">
        <v>14255</v>
      </c>
      <c r="E9937" s="43">
        <v>7400</v>
      </c>
      <c r="F9937" s="43"/>
      <c r="G9937" s="48">
        <f t="shared" si="248"/>
        <v>404832.10159436404</v>
      </c>
      <c r="H9937" s="389" t="s">
        <v>9567</v>
      </c>
    </row>
    <row r="9938" spans="1:8" x14ac:dyDescent="0.3">
      <c r="A9938" s="45">
        <v>45525</v>
      </c>
      <c r="B9938" s="396" t="s">
        <v>12133</v>
      </c>
      <c r="C9938" s="5" t="s">
        <v>68</v>
      </c>
      <c r="D9938" s="5" t="s">
        <v>14254</v>
      </c>
      <c r="E9938" s="43">
        <v>11000</v>
      </c>
      <c r="F9938" s="43"/>
      <c r="G9938" s="48">
        <f t="shared" si="248"/>
        <v>393832.10159436404</v>
      </c>
      <c r="H9938" s="389" t="s">
        <v>9567</v>
      </c>
    </row>
    <row r="9939" spans="1:8" x14ac:dyDescent="0.3">
      <c r="A9939" s="45">
        <v>45525</v>
      </c>
      <c r="B9939" s="396" t="s">
        <v>12133</v>
      </c>
      <c r="C9939" s="5" t="s">
        <v>5162</v>
      </c>
      <c r="D9939" s="5" t="s">
        <v>294</v>
      </c>
      <c r="E9939" s="43">
        <v>5000</v>
      </c>
      <c r="F9939" s="43"/>
      <c r="G9939" s="48">
        <f t="shared" si="248"/>
        <v>388832.10159436404</v>
      </c>
      <c r="H9939" s="389" t="s">
        <v>9567</v>
      </c>
    </row>
    <row r="9940" spans="1:8" x14ac:dyDescent="0.3">
      <c r="A9940" s="45">
        <v>45525</v>
      </c>
      <c r="B9940" s="396" t="s">
        <v>13379</v>
      </c>
      <c r="C9940" s="5" t="s">
        <v>11174</v>
      </c>
      <c r="D9940" s="5" t="s">
        <v>14258</v>
      </c>
      <c r="E9940" s="43">
        <v>8500</v>
      </c>
      <c r="F9940" s="43"/>
      <c r="G9940" s="48">
        <f t="shared" si="248"/>
        <v>380332.10159436404</v>
      </c>
      <c r="H9940" s="389" t="s">
        <v>9567</v>
      </c>
    </row>
    <row r="9941" spans="1:8" x14ac:dyDescent="0.3">
      <c r="A9941" s="45">
        <v>45525</v>
      </c>
      <c r="B9941" s="396" t="s">
        <v>25</v>
      </c>
      <c r="C9941" s="5" t="s">
        <v>25</v>
      </c>
      <c r="D9941" s="5" t="s">
        <v>14259</v>
      </c>
      <c r="E9941" s="43">
        <v>1000</v>
      </c>
      <c r="F9941" s="43"/>
      <c r="G9941" s="48">
        <f t="shared" si="248"/>
        <v>379332.10159436404</v>
      </c>
      <c r="H9941" s="389" t="s">
        <v>9567</v>
      </c>
    </row>
    <row r="9942" spans="1:8" x14ac:dyDescent="0.3">
      <c r="A9942" s="45">
        <v>45525</v>
      </c>
      <c r="B9942" s="396" t="s">
        <v>13188</v>
      </c>
      <c r="C9942" s="5" t="s">
        <v>11174</v>
      </c>
      <c r="D9942" s="5" t="s">
        <v>14260</v>
      </c>
      <c r="E9942" s="43">
        <v>1050</v>
      </c>
      <c r="F9942" s="43"/>
      <c r="G9942" s="48">
        <f t="shared" si="248"/>
        <v>378282.10159436404</v>
      </c>
      <c r="H9942" s="389" t="s">
        <v>9567</v>
      </c>
    </row>
    <row r="9943" spans="1:8" x14ac:dyDescent="0.3">
      <c r="A9943" s="45">
        <v>45525</v>
      </c>
      <c r="B9943" s="396" t="s">
        <v>13833</v>
      </c>
      <c r="C9943" s="5" t="s">
        <v>10695</v>
      </c>
      <c r="D9943" s="5" t="s">
        <v>14261</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13833</v>
      </c>
      <c r="C9945" s="5" t="s">
        <v>11174</v>
      </c>
      <c r="D9945" s="5" t="s">
        <v>14262</v>
      </c>
      <c r="E9945" s="43">
        <v>420</v>
      </c>
      <c r="F9945" s="43"/>
      <c r="G9945" s="48">
        <f t="shared" si="248"/>
        <v>323862.10159436404</v>
      </c>
      <c r="H9945" s="389" t="s">
        <v>9567</v>
      </c>
    </row>
    <row r="9946" spans="1:8" x14ac:dyDescent="0.3">
      <c r="A9946" s="45">
        <v>45525</v>
      </c>
      <c r="B9946" s="396" t="s">
        <v>13188</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14263</v>
      </c>
      <c r="E9947" s="43">
        <v>10000</v>
      </c>
      <c r="F9947" s="43"/>
      <c r="G9947" s="48">
        <f t="shared" si="248"/>
        <v>312862.10159436404</v>
      </c>
      <c r="H9947" s="389" t="s">
        <v>9567</v>
      </c>
    </row>
    <row r="9948" spans="1:8" x14ac:dyDescent="0.3">
      <c r="A9948" s="45">
        <v>45525</v>
      </c>
      <c r="B9948" s="396" t="s">
        <v>13902</v>
      </c>
      <c r="C9948" s="5" t="s">
        <v>5793</v>
      </c>
      <c r="D9948" s="5" t="s">
        <v>40</v>
      </c>
      <c r="E9948" s="43">
        <v>2000</v>
      </c>
      <c r="F9948" s="43"/>
      <c r="G9948" s="48">
        <f t="shared" si="248"/>
        <v>310862.10159436404</v>
      </c>
      <c r="H9948" s="389" t="s">
        <v>9567</v>
      </c>
    </row>
    <row r="9949" spans="1:8" x14ac:dyDescent="0.3">
      <c r="A9949" s="45">
        <v>45526</v>
      </c>
      <c r="B9949" s="396" t="s">
        <v>13981</v>
      </c>
      <c r="C9949" s="5" t="s">
        <v>14193</v>
      </c>
      <c r="D9949" s="5" t="s">
        <v>582</v>
      </c>
      <c r="E9949" s="43">
        <v>10000</v>
      </c>
      <c r="F9949" s="43"/>
      <c r="G9949" s="48">
        <f t="shared" si="248"/>
        <v>300862.10159436404</v>
      </c>
      <c r="H9949" s="389" t="s">
        <v>9567</v>
      </c>
    </row>
    <row r="9950" spans="1:8" x14ac:dyDescent="0.3">
      <c r="A9950" s="45">
        <v>45526</v>
      </c>
      <c r="B9950" s="396" t="s">
        <v>13981</v>
      </c>
      <c r="C9950" s="5" t="s">
        <v>30</v>
      </c>
      <c r="D9950" s="5" t="s">
        <v>14264</v>
      </c>
      <c r="E9950" s="43">
        <v>400</v>
      </c>
      <c r="F9950" s="43"/>
      <c r="G9950" s="48">
        <f t="shared" si="248"/>
        <v>300462.10159436404</v>
      </c>
      <c r="H9950" s="389" t="s">
        <v>9567</v>
      </c>
    </row>
    <row r="9951" spans="1:8" x14ac:dyDescent="0.3">
      <c r="A9951" s="45">
        <v>45526</v>
      </c>
      <c r="B9951" s="396" t="s">
        <v>13902</v>
      </c>
      <c r="C9951" s="5" t="s">
        <v>5793</v>
      </c>
      <c r="D9951" s="5" t="s">
        <v>14265</v>
      </c>
      <c r="E9951" s="43">
        <v>7000</v>
      </c>
      <c r="F9951" s="43"/>
      <c r="G9951" s="48">
        <f t="shared" si="248"/>
        <v>293462.10159436404</v>
      </c>
      <c r="H9951" s="389" t="s">
        <v>9567</v>
      </c>
    </row>
    <row r="9952" spans="1:8" x14ac:dyDescent="0.3">
      <c r="A9952" s="45">
        <v>45526</v>
      </c>
      <c r="B9952" s="396" t="s">
        <v>13709</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14225</v>
      </c>
      <c r="E9953" s="43">
        <v>2000</v>
      </c>
      <c r="F9953" s="43"/>
      <c r="G9953" s="48">
        <f t="shared" si="248"/>
        <v>290662.10159436404</v>
      </c>
      <c r="H9953" s="389" t="s">
        <v>9567</v>
      </c>
    </row>
    <row r="9954" spans="1:8" x14ac:dyDescent="0.3">
      <c r="A9954" s="45">
        <v>45526</v>
      </c>
      <c r="B9954" s="396" t="s">
        <v>13902</v>
      </c>
      <c r="C9954" s="5" t="s">
        <v>11174</v>
      </c>
      <c r="D9954" s="5" t="s">
        <v>14266</v>
      </c>
      <c r="E9954" s="43">
        <v>4550</v>
      </c>
      <c r="F9954" s="43"/>
      <c r="G9954" s="48">
        <f t="shared" si="248"/>
        <v>286112.10159436404</v>
      </c>
      <c r="H9954" s="389" t="s">
        <v>9567</v>
      </c>
    </row>
    <row r="9955" spans="1:8" x14ac:dyDescent="0.3">
      <c r="A9955" s="45">
        <v>45526</v>
      </c>
      <c r="B9955" s="396" t="s">
        <v>13458</v>
      </c>
      <c r="C9955" s="5" t="s">
        <v>11174</v>
      </c>
      <c r="D9955" s="5" t="s">
        <v>14268</v>
      </c>
      <c r="E9955" s="43">
        <v>14400</v>
      </c>
      <c r="F9955" s="43"/>
      <c r="G9955" s="48">
        <f t="shared" si="248"/>
        <v>271712.10159436404</v>
      </c>
      <c r="H9955" s="389" t="s">
        <v>9567</v>
      </c>
    </row>
    <row r="9956" spans="1:8" x14ac:dyDescent="0.3">
      <c r="A9956" s="45">
        <v>45526</v>
      </c>
      <c r="B9956" s="396" t="s">
        <v>25</v>
      </c>
      <c r="C9956" s="5" t="s">
        <v>4504</v>
      </c>
      <c r="D9956" s="5" t="s">
        <v>14267</v>
      </c>
      <c r="E9956" s="43">
        <v>30000</v>
      </c>
      <c r="F9956" s="43"/>
      <c r="G9956" s="48">
        <f t="shared" si="248"/>
        <v>241712.10159436404</v>
      </c>
      <c r="H9956" s="389" t="s">
        <v>9567</v>
      </c>
    </row>
    <row r="9957" spans="1:8" x14ac:dyDescent="0.3">
      <c r="A9957" s="45">
        <v>45526</v>
      </c>
      <c r="B9957" s="396" t="s">
        <v>13188</v>
      </c>
      <c r="C9957" s="5" t="s">
        <v>5793</v>
      </c>
      <c r="D9957" s="5" t="s">
        <v>40</v>
      </c>
      <c r="E9957" s="43">
        <v>2500</v>
      </c>
      <c r="F9957" s="43"/>
      <c r="G9957" s="48">
        <f t="shared" si="248"/>
        <v>239212.10159436404</v>
      </c>
      <c r="H9957" s="389" t="s">
        <v>9567</v>
      </c>
    </row>
    <row r="9958" spans="1:8" x14ac:dyDescent="0.3">
      <c r="A9958" s="45">
        <v>45526</v>
      </c>
      <c r="B9958" s="396" t="s">
        <v>13458</v>
      </c>
      <c r="C9958" s="5" t="s">
        <v>4550</v>
      </c>
      <c r="D9958" s="5" t="s">
        <v>14269</v>
      </c>
      <c r="E9958" s="43">
        <v>10000</v>
      </c>
      <c r="F9958" s="43"/>
      <c r="G9958" s="48">
        <f t="shared" si="248"/>
        <v>229212.10159436404</v>
      </c>
      <c r="H9958" s="389" t="s">
        <v>9567</v>
      </c>
    </row>
    <row r="9959" spans="1:8" x14ac:dyDescent="0.3">
      <c r="A9959" s="45">
        <v>45526</v>
      </c>
      <c r="B9959" s="396" t="s">
        <v>13138</v>
      </c>
      <c r="C9959" s="5" t="s">
        <v>26</v>
      </c>
      <c r="D9959" s="5" t="s">
        <v>14270</v>
      </c>
      <c r="E9959" s="43">
        <v>10000</v>
      </c>
      <c r="F9959" s="43"/>
      <c r="G9959" s="48">
        <f t="shared" si="248"/>
        <v>219212.10159436404</v>
      </c>
      <c r="H9959" s="389" t="s">
        <v>9567</v>
      </c>
    </row>
    <row r="9960" spans="1:8" x14ac:dyDescent="0.3">
      <c r="A9960" s="45">
        <v>45526</v>
      </c>
      <c r="B9960" s="396" t="s">
        <v>14271</v>
      </c>
      <c r="C9960" s="5" t="s">
        <v>11174</v>
      </c>
      <c r="D9960" s="5" t="s">
        <v>14272</v>
      </c>
      <c r="E9960" s="43">
        <v>4000</v>
      </c>
      <c r="F9960" s="43"/>
      <c r="G9960" s="48">
        <f t="shared" si="248"/>
        <v>215212.10159436404</v>
      </c>
      <c r="H9960" s="389" t="s">
        <v>9567</v>
      </c>
    </row>
    <row r="9961" spans="1:8" x14ac:dyDescent="0.3">
      <c r="A9961" s="45">
        <v>45527</v>
      </c>
      <c r="B9961" s="396" t="s">
        <v>12133</v>
      </c>
      <c r="C9961" s="5" t="s">
        <v>13233</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13833</v>
      </c>
      <c r="C9963" s="5" t="s">
        <v>5793</v>
      </c>
      <c r="D9963" s="5" t="s">
        <v>40</v>
      </c>
      <c r="E9963" s="43">
        <v>1200</v>
      </c>
      <c r="F9963" s="43"/>
      <c r="G9963" s="48">
        <f t="shared" si="248"/>
        <v>179012.10159436404</v>
      </c>
      <c r="H9963" s="389" t="s">
        <v>9567</v>
      </c>
    </row>
    <row r="9964" spans="1:8" x14ac:dyDescent="0.3">
      <c r="A9964" s="45">
        <v>45527</v>
      </c>
      <c r="B9964" s="396" t="s">
        <v>13981</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13902</v>
      </c>
      <c r="C9966" s="5" t="s">
        <v>18</v>
      </c>
      <c r="D9966" s="5" t="s">
        <v>14274</v>
      </c>
      <c r="E9966" s="43">
        <v>5000</v>
      </c>
      <c r="F9966" s="43"/>
      <c r="G9966" s="48">
        <f t="shared" si="248"/>
        <v>168512.10159436404</v>
      </c>
      <c r="H9966" s="389" t="s">
        <v>9567</v>
      </c>
    </row>
    <row r="9967" spans="1:8" x14ac:dyDescent="0.3">
      <c r="A9967" s="45">
        <v>45527</v>
      </c>
      <c r="B9967" s="396" t="s">
        <v>12611</v>
      </c>
      <c r="C9967" s="5" t="s">
        <v>84</v>
      </c>
      <c r="D9967" s="5" t="s">
        <v>14275</v>
      </c>
      <c r="E9967" s="43">
        <v>20000</v>
      </c>
      <c r="F9967" s="43"/>
      <c r="G9967" s="48">
        <f t="shared" si="248"/>
        <v>148512.10159436404</v>
      </c>
      <c r="H9967" s="389" t="s">
        <v>9567</v>
      </c>
    </row>
    <row r="9968" spans="1:8" x14ac:dyDescent="0.3">
      <c r="A9968" s="45">
        <v>45527</v>
      </c>
      <c r="B9968" s="396" t="s">
        <v>13458</v>
      </c>
      <c r="C9968" s="5" t="s">
        <v>11174</v>
      </c>
      <c r="D9968" s="5" t="s">
        <v>14276</v>
      </c>
      <c r="E9968" s="43">
        <v>6300</v>
      </c>
      <c r="F9968" s="43"/>
      <c r="G9968" s="48">
        <f t="shared" si="248"/>
        <v>142212.10159436404</v>
      </c>
      <c r="H9968" s="389" t="s">
        <v>9567</v>
      </c>
    </row>
    <row r="9969" spans="1:14" x14ac:dyDescent="0.3">
      <c r="A9969" s="45">
        <v>45527</v>
      </c>
      <c r="B9969" s="396" t="s">
        <v>13458</v>
      </c>
      <c r="C9969" s="5" t="s">
        <v>30</v>
      </c>
      <c r="D9969" s="5" t="s">
        <v>14277</v>
      </c>
      <c r="E9969" s="43">
        <v>200</v>
      </c>
      <c r="F9969" s="43"/>
      <c r="G9969" s="48">
        <f t="shared" si="248"/>
        <v>142012.10159436404</v>
      </c>
      <c r="H9969" s="389" t="s">
        <v>9567</v>
      </c>
    </row>
    <row r="9970" spans="1:14" x14ac:dyDescent="0.3">
      <c r="A9970" s="45">
        <v>45527</v>
      </c>
      <c r="B9970" s="396" t="s">
        <v>13458</v>
      </c>
      <c r="C9970" s="5" t="s">
        <v>5793</v>
      </c>
      <c r="D9970" s="5" t="s">
        <v>40</v>
      </c>
      <c r="E9970" s="43">
        <v>1000</v>
      </c>
      <c r="F9970" s="43"/>
      <c r="G9970" s="48">
        <f t="shared" si="248"/>
        <v>141012.10159436404</v>
      </c>
      <c r="H9970" s="389" t="s">
        <v>9567</v>
      </c>
    </row>
    <row r="9971" spans="1:14" x14ac:dyDescent="0.3">
      <c r="A9971" s="45">
        <v>45527</v>
      </c>
      <c r="B9971" s="396" t="s">
        <v>14280</v>
      </c>
      <c r="C9971" s="5" t="s">
        <v>5793</v>
      </c>
      <c r="D9971" s="5" t="s">
        <v>40</v>
      </c>
      <c r="E9971" s="43">
        <v>1000</v>
      </c>
      <c r="F9971" s="43"/>
      <c r="G9971" s="48">
        <f t="shared" si="248"/>
        <v>140012.10159436404</v>
      </c>
      <c r="H9971" s="389" t="s">
        <v>9567</v>
      </c>
    </row>
    <row r="9972" spans="1:14" s="387" customFormat="1" ht="37.5" x14ac:dyDescent="0.3">
      <c r="A9972" s="45">
        <v>45527</v>
      </c>
      <c r="B9972" s="320" t="s">
        <v>12796</v>
      </c>
      <c r="C9972" s="44" t="s">
        <v>11174</v>
      </c>
      <c r="D9972" s="124" t="s">
        <v>14281</v>
      </c>
      <c r="E9972" s="28">
        <v>51000</v>
      </c>
      <c r="F9972" s="28"/>
      <c r="G9972" s="48">
        <f t="shared" si="248"/>
        <v>89012.101594364038</v>
      </c>
      <c r="H9972" s="389" t="s">
        <v>9567</v>
      </c>
      <c r="I9972" s="155"/>
      <c r="J9972" s="155"/>
      <c r="K9972" s="155"/>
      <c r="N9972" s="155"/>
    </row>
    <row r="9973" spans="1:14" x14ac:dyDescent="0.3">
      <c r="A9973" s="45">
        <v>45528</v>
      </c>
      <c r="B9973" s="396" t="s">
        <v>13709</v>
      </c>
      <c r="C9973" s="5" t="s">
        <v>84</v>
      </c>
      <c r="D9973" s="5" t="s">
        <v>14282</v>
      </c>
      <c r="E9973" s="43">
        <v>5000</v>
      </c>
      <c r="F9973" s="43"/>
      <c r="G9973" s="48">
        <f t="shared" si="248"/>
        <v>84012.101594364038</v>
      </c>
      <c r="H9973" s="389" t="s">
        <v>9567</v>
      </c>
    </row>
    <row r="9974" spans="1:14" x14ac:dyDescent="0.3">
      <c r="A9974" s="45">
        <v>45528</v>
      </c>
      <c r="B9974" s="396" t="s">
        <v>13709</v>
      </c>
      <c r="C9974" s="5" t="s">
        <v>11174</v>
      </c>
      <c r="D9974" s="5" t="s">
        <v>14283</v>
      </c>
      <c r="E9974" s="43">
        <v>900</v>
      </c>
      <c r="F9974" s="43"/>
      <c r="G9974" s="48">
        <f t="shared" si="248"/>
        <v>83112.101594364038</v>
      </c>
      <c r="H9974" s="389" t="s">
        <v>9567</v>
      </c>
    </row>
    <row r="9975" spans="1:14" x14ac:dyDescent="0.3">
      <c r="A9975" s="45">
        <v>45528</v>
      </c>
      <c r="B9975" s="396" t="s">
        <v>25</v>
      </c>
      <c r="C9975" s="5" t="s">
        <v>25</v>
      </c>
      <c r="D9975" s="5" t="s">
        <v>14225</v>
      </c>
      <c r="E9975" s="43">
        <v>2000</v>
      </c>
      <c r="F9975" s="43"/>
      <c r="G9975" s="48">
        <f t="shared" si="248"/>
        <v>81112.101594364038</v>
      </c>
      <c r="H9975" s="389" t="s">
        <v>9567</v>
      </c>
    </row>
    <row r="9976" spans="1:14" x14ac:dyDescent="0.3">
      <c r="A9976" s="45">
        <v>45528</v>
      </c>
      <c r="B9976" s="396" t="s">
        <v>12133</v>
      </c>
      <c r="C9976" s="5" t="s">
        <v>5793</v>
      </c>
      <c r="D9976" s="5" t="s">
        <v>40</v>
      </c>
      <c r="E9976" s="43">
        <v>3000</v>
      </c>
      <c r="F9976" s="43"/>
      <c r="G9976" s="48">
        <f t="shared" si="248"/>
        <v>78112.101594364038</v>
      </c>
      <c r="H9976" s="389" t="s">
        <v>9567</v>
      </c>
      <c r="I9976" s="52">
        <v>640000</v>
      </c>
    </row>
    <row r="9977" spans="1:14" x14ac:dyDescent="0.3">
      <c r="A9977" s="45">
        <v>45528</v>
      </c>
      <c r="B9977" s="396" t="s">
        <v>13981</v>
      </c>
      <c r="C9977" s="5" t="s">
        <v>11174</v>
      </c>
      <c r="D9977" s="5" t="s">
        <v>14284</v>
      </c>
      <c r="E9977" s="43">
        <v>900</v>
      </c>
      <c r="F9977" s="43"/>
      <c r="G9977" s="48">
        <f t="shared" si="248"/>
        <v>77212.101594364038</v>
      </c>
      <c r="H9977" s="389" t="s">
        <v>9567</v>
      </c>
      <c r="I9977" s="52">
        <f>I9976*15%</f>
        <v>96000</v>
      </c>
    </row>
    <row r="9978" spans="1:14" x14ac:dyDescent="0.3">
      <c r="A9978" s="45">
        <v>45528</v>
      </c>
      <c r="B9978" s="396" t="s">
        <v>12133</v>
      </c>
      <c r="C9978" s="5" t="s">
        <v>5162</v>
      </c>
      <c r="D9978" s="5" t="s">
        <v>14285</v>
      </c>
      <c r="E9978" s="43">
        <v>5000</v>
      </c>
      <c r="F9978" s="43"/>
      <c r="G9978" s="48">
        <f t="shared" si="248"/>
        <v>72212.101594364038</v>
      </c>
      <c r="H9978" s="389" t="s">
        <v>9567</v>
      </c>
      <c r="I9978" s="52">
        <f>I9977+I9976</f>
        <v>736000</v>
      </c>
    </row>
    <row r="9979" spans="1:14" x14ac:dyDescent="0.3">
      <c r="A9979" s="45">
        <v>45528</v>
      </c>
      <c r="B9979" s="396" t="s">
        <v>13138</v>
      </c>
      <c r="C9979" s="5" t="s">
        <v>11174</v>
      </c>
      <c r="D9979" s="5" t="s">
        <v>14286</v>
      </c>
      <c r="E9979" s="43">
        <v>3000</v>
      </c>
      <c r="F9979" s="43"/>
      <c r="G9979" s="48">
        <f t="shared" si="248"/>
        <v>69212.101594364038</v>
      </c>
      <c r="H9979" s="389" t="s">
        <v>9567</v>
      </c>
    </row>
    <row r="9980" spans="1:14" x14ac:dyDescent="0.3">
      <c r="A9980" s="45">
        <v>45528</v>
      </c>
      <c r="B9980" s="396" t="s">
        <v>13138</v>
      </c>
      <c r="C9980" s="5" t="s">
        <v>84</v>
      </c>
      <c r="D9980" s="5" t="s">
        <v>14287</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14292</v>
      </c>
      <c r="E9982" s="43">
        <v>1600</v>
      </c>
      <c r="F9982" s="43"/>
      <c r="G9982" s="48">
        <f t="shared" si="248"/>
        <v>53612.101594364038</v>
      </c>
      <c r="H9982" s="389" t="s">
        <v>9567</v>
      </c>
    </row>
    <row r="9983" spans="1:14" x14ac:dyDescent="0.3">
      <c r="A9983" s="45">
        <v>45531</v>
      </c>
      <c r="B9983" s="396" t="s">
        <v>13902</v>
      </c>
      <c r="C9983" s="5" t="s">
        <v>18</v>
      </c>
      <c r="D9983" s="5" t="s">
        <v>14293</v>
      </c>
      <c r="E9983" s="43">
        <v>15000</v>
      </c>
      <c r="F9983" s="43"/>
      <c r="G9983" s="48">
        <f t="shared" ref="G9983:G10046" si="249">G9982+F9983-E9983</f>
        <v>38612.101594364038</v>
      </c>
      <c r="H9983" s="389" t="s">
        <v>9567</v>
      </c>
    </row>
    <row r="9984" spans="1:14" x14ac:dyDescent="0.3">
      <c r="A9984" s="45">
        <v>45531</v>
      </c>
      <c r="B9984" s="396" t="s">
        <v>13321</v>
      </c>
      <c r="C9984" s="5" t="s">
        <v>1189</v>
      </c>
      <c r="D9984" s="5" t="s">
        <v>294</v>
      </c>
      <c r="E9984" s="43">
        <v>2000</v>
      </c>
      <c r="F9984" s="43"/>
      <c r="G9984" s="48">
        <f t="shared" si="249"/>
        <v>36612.101594364038</v>
      </c>
      <c r="H9984" s="389" t="s">
        <v>9567</v>
      </c>
    </row>
    <row r="9985" spans="1:10" x14ac:dyDescent="0.3">
      <c r="A9985" s="45">
        <v>45531</v>
      </c>
      <c r="B9985" s="396" t="s">
        <v>13902</v>
      </c>
      <c r="C9985" s="5" t="s">
        <v>5793</v>
      </c>
      <c r="D9985" s="5" t="s">
        <v>40</v>
      </c>
      <c r="E9985" s="43">
        <v>1700</v>
      </c>
      <c r="F9985" s="43"/>
      <c r="G9985" s="48">
        <f t="shared" si="249"/>
        <v>34912.101594364038</v>
      </c>
      <c r="H9985" s="389" t="s">
        <v>9567</v>
      </c>
    </row>
    <row r="9986" spans="1:10" x14ac:dyDescent="0.3">
      <c r="A9986" s="45">
        <v>45531</v>
      </c>
      <c r="B9986" s="396" t="s">
        <v>13902</v>
      </c>
      <c r="C9986" s="5" t="s">
        <v>9451</v>
      </c>
      <c r="D9986" s="5" t="s">
        <v>14265</v>
      </c>
      <c r="E9986" s="43">
        <v>7000</v>
      </c>
      <c r="F9986" s="43"/>
      <c r="G9986" s="48">
        <f t="shared" si="249"/>
        <v>27912.101594364038</v>
      </c>
      <c r="H9986" s="389" t="s">
        <v>9567</v>
      </c>
      <c r="J9986" s="278">
        <v>12544</v>
      </c>
    </row>
    <row r="9987" spans="1:10" x14ac:dyDescent="0.3">
      <c r="A9987" s="45">
        <v>45531</v>
      </c>
      <c r="B9987" s="396" t="s">
        <v>13379</v>
      </c>
      <c r="C9987" s="5" t="s">
        <v>9451</v>
      </c>
      <c r="D9987" s="5" t="s">
        <v>14265</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13902</v>
      </c>
      <c r="C9989" s="5" t="s">
        <v>11174</v>
      </c>
      <c r="D9989" s="5" t="s">
        <v>14294</v>
      </c>
      <c r="E9989" s="43">
        <v>8100</v>
      </c>
      <c r="F9989" s="43"/>
      <c r="G9989" s="48">
        <f t="shared" si="249"/>
        <v>9982.1015943640377</v>
      </c>
      <c r="H9989" s="389" t="s">
        <v>9567</v>
      </c>
      <c r="J9989" s="583">
        <f>SUM(J9986:J9987)</f>
        <v>37399</v>
      </c>
    </row>
    <row r="9990" spans="1:10" x14ac:dyDescent="0.3">
      <c r="A9990" s="45">
        <v>45531</v>
      </c>
      <c r="B9990" s="396" t="s">
        <v>13709</v>
      </c>
      <c r="C9990" s="5" t="s">
        <v>11174</v>
      </c>
      <c r="D9990" s="5" t="s">
        <v>14295</v>
      </c>
      <c r="E9990" s="65">
        <v>4200</v>
      </c>
      <c r="F9990" s="43"/>
      <c r="G9990" s="48">
        <f t="shared" si="249"/>
        <v>5782.1015943640377</v>
      </c>
      <c r="H9990" s="389" t="s">
        <v>9567</v>
      </c>
    </row>
    <row r="9991" spans="1:10" x14ac:dyDescent="0.3">
      <c r="A9991" s="45">
        <v>45531</v>
      </c>
      <c r="B9991" s="565"/>
      <c r="C9991" s="480"/>
      <c r="D9991" s="491" t="s">
        <v>14134</v>
      </c>
      <c r="E9991" s="480"/>
      <c r="F9991" s="43">
        <v>11000</v>
      </c>
      <c r="G9991" s="48">
        <f t="shared" si="249"/>
        <v>16782.101594364038</v>
      </c>
      <c r="H9991" s="389" t="s">
        <v>9567</v>
      </c>
    </row>
    <row r="9992" spans="1:10" x14ac:dyDescent="0.3">
      <c r="A9992" s="45">
        <v>45531</v>
      </c>
      <c r="B9992" s="396" t="s">
        <v>12133</v>
      </c>
      <c r="C9992" s="5" t="s">
        <v>11174</v>
      </c>
      <c r="D9992" s="5" t="s">
        <v>14296</v>
      </c>
      <c r="E9992" s="65">
        <v>3600</v>
      </c>
      <c r="F9992" s="43"/>
      <c r="G9992" s="48">
        <f t="shared" si="249"/>
        <v>13182.101594364038</v>
      </c>
      <c r="H9992" s="389" t="s">
        <v>9567</v>
      </c>
    </row>
    <row r="9993" spans="1:10" x14ac:dyDescent="0.3">
      <c r="A9993" s="45">
        <v>45531</v>
      </c>
      <c r="B9993" s="396" t="s">
        <v>14310</v>
      </c>
      <c r="C9993" s="5" t="s">
        <v>11174</v>
      </c>
      <c r="D9993" s="5" t="s">
        <v>14298</v>
      </c>
      <c r="E9993" s="65">
        <v>2000</v>
      </c>
      <c r="F9993" s="43"/>
      <c r="G9993" s="48">
        <f t="shared" si="249"/>
        <v>11182.101594364038</v>
      </c>
      <c r="H9993" s="389" t="s">
        <v>9567</v>
      </c>
    </row>
    <row r="9994" spans="1:10" x14ac:dyDescent="0.3">
      <c r="A9994" s="45">
        <v>45531</v>
      </c>
      <c r="B9994" s="396" t="s">
        <v>13902</v>
      </c>
      <c r="C9994" s="5" t="s">
        <v>11174</v>
      </c>
      <c r="D9994" s="5" t="s">
        <v>12533</v>
      </c>
      <c r="E9994" s="65">
        <v>870</v>
      </c>
      <c r="F9994" s="43"/>
      <c r="G9994" s="48">
        <f t="shared" si="249"/>
        <v>10312.101594364038</v>
      </c>
      <c r="H9994" s="389" t="s">
        <v>9567</v>
      </c>
    </row>
    <row r="9995" spans="1:10" x14ac:dyDescent="0.3">
      <c r="A9995" s="45">
        <v>45531</v>
      </c>
      <c r="B9995" s="396" t="s">
        <v>12133</v>
      </c>
      <c r="C9995" s="5" t="s">
        <v>11174</v>
      </c>
      <c r="D9995" s="5" t="s">
        <v>14314</v>
      </c>
      <c r="E9995" s="65">
        <v>1750</v>
      </c>
      <c r="F9995" s="43"/>
      <c r="G9995" s="48">
        <f t="shared" si="249"/>
        <v>8562.1015943640377</v>
      </c>
      <c r="H9995" s="389" t="s">
        <v>9567</v>
      </c>
    </row>
    <row r="9996" spans="1:10" x14ac:dyDescent="0.3">
      <c r="A9996" s="45">
        <v>45531</v>
      </c>
      <c r="B9996" s="396" t="s">
        <v>13902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14315</v>
      </c>
      <c r="E9997" s="65">
        <v>500</v>
      </c>
      <c r="F9997" s="43"/>
      <c r="G9997" s="48">
        <f t="shared" si="249"/>
        <v>6962.1015943640377</v>
      </c>
      <c r="H9997" s="389" t="s">
        <v>9567</v>
      </c>
    </row>
    <row r="9998" spans="1:10" x14ac:dyDescent="0.3">
      <c r="A9998" s="45">
        <v>45532</v>
      </c>
      <c r="B9998" s="396" t="s">
        <v>13379</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14306</v>
      </c>
      <c r="E10000" s="43">
        <v>1000</v>
      </c>
      <c r="F10000" s="43"/>
      <c r="G10000" s="48">
        <f t="shared" si="249"/>
        <v>2462.1015943640377</v>
      </c>
      <c r="H10000" s="389" t="s">
        <v>9567</v>
      </c>
    </row>
    <row r="10001" spans="1:10" x14ac:dyDescent="0.3">
      <c r="A10001" s="45">
        <v>45533</v>
      </c>
      <c r="B10001" s="565"/>
      <c r="C10001" s="480"/>
      <c r="D10001" s="491" t="s">
        <v>14318</v>
      </c>
      <c r="E10001" s="480"/>
      <c r="F10001" s="43">
        <v>78000</v>
      </c>
      <c r="G10001" s="48">
        <f t="shared" si="249"/>
        <v>80462.101594364038</v>
      </c>
      <c r="H10001" s="389" t="s">
        <v>9567</v>
      </c>
    </row>
    <row r="10002" spans="1:10" x14ac:dyDescent="0.3">
      <c r="A10002" s="45">
        <v>45533</v>
      </c>
      <c r="B10002" s="396" t="s">
        <v>12611</v>
      </c>
      <c r="C10002" s="5" t="s">
        <v>84</v>
      </c>
      <c r="D10002" s="5" t="s">
        <v>14301</v>
      </c>
      <c r="E10002" s="43">
        <v>20000</v>
      </c>
      <c r="F10002" s="43"/>
      <c r="G10002" s="48">
        <f t="shared" si="249"/>
        <v>60462.101594364038</v>
      </c>
      <c r="H10002" s="389" t="s">
        <v>9567</v>
      </c>
    </row>
    <row r="10003" spans="1:10" x14ac:dyDescent="0.3">
      <c r="A10003" s="45">
        <v>45533</v>
      </c>
      <c r="B10003" s="396" t="s">
        <v>12611</v>
      </c>
      <c r="C10003" s="5" t="s">
        <v>26</v>
      </c>
      <c r="D10003" s="5" t="s">
        <v>14302</v>
      </c>
      <c r="E10003" s="43">
        <v>1000</v>
      </c>
      <c r="F10003" s="43"/>
      <c r="G10003" s="48">
        <f t="shared" si="249"/>
        <v>59462.101594364038</v>
      </c>
      <c r="H10003" s="389" t="s">
        <v>9567</v>
      </c>
    </row>
    <row r="10004" spans="1:10" x14ac:dyDescent="0.3">
      <c r="A10004" s="45">
        <v>45533</v>
      </c>
      <c r="B10004" s="396" t="s">
        <v>13458</v>
      </c>
      <c r="C10004" s="5" t="s">
        <v>11174</v>
      </c>
      <c r="D10004" s="5" t="s">
        <v>14303</v>
      </c>
      <c r="E10004" s="43">
        <v>300</v>
      </c>
      <c r="F10004" s="43"/>
      <c r="G10004" s="48">
        <f t="shared" si="249"/>
        <v>59162.101594364038</v>
      </c>
      <c r="H10004" s="389" t="s">
        <v>9567</v>
      </c>
    </row>
    <row r="10005" spans="1:10" x14ac:dyDescent="0.3">
      <c r="A10005" s="45">
        <v>45533</v>
      </c>
      <c r="B10005" s="396" t="s">
        <v>25</v>
      </c>
      <c r="C10005" s="5" t="s">
        <v>25</v>
      </c>
      <c r="D10005" s="5" t="s">
        <v>14304</v>
      </c>
      <c r="E10005" s="43">
        <v>360</v>
      </c>
      <c r="F10005" s="43"/>
      <c r="G10005" s="48">
        <f t="shared" si="249"/>
        <v>58802.101594364038</v>
      </c>
      <c r="H10005" s="389" t="s">
        <v>9567</v>
      </c>
    </row>
    <row r="10006" spans="1:10" x14ac:dyDescent="0.3">
      <c r="A10006" s="45">
        <v>45533</v>
      </c>
      <c r="B10006" s="396" t="s">
        <v>13458</v>
      </c>
      <c r="C10006" s="5" t="s">
        <v>11174</v>
      </c>
      <c r="D10006" s="5" t="s">
        <v>14305</v>
      </c>
      <c r="E10006" s="43">
        <v>3900</v>
      </c>
      <c r="F10006" s="43"/>
      <c r="G10006" s="48">
        <f t="shared" si="249"/>
        <v>54902.101594364038</v>
      </c>
      <c r="H10006" s="389" t="s">
        <v>9567</v>
      </c>
    </row>
    <row r="10007" spans="1:10" x14ac:dyDescent="0.3">
      <c r="A10007" s="45">
        <v>45533</v>
      </c>
      <c r="B10007" s="396" t="s">
        <v>25</v>
      </c>
      <c r="C10007" s="5" t="s">
        <v>25</v>
      </c>
      <c r="D10007" s="5" t="s">
        <v>14307</v>
      </c>
      <c r="E10007" s="43">
        <v>350</v>
      </c>
      <c r="F10007" s="43"/>
      <c r="G10007" s="48">
        <f t="shared" si="249"/>
        <v>54552.101594364038</v>
      </c>
      <c r="H10007" s="389" t="s">
        <v>9567</v>
      </c>
      <c r="J10007" s="52" t="s">
        <v>14312</v>
      </c>
    </row>
    <row r="10008" spans="1:10" x14ac:dyDescent="0.3">
      <c r="A10008" s="45">
        <v>45533</v>
      </c>
      <c r="B10008" s="396" t="s">
        <v>13833</v>
      </c>
      <c r="C10008" s="5" t="s">
        <v>5793</v>
      </c>
      <c r="D10008" s="5" t="s">
        <v>40</v>
      </c>
      <c r="E10008" s="43">
        <v>1100</v>
      </c>
      <c r="F10008" s="43"/>
      <c r="G10008" s="48">
        <f t="shared" si="249"/>
        <v>53452.101594364038</v>
      </c>
      <c r="H10008" s="389" t="s">
        <v>9567</v>
      </c>
      <c r="J10008" s="52" t="s">
        <v>14311</v>
      </c>
    </row>
    <row r="10009" spans="1:10" x14ac:dyDescent="0.3">
      <c r="A10009" s="45">
        <v>45533</v>
      </c>
      <c r="B10009" s="396"/>
      <c r="C10009" s="5" t="s">
        <v>4989</v>
      </c>
      <c r="D10009" s="5" t="s">
        <v>14308</v>
      </c>
      <c r="E10009" s="43">
        <v>40000</v>
      </c>
      <c r="F10009" s="43"/>
      <c r="G10009" s="48">
        <f t="shared" si="249"/>
        <v>13452.101594364038</v>
      </c>
      <c r="H10009" s="389" t="s">
        <v>9567</v>
      </c>
      <c r="J10009" s="52" t="s">
        <v>14311</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13458</v>
      </c>
      <c r="C10011" s="5" t="s">
        <v>4550</v>
      </c>
      <c r="D10011" s="5" t="s">
        <v>14313</v>
      </c>
      <c r="E10011" s="43">
        <v>1800</v>
      </c>
      <c r="F10011" s="43"/>
      <c r="G10011" s="48">
        <f t="shared" si="249"/>
        <v>6652.1015943640377</v>
      </c>
      <c r="H10011" s="389" t="s">
        <v>9567</v>
      </c>
    </row>
    <row r="10012" spans="1:10" x14ac:dyDescent="0.3">
      <c r="A10012" s="45">
        <v>45533</v>
      </c>
      <c r="B10012" s="565"/>
      <c r="C10012" s="480"/>
      <c r="D10012" s="491" t="s">
        <v>14098</v>
      </c>
      <c r="E10012" s="480"/>
      <c r="F10012" s="43">
        <v>1000000</v>
      </c>
      <c r="G10012" s="48">
        <f t="shared" si="249"/>
        <v>1006652.101594364</v>
      </c>
      <c r="H10012" s="389" t="s">
        <v>9567</v>
      </c>
    </row>
    <row r="10013" spans="1:10" x14ac:dyDescent="0.3">
      <c r="A10013" s="45">
        <v>45533</v>
      </c>
      <c r="B10013" s="396" t="s">
        <v>13981</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14316</v>
      </c>
      <c r="E10014" s="43">
        <v>300000</v>
      </c>
      <c r="F10014" s="43"/>
      <c r="G10014" s="48">
        <f t="shared" si="249"/>
        <v>705952.10159436404</v>
      </c>
      <c r="H10014" s="389" t="s">
        <v>9567</v>
      </c>
    </row>
    <row r="10015" spans="1:10" x14ac:dyDescent="0.3">
      <c r="A10015" s="45">
        <v>45533</v>
      </c>
      <c r="B10015" s="396" t="s">
        <v>12133</v>
      </c>
      <c r="C10015" s="5" t="s">
        <v>11174</v>
      </c>
      <c r="D10015" s="5" t="s">
        <v>14317</v>
      </c>
      <c r="E10015" s="43">
        <v>18500</v>
      </c>
      <c r="F10015" s="43"/>
      <c r="G10015" s="48">
        <f t="shared" si="249"/>
        <v>687452.10159436404</v>
      </c>
      <c r="H10015" s="389" t="s">
        <v>9567</v>
      </c>
    </row>
    <row r="10016" spans="1:10" x14ac:dyDescent="0.3">
      <c r="A10016" s="45">
        <v>45533</v>
      </c>
      <c r="B10016" s="396" t="s">
        <v>13981</v>
      </c>
      <c r="C10016" s="5" t="s">
        <v>5793</v>
      </c>
      <c r="D10016" s="5" t="s">
        <v>40</v>
      </c>
      <c r="E10016" s="43">
        <v>600</v>
      </c>
      <c r="F10016" s="43"/>
      <c r="G10016" s="48">
        <f t="shared" si="249"/>
        <v>686852.10159436404</v>
      </c>
      <c r="H10016" s="389" t="s">
        <v>9567</v>
      </c>
    </row>
    <row r="10017" spans="1:14" x14ac:dyDescent="0.3">
      <c r="A10017" s="45">
        <v>45533</v>
      </c>
      <c r="B10017" s="396" t="s">
        <v>13138</v>
      </c>
      <c r="C10017" s="5" t="s">
        <v>84</v>
      </c>
      <c r="D10017" s="5" t="s">
        <v>14320</v>
      </c>
      <c r="E10017" s="43">
        <v>3000</v>
      </c>
      <c r="F10017" s="43"/>
      <c r="G10017" s="48">
        <f t="shared" si="249"/>
        <v>683852.10159436404</v>
      </c>
      <c r="H10017" s="389" t="s">
        <v>9567</v>
      </c>
    </row>
    <row r="10018" spans="1:14" x14ac:dyDescent="0.3">
      <c r="A10018" s="45">
        <v>45533</v>
      </c>
      <c r="B10018" s="396" t="s">
        <v>13902</v>
      </c>
      <c r="C10018" s="5" t="s">
        <v>5793</v>
      </c>
      <c r="D10018" s="5" t="s">
        <v>40</v>
      </c>
      <c r="E10018" s="43">
        <v>2000</v>
      </c>
      <c r="F10018" s="43"/>
      <c r="G10018" s="48">
        <f t="shared" si="249"/>
        <v>681852.10159436404</v>
      </c>
      <c r="H10018" s="389" t="s">
        <v>9567</v>
      </c>
    </row>
    <row r="10019" spans="1:14" x14ac:dyDescent="0.3">
      <c r="A10019" s="45">
        <v>45534</v>
      </c>
      <c r="B10019" s="396" t="s">
        <v>12133</v>
      </c>
      <c r="C10019" s="5" t="s">
        <v>5793</v>
      </c>
      <c r="D10019" s="5" t="s">
        <v>8924</v>
      </c>
      <c r="E10019" s="43">
        <v>520</v>
      </c>
      <c r="F10019" s="43"/>
      <c r="G10019" s="48">
        <f t="shared" si="249"/>
        <v>681332.10159436404</v>
      </c>
      <c r="H10019" s="389" t="s">
        <v>9567</v>
      </c>
    </row>
    <row r="10020" spans="1:14" x14ac:dyDescent="0.3">
      <c r="A10020" s="45">
        <v>45534</v>
      </c>
      <c r="B10020" s="396" t="s">
        <v>13709</v>
      </c>
      <c r="C10020" s="5" t="s">
        <v>30</v>
      </c>
      <c r="D10020" s="5" t="s">
        <v>14225</v>
      </c>
      <c r="E10020" s="43">
        <v>560</v>
      </c>
      <c r="F10020" s="43"/>
      <c r="G10020" s="48">
        <f t="shared" si="249"/>
        <v>680772.10159436404</v>
      </c>
      <c r="H10020" s="389" t="s">
        <v>9567</v>
      </c>
    </row>
    <row r="10021" spans="1:14" x14ac:dyDescent="0.3">
      <c r="A10021" s="45">
        <v>45534</v>
      </c>
      <c r="B10021" s="396" t="s">
        <v>12133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14225</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12133</v>
      </c>
      <c r="C10024" s="5" t="s">
        <v>11174</v>
      </c>
      <c r="D10024" s="5" t="s">
        <v>14325</v>
      </c>
      <c r="E10024" s="43">
        <v>1270</v>
      </c>
      <c r="F10024" s="43"/>
      <c r="G10024" s="48">
        <f t="shared" si="249"/>
        <v>674502.10159436404</v>
      </c>
      <c r="H10024" s="389" t="s">
        <v>9567</v>
      </c>
    </row>
    <row r="10025" spans="1:14" s="387" customFormat="1" ht="37.5" x14ac:dyDescent="0.25">
      <c r="A10025" s="45">
        <v>45535</v>
      </c>
      <c r="B10025" s="320" t="s">
        <v>13981</v>
      </c>
      <c r="C10025" s="44" t="s">
        <v>14321</v>
      </c>
      <c r="D10025" s="124" t="s">
        <v>14328</v>
      </c>
      <c r="E10025" s="28">
        <v>28400</v>
      </c>
      <c r="F10025" s="28"/>
      <c r="G10025" s="48">
        <f t="shared" si="249"/>
        <v>646102.10159436404</v>
      </c>
      <c r="H10025" s="535" t="s">
        <v>9567</v>
      </c>
      <c r="I10025" s="155"/>
      <c r="J10025" s="155"/>
      <c r="K10025" s="155"/>
      <c r="N10025" s="155"/>
    </row>
    <row r="10026" spans="1:14" x14ac:dyDescent="0.3">
      <c r="A10026" s="45">
        <v>45535</v>
      </c>
      <c r="B10026" s="320" t="s">
        <v>13321</v>
      </c>
      <c r="C10026" s="44" t="s">
        <v>14324</v>
      </c>
      <c r="D10026" s="124" t="s">
        <v>13084</v>
      </c>
      <c r="E10026" s="28">
        <v>15000</v>
      </c>
      <c r="F10026" s="43"/>
      <c r="G10026" s="48">
        <f t="shared" si="249"/>
        <v>631102.10159436404</v>
      </c>
      <c r="H10026" s="535" t="s">
        <v>9567</v>
      </c>
    </row>
    <row r="10027" spans="1:14" x14ac:dyDescent="0.3">
      <c r="A10027" s="45">
        <v>45535</v>
      </c>
      <c r="B10027" s="396" t="s">
        <v>13902</v>
      </c>
      <c r="C10027" s="5" t="s">
        <v>26</v>
      </c>
      <c r="D10027" s="5" t="s">
        <v>14327</v>
      </c>
      <c r="E10027" s="43">
        <v>800</v>
      </c>
      <c r="F10027" s="43"/>
      <c r="G10027" s="48">
        <f t="shared" si="249"/>
        <v>630302.10159436404</v>
      </c>
      <c r="H10027" s="535" t="s">
        <v>9567</v>
      </c>
    </row>
    <row r="10028" spans="1:14" x14ac:dyDescent="0.3">
      <c r="A10028" s="45">
        <v>45535</v>
      </c>
      <c r="B10028" s="396"/>
      <c r="C10028" s="5" t="s">
        <v>84</v>
      </c>
      <c r="D10028" s="5" t="s">
        <v>14224</v>
      </c>
      <c r="E10028" s="43">
        <v>10000</v>
      </c>
      <c r="F10028" s="43"/>
      <c r="G10028" s="48">
        <f t="shared" si="249"/>
        <v>620302.10159436404</v>
      </c>
      <c r="H10028" s="535" t="s">
        <v>9567</v>
      </c>
    </row>
    <row r="10029" spans="1:14" x14ac:dyDescent="0.3">
      <c r="A10029" s="45">
        <v>45535</v>
      </c>
      <c r="B10029" s="396" t="s">
        <v>12133</v>
      </c>
      <c r="C10029" s="5" t="s">
        <v>5793</v>
      </c>
      <c r="D10029" s="5" t="s">
        <v>40</v>
      </c>
      <c r="E10029" s="43">
        <v>2000</v>
      </c>
      <c r="F10029" s="43"/>
      <c r="G10029" s="48">
        <f t="shared" si="249"/>
        <v>618302.10159436404</v>
      </c>
      <c r="H10029" s="535" t="s">
        <v>9567</v>
      </c>
    </row>
    <row r="10030" spans="1:14" x14ac:dyDescent="0.3">
      <c r="A10030" s="45">
        <v>45535</v>
      </c>
      <c r="B10030" s="396" t="s">
        <v>13709</v>
      </c>
      <c r="C10030" s="5" t="s">
        <v>5793</v>
      </c>
      <c r="D10030" s="5" t="s">
        <v>40</v>
      </c>
      <c r="E10030" s="43">
        <v>900</v>
      </c>
      <c r="F10030" s="43"/>
      <c r="G10030" s="48">
        <f t="shared" si="249"/>
        <v>617402.10159436404</v>
      </c>
      <c r="H10030" s="535" t="s">
        <v>9567</v>
      </c>
    </row>
    <row r="10031" spans="1:14" x14ac:dyDescent="0.3">
      <c r="A10031" s="45">
        <v>45535</v>
      </c>
      <c r="B10031" s="394" t="s">
        <v>25</v>
      </c>
      <c r="C10031" s="186" t="s">
        <v>54</v>
      </c>
      <c r="D10031" s="186" t="s">
        <v>13931</v>
      </c>
      <c r="E10031" s="187">
        <v>22000</v>
      </c>
      <c r="F10031" s="43"/>
      <c r="G10031" s="48">
        <f t="shared" si="249"/>
        <v>595402.10159436404</v>
      </c>
      <c r="H10031" s="535" t="s">
        <v>9567</v>
      </c>
    </row>
    <row r="10032" spans="1:14" x14ac:dyDescent="0.3">
      <c r="A10032" s="45">
        <v>45535</v>
      </c>
      <c r="B10032" s="394" t="s">
        <v>25</v>
      </c>
      <c r="C10032" s="186" t="s">
        <v>54</v>
      </c>
      <c r="D10032" s="186" t="s">
        <v>7837</v>
      </c>
      <c r="E10032" s="187">
        <v>6000</v>
      </c>
      <c r="F10032" s="43"/>
      <c r="G10032" s="48">
        <f t="shared" si="249"/>
        <v>589402.10159436404</v>
      </c>
      <c r="H10032" s="535" t="s">
        <v>9567</v>
      </c>
    </row>
    <row r="10033" spans="1:12" x14ac:dyDescent="0.3">
      <c r="A10033" s="45">
        <v>45535</v>
      </c>
      <c r="B10033" s="396" t="s">
        <v>25</v>
      </c>
      <c r="C10033" s="5" t="s">
        <v>26</v>
      </c>
      <c r="D10033" s="5" t="s">
        <v>14329</v>
      </c>
      <c r="E10033" s="43">
        <v>2500</v>
      </c>
      <c r="F10033" s="43"/>
      <c r="G10033" s="48">
        <f t="shared" si="249"/>
        <v>586902.10159436404</v>
      </c>
      <c r="H10033" s="535" t="s">
        <v>9567</v>
      </c>
    </row>
    <row r="10034" spans="1:12" x14ac:dyDescent="0.3">
      <c r="A10034" s="45">
        <v>45537</v>
      </c>
      <c r="B10034" s="396" t="s">
        <v>25</v>
      </c>
      <c r="C10034" s="5" t="s">
        <v>25</v>
      </c>
      <c r="D10034" s="5" t="s">
        <v>8503</v>
      </c>
      <c r="E10034" s="43">
        <v>4000</v>
      </c>
      <c r="F10034" s="43"/>
      <c r="G10034" s="48">
        <f t="shared" si="249"/>
        <v>582902.10159436404</v>
      </c>
      <c r="H10034" s="535" t="s">
        <v>9567</v>
      </c>
    </row>
    <row r="10035" spans="1:12" x14ac:dyDescent="0.3">
      <c r="A10035" s="45">
        <v>45537</v>
      </c>
      <c r="B10035" s="394" t="s">
        <v>13902</v>
      </c>
      <c r="C10035" s="186" t="s">
        <v>54</v>
      </c>
      <c r="D10035" s="186" t="s">
        <v>6245</v>
      </c>
      <c r="E10035" s="187">
        <v>104150</v>
      </c>
      <c r="F10035" s="43"/>
      <c r="G10035" s="48">
        <f t="shared" si="249"/>
        <v>478752.10159436404</v>
      </c>
      <c r="H10035" s="535" t="s">
        <v>9567</v>
      </c>
    </row>
    <row r="10036" spans="1:12" x14ac:dyDescent="0.3">
      <c r="A10036" s="45">
        <v>45537</v>
      </c>
      <c r="B10036" s="396" t="s">
        <v>12230</v>
      </c>
      <c r="C10036" s="5" t="s">
        <v>1074</v>
      </c>
      <c r="D10036" s="5" t="s">
        <v>12215</v>
      </c>
      <c r="E10036" s="43">
        <f>33217+81234</f>
        <v>114451</v>
      </c>
      <c r="F10036" s="43"/>
      <c r="G10036" s="48">
        <f t="shared" si="249"/>
        <v>364301.10159436404</v>
      </c>
      <c r="H10036" s="535" t="s">
        <v>9567</v>
      </c>
      <c r="K10036" s="52">
        <v>150000</v>
      </c>
    </row>
    <row r="10037" spans="1:12" x14ac:dyDescent="0.3">
      <c r="A10037" s="45">
        <v>45537</v>
      </c>
      <c r="B10037" s="396" t="s">
        <v>25</v>
      </c>
      <c r="C10037" s="5" t="s">
        <v>1074</v>
      </c>
      <c r="D10037" s="5" t="s">
        <v>12215</v>
      </c>
      <c r="E10037" s="43">
        <f>2481+67887</f>
        <v>70368</v>
      </c>
      <c r="F10037" s="43"/>
      <c r="G10037" s="48">
        <f t="shared" si="249"/>
        <v>293933.10159436404</v>
      </c>
      <c r="H10037" s="535" t="s">
        <v>9567</v>
      </c>
      <c r="K10037" s="52">
        <v>350000</v>
      </c>
    </row>
    <row r="10038" spans="1:12" x14ac:dyDescent="0.3">
      <c r="A10038" s="45">
        <v>45537</v>
      </c>
      <c r="B10038" s="396" t="s">
        <v>12230</v>
      </c>
      <c r="C10038" s="5" t="s">
        <v>1074</v>
      </c>
      <c r="D10038" s="5" t="s">
        <v>6234</v>
      </c>
      <c r="E10038" s="43">
        <v>2300</v>
      </c>
      <c r="F10038" s="43"/>
      <c r="G10038" s="48">
        <f t="shared" si="249"/>
        <v>291633.10159436404</v>
      </c>
      <c r="H10038" s="535"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5" t="s">
        <v>9567</v>
      </c>
      <c r="K10039" s="52">
        <v>200000</v>
      </c>
    </row>
    <row r="10040" spans="1:12" x14ac:dyDescent="0.3">
      <c r="A10040" s="45">
        <v>45537</v>
      </c>
      <c r="B10040" s="396" t="s">
        <v>12133</v>
      </c>
      <c r="C10040" s="5" t="s">
        <v>5793</v>
      </c>
      <c r="D10040" s="5" t="s">
        <v>8924</v>
      </c>
      <c r="E10040" s="43">
        <v>200</v>
      </c>
      <c r="F10040" s="43"/>
      <c r="G10040" s="48">
        <f t="shared" si="249"/>
        <v>289403.10159436404</v>
      </c>
      <c r="H10040" s="535" t="s">
        <v>9567</v>
      </c>
      <c r="K10040" s="52">
        <v>160000</v>
      </c>
    </row>
    <row r="10041" spans="1:12" x14ac:dyDescent="0.3">
      <c r="A10041" s="45">
        <v>45537</v>
      </c>
      <c r="B10041" s="396"/>
      <c r="C10041" s="5" t="s">
        <v>14</v>
      </c>
      <c r="D10041" s="5" t="s">
        <v>6234</v>
      </c>
      <c r="E10041" s="43">
        <v>680</v>
      </c>
      <c r="F10041" s="43"/>
      <c r="G10041" s="48">
        <f t="shared" si="249"/>
        <v>288723.10159436404</v>
      </c>
      <c r="H10041" s="535" t="s">
        <v>9567</v>
      </c>
      <c r="K10041" s="52">
        <v>430000</v>
      </c>
    </row>
    <row r="10042" spans="1:12" x14ac:dyDescent="0.3">
      <c r="A10042" s="45">
        <v>45537</v>
      </c>
      <c r="B10042" s="396" t="s">
        <v>13902</v>
      </c>
      <c r="C10042" s="5" t="s">
        <v>14331</v>
      </c>
      <c r="D10042" s="5" t="s">
        <v>14332</v>
      </c>
      <c r="E10042" s="43">
        <v>20000</v>
      </c>
      <c r="F10042" s="43"/>
      <c r="G10042" s="48">
        <f t="shared" si="249"/>
        <v>268723.10159436404</v>
      </c>
      <c r="H10042" s="535" t="s">
        <v>9567</v>
      </c>
      <c r="K10042" s="52">
        <v>500000</v>
      </c>
    </row>
    <row r="10043" spans="1:12" x14ac:dyDescent="0.3">
      <c r="A10043" s="45">
        <v>45537</v>
      </c>
      <c r="B10043" s="394" t="s">
        <v>12055</v>
      </c>
      <c r="C10043" s="186" t="s">
        <v>54</v>
      </c>
      <c r="D10043" s="186" t="s">
        <v>6236</v>
      </c>
      <c r="E10043" s="187">
        <v>145409.27419354839</v>
      </c>
      <c r="F10043" s="43"/>
      <c r="G10043" s="48">
        <f t="shared" si="249"/>
        <v>123313.82740081564</v>
      </c>
      <c r="H10043" s="535" t="s">
        <v>9567</v>
      </c>
      <c r="K10043" s="52">
        <v>10000</v>
      </c>
      <c r="L10043" s="4" t="s">
        <v>14371</v>
      </c>
    </row>
    <row r="10044" spans="1:12" x14ac:dyDescent="0.3">
      <c r="A10044" s="45">
        <v>45537</v>
      </c>
      <c r="B10044" s="396" t="s">
        <v>13709</v>
      </c>
      <c r="C10044" s="5" t="s">
        <v>11174</v>
      </c>
      <c r="D10044" s="5" t="s">
        <v>14335</v>
      </c>
      <c r="E10044" s="43">
        <v>2570</v>
      </c>
      <c r="F10044" s="43"/>
      <c r="G10044" s="48">
        <f t="shared" si="249"/>
        <v>120743.82740081564</v>
      </c>
      <c r="H10044" s="535" t="s">
        <v>9567</v>
      </c>
      <c r="K10044" s="52">
        <v>100000</v>
      </c>
    </row>
    <row r="10045" spans="1:12" x14ac:dyDescent="0.3">
      <c r="A10045" s="45">
        <v>45537</v>
      </c>
      <c r="B10045" s="396" t="s">
        <v>13188</v>
      </c>
      <c r="C10045" s="5" t="s">
        <v>11174</v>
      </c>
      <c r="D10045" s="5" t="s">
        <v>14336</v>
      </c>
      <c r="E10045" s="43">
        <v>600</v>
      </c>
      <c r="F10045" s="43"/>
      <c r="G10045" s="48">
        <f t="shared" si="249"/>
        <v>120143.82740081564</v>
      </c>
      <c r="H10045" s="535" t="s">
        <v>9567</v>
      </c>
      <c r="K10045" s="52">
        <v>60000</v>
      </c>
    </row>
    <row r="10046" spans="1:12" x14ac:dyDescent="0.3">
      <c r="A10046" s="45">
        <v>45537</v>
      </c>
      <c r="B10046" s="396" t="s">
        <v>13188</v>
      </c>
      <c r="C10046" s="5" t="s">
        <v>5793</v>
      </c>
      <c r="D10046" s="5" t="s">
        <v>40</v>
      </c>
      <c r="E10046" s="43">
        <v>800</v>
      </c>
      <c r="F10046" s="43"/>
      <c r="G10046" s="48">
        <f t="shared" si="249"/>
        <v>119343.82740081564</v>
      </c>
      <c r="H10046" s="535" t="s">
        <v>9567</v>
      </c>
    </row>
    <row r="10047" spans="1:12" x14ac:dyDescent="0.3">
      <c r="A10047" s="45">
        <v>45537</v>
      </c>
      <c r="B10047" s="396" t="s">
        <v>12611</v>
      </c>
      <c r="C10047" s="5" t="s">
        <v>5793</v>
      </c>
      <c r="D10047" s="5" t="s">
        <v>14337</v>
      </c>
      <c r="E10047" s="43">
        <v>300</v>
      </c>
      <c r="F10047" s="43"/>
      <c r="G10047" s="48">
        <f t="shared" ref="G10047:G10115" si="250">G10046+F10047-E10047</f>
        <v>119043.82740081564</v>
      </c>
      <c r="H10047" s="535" t="s">
        <v>9567</v>
      </c>
    </row>
    <row r="10048" spans="1:12" x14ac:dyDescent="0.3">
      <c r="A10048" s="45">
        <v>45537</v>
      </c>
      <c r="B10048" s="396"/>
      <c r="C10048" s="5" t="s">
        <v>4550</v>
      </c>
      <c r="D10048" s="5" t="s">
        <v>294</v>
      </c>
      <c r="E10048" s="43">
        <v>15000</v>
      </c>
      <c r="F10048" s="43"/>
      <c r="G10048" s="48">
        <f t="shared" si="250"/>
        <v>104043.82740081564</v>
      </c>
      <c r="H10048" s="535" t="s">
        <v>9567</v>
      </c>
      <c r="K10048" s="52">
        <f>SUM(K10036:K10047)</f>
        <v>2160000</v>
      </c>
    </row>
    <row r="10049" spans="1:13" x14ac:dyDescent="0.3">
      <c r="A10049" s="45">
        <v>45537</v>
      </c>
      <c r="B10049" s="565"/>
      <c r="C10049" s="480"/>
      <c r="D10049" s="491" t="s">
        <v>14098</v>
      </c>
      <c r="E10049" s="480"/>
      <c r="F10049" s="43">
        <v>1000000</v>
      </c>
      <c r="G10049" s="48">
        <f t="shared" si="250"/>
        <v>1104043.8274008157</v>
      </c>
      <c r="H10049" s="535" t="s">
        <v>9567</v>
      </c>
    </row>
    <row r="10050" spans="1:13" x14ac:dyDescent="0.3">
      <c r="A10050" s="45">
        <v>45537</v>
      </c>
      <c r="B10050" s="396"/>
      <c r="C10050" s="5" t="s">
        <v>14</v>
      </c>
      <c r="D10050" s="5" t="s">
        <v>14338</v>
      </c>
      <c r="E10050" s="43">
        <v>50000</v>
      </c>
      <c r="F10050" s="43"/>
      <c r="G10050" s="48">
        <f t="shared" si="250"/>
        <v>1054043.8274008157</v>
      </c>
      <c r="H10050" s="535" t="s">
        <v>9567</v>
      </c>
    </row>
    <row r="10051" spans="1:13" x14ac:dyDescent="0.3">
      <c r="A10051" s="45">
        <v>45537</v>
      </c>
      <c r="B10051" s="394" t="s">
        <v>25</v>
      </c>
      <c r="C10051" s="186" t="s">
        <v>54</v>
      </c>
      <c r="D10051" s="186" t="s">
        <v>11379</v>
      </c>
      <c r="E10051" s="187">
        <v>287500</v>
      </c>
      <c r="F10051" s="43"/>
      <c r="G10051" s="48">
        <f t="shared" si="250"/>
        <v>766543.82740081567</v>
      </c>
      <c r="H10051" s="535" t="s">
        <v>9567</v>
      </c>
      <c r="K10051" s="52">
        <f>E10051-75000</f>
        <v>212500</v>
      </c>
    </row>
    <row r="10052" spans="1:13" x14ac:dyDescent="0.3">
      <c r="A10052" s="45">
        <v>45538</v>
      </c>
      <c r="B10052" s="394" t="s">
        <v>12080</v>
      </c>
      <c r="C10052" s="186" t="s">
        <v>54</v>
      </c>
      <c r="D10052" s="186" t="s">
        <v>12746</v>
      </c>
      <c r="E10052" s="187">
        <v>209604.83870967745</v>
      </c>
      <c r="F10052" s="43"/>
      <c r="G10052" s="48">
        <f t="shared" si="250"/>
        <v>556938.98869113822</v>
      </c>
      <c r="H10052" s="535" t="s">
        <v>9567</v>
      </c>
      <c r="K10052" s="52">
        <f>E10052</f>
        <v>209604.83870967745</v>
      </c>
    </row>
    <row r="10053" spans="1:13" x14ac:dyDescent="0.3">
      <c r="A10053" s="45">
        <v>45538</v>
      </c>
      <c r="B10053" s="396" t="s">
        <v>12080</v>
      </c>
      <c r="C10053" s="5" t="s">
        <v>26</v>
      </c>
      <c r="D10053" s="5" t="s">
        <v>5915</v>
      </c>
      <c r="E10053" s="43">
        <v>3000</v>
      </c>
      <c r="F10053" s="43"/>
      <c r="G10053" s="48">
        <f t="shared" si="250"/>
        <v>553938.98869113822</v>
      </c>
      <c r="H10053" s="535" t="s">
        <v>9567</v>
      </c>
      <c r="K10053" s="52">
        <f>E10057</f>
        <v>284284.27419354836</v>
      </c>
    </row>
    <row r="10054" spans="1:13" x14ac:dyDescent="0.3">
      <c r="A10054" s="45">
        <v>45538</v>
      </c>
      <c r="B10054" s="396" t="s">
        <v>13379</v>
      </c>
      <c r="C10054" s="5" t="s">
        <v>11174</v>
      </c>
      <c r="D10054" s="5" t="s">
        <v>14339</v>
      </c>
      <c r="E10054" s="43">
        <v>4630</v>
      </c>
      <c r="F10054" s="43"/>
      <c r="G10054" s="48">
        <f t="shared" si="250"/>
        <v>549308.98869113822</v>
      </c>
      <c r="H10054" s="535" t="s">
        <v>9567</v>
      </c>
      <c r="K10054" s="52">
        <v>65161</v>
      </c>
      <c r="L10054" s="4" t="s">
        <v>14366</v>
      </c>
    </row>
    <row r="10055" spans="1:13" x14ac:dyDescent="0.3">
      <c r="A10055" s="45">
        <v>45538</v>
      </c>
      <c r="B10055" s="396" t="s">
        <v>25</v>
      </c>
      <c r="C10055" s="5" t="s">
        <v>30</v>
      </c>
      <c r="D10055" s="5" t="s">
        <v>14126</v>
      </c>
      <c r="E10055" s="43">
        <v>500</v>
      </c>
      <c r="F10055" s="43"/>
      <c r="G10055" s="48">
        <f t="shared" si="250"/>
        <v>548808.98869113822</v>
      </c>
      <c r="H10055" s="535" t="s">
        <v>9567</v>
      </c>
      <c r="K10055" s="52">
        <v>39875</v>
      </c>
      <c r="L10055" s="4" t="s">
        <v>6959</v>
      </c>
    </row>
    <row r="10056" spans="1:13" x14ac:dyDescent="0.3">
      <c r="A10056" s="45">
        <v>45538</v>
      </c>
      <c r="B10056" s="396" t="s">
        <v>13981</v>
      </c>
      <c r="C10056" s="5" t="s">
        <v>11174</v>
      </c>
      <c r="D10056" s="5" t="s">
        <v>14347</v>
      </c>
      <c r="E10056" s="43">
        <v>5000</v>
      </c>
      <c r="F10056" s="43"/>
      <c r="G10056" s="48">
        <f t="shared" si="250"/>
        <v>543808.98869113822</v>
      </c>
      <c r="H10056" s="535" t="s">
        <v>9567</v>
      </c>
      <c r="K10056" s="52">
        <v>33597</v>
      </c>
      <c r="L10056" s="4" t="s">
        <v>6959</v>
      </c>
      <c r="M10056" s="4">
        <v>1400</v>
      </c>
    </row>
    <row r="10057" spans="1:13" x14ac:dyDescent="0.3">
      <c r="A10057" s="45">
        <v>45538</v>
      </c>
      <c r="B10057" s="394" t="s">
        <v>13321</v>
      </c>
      <c r="C10057" s="186" t="s">
        <v>54</v>
      </c>
      <c r="D10057" s="186" t="s">
        <v>14355</v>
      </c>
      <c r="E10057" s="187">
        <v>284284.27419354836</v>
      </c>
      <c r="F10057" s="43"/>
      <c r="G10057" s="48">
        <f t="shared" si="250"/>
        <v>259524.71449758986</v>
      </c>
      <c r="H10057" s="535" t="s">
        <v>9567</v>
      </c>
      <c r="K10057" s="52">
        <v>27742</v>
      </c>
      <c r="L10057" s="4" t="s">
        <v>14367</v>
      </c>
      <c r="M10057" s="4">
        <v>3000</v>
      </c>
    </row>
    <row r="10058" spans="1:13" x14ac:dyDescent="0.3">
      <c r="A10058" s="45">
        <v>45538</v>
      </c>
      <c r="B10058" s="396" t="s">
        <v>13458</v>
      </c>
      <c r="C10058" s="5" t="s">
        <v>5793</v>
      </c>
      <c r="D10058" s="5" t="s">
        <v>40</v>
      </c>
      <c r="E10058" s="43">
        <v>700</v>
      </c>
      <c r="F10058" s="43"/>
      <c r="G10058" s="48">
        <f t="shared" si="250"/>
        <v>258824.71449758986</v>
      </c>
      <c r="H10058" s="535" t="s">
        <v>9567</v>
      </c>
      <c r="K10058" s="52">
        <v>827475.80645161308</v>
      </c>
    </row>
    <row r="10059" spans="1:13" x14ac:dyDescent="0.3">
      <c r="A10059" s="45">
        <v>45538</v>
      </c>
      <c r="B10059" s="396" t="s">
        <v>13833</v>
      </c>
      <c r="C10059" s="5" t="s">
        <v>11174</v>
      </c>
      <c r="D10059" s="5" t="s">
        <v>8924</v>
      </c>
      <c r="E10059" s="43">
        <v>200</v>
      </c>
      <c r="F10059" s="43"/>
      <c r="G10059" s="48">
        <f t="shared" si="250"/>
        <v>258624.71449758986</v>
      </c>
      <c r="H10059" s="535" t="s">
        <v>9567</v>
      </c>
      <c r="K10059" s="52">
        <v>125000</v>
      </c>
    </row>
    <row r="10060" spans="1:13" x14ac:dyDescent="0.3">
      <c r="A10060" s="45">
        <v>45538</v>
      </c>
      <c r="B10060" s="396" t="s">
        <v>25</v>
      </c>
      <c r="C10060" s="5" t="s">
        <v>25</v>
      </c>
      <c r="D10060" s="5" t="s">
        <v>8503</v>
      </c>
      <c r="E10060" s="43">
        <v>4000</v>
      </c>
      <c r="F10060" s="43"/>
      <c r="G10060" s="48">
        <f t="shared" si="250"/>
        <v>254624.71449758986</v>
      </c>
      <c r="H10060" s="535" t="s">
        <v>9567</v>
      </c>
      <c r="K10060" s="52">
        <v>16129.032258064522</v>
      </c>
      <c r="L10060" s="4" t="s">
        <v>14372</v>
      </c>
    </row>
    <row r="10061" spans="1:13" x14ac:dyDescent="0.3">
      <c r="A10061" s="45">
        <v>45538</v>
      </c>
      <c r="B10061" s="396" t="s">
        <v>13379</v>
      </c>
      <c r="C10061" s="5" t="s">
        <v>5793</v>
      </c>
      <c r="D10061" s="5" t="s">
        <v>14348</v>
      </c>
      <c r="E10061" s="43">
        <v>5500</v>
      </c>
      <c r="F10061" s="43"/>
      <c r="G10061" s="48">
        <f t="shared" si="250"/>
        <v>249124.71449758986</v>
      </c>
      <c r="H10061" s="535" t="s">
        <v>9567</v>
      </c>
      <c r="K10061" s="52">
        <v>27741.93548387097</v>
      </c>
      <c r="L10061" s="4" t="s">
        <v>14367</v>
      </c>
    </row>
    <row r="10062" spans="1:13" x14ac:dyDescent="0.3">
      <c r="A10062" s="45">
        <v>45538</v>
      </c>
      <c r="B10062" s="396" t="s">
        <v>13188</v>
      </c>
      <c r="C10062" s="5" t="s">
        <v>9451</v>
      </c>
      <c r="D10062" s="5" t="s">
        <v>14350</v>
      </c>
      <c r="E10062" s="43">
        <v>14000</v>
      </c>
      <c r="F10062" s="43"/>
      <c r="G10062" s="48">
        <f t="shared" si="250"/>
        <v>235124.71449758986</v>
      </c>
      <c r="H10062" s="535" t="s">
        <v>9567</v>
      </c>
      <c r="K10062" s="52">
        <v>50161.290322580644</v>
      </c>
      <c r="L10062" s="4" t="s">
        <v>9896</v>
      </c>
    </row>
    <row r="10063" spans="1:13" x14ac:dyDescent="0.3">
      <c r="A10063" s="45">
        <v>45538</v>
      </c>
      <c r="B10063" s="396" t="s">
        <v>13188</v>
      </c>
      <c r="C10063" s="5" t="s">
        <v>26</v>
      </c>
      <c r="D10063" s="5" t="s">
        <v>14349</v>
      </c>
      <c r="E10063" s="43">
        <v>700</v>
      </c>
      <c r="F10063" s="43"/>
      <c r="G10063" s="48">
        <f t="shared" si="250"/>
        <v>234424.71449758986</v>
      </c>
      <c r="H10063" s="535" t="s">
        <v>9567</v>
      </c>
      <c r="K10063" s="52">
        <v>226143.14516129033</v>
      </c>
    </row>
    <row r="10064" spans="1:13" x14ac:dyDescent="0.3">
      <c r="A10064" s="45">
        <v>45538</v>
      </c>
      <c r="B10064" s="396" t="s">
        <v>25</v>
      </c>
      <c r="C10064" s="5" t="s">
        <v>26</v>
      </c>
      <c r="D10064" s="5" t="s">
        <v>14356</v>
      </c>
      <c r="E10064" s="43">
        <v>150</v>
      </c>
      <c r="F10064" s="43"/>
      <c r="G10064" s="48">
        <f t="shared" si="250"/>
        <v>234274.71449758986</v>
      </c>
      <c r="H10064" s="535" t="s">
        <v>9567</v>
      </c>
    </row>
    <row r="10065" spans="1:11" x14ac:dyDescent="0.3">
      <c r="A10065" s="45">
        <v>45538</v>
      </c>
      <c r="B10065" s="396"/>
      <c r="C10065" s="5" t="s">
        <v>68</v>
      </c>
      <c r="D10065" s="5" t="s">
        <v>294</v>
      </c>
      <c r="E10065" s="43">
        <v>1000</v>
      </c>
      <c r="F10065" s="43"/>
      <c r="G10065" s="48">
        <f t="shared" si="250"/>
        <v>233274.71449758986</v>
      </c>
      <c r="H10065" s="535" t="s">
        <v>9567</v>
      </c>
      <c r="K10065" s="52">
        <f>SUM(K10051:K10064)</f>
        <v>2145415.3225806453</v>
      </c>
    </row>
    <row r="10066" spans="1:11" x14ac:dyDescent="0.3">
      <c r="A10066" s="45">
        <v>45538</v>
      </c>
      <c r="B10066" s="394" t="s">
        <v>12133</v>
      </c>
      <c r="C10066" s="186" t="s">
        <v>54</v>
      </c>
      <c r="D10066" s="186" t="s">
        <v>14357</v>
      </c>
      <c r="E10066" s="187">
        <f>65161+27742</f>
        <v>92903</v>
      </c>
      <c r="F10066" s="43"/>
      <c r="G10066" s="48">
        <f t="shared" si="250"/>
        <v>140371.71449758986</v>
      </c>
      <c r="H10066" s="535" t="s">
        <v>9567</v>
      </c>
      <c r="J10066" s="52">
        <f>E10066+E10057+E10051+E10052+E10043</f>
        <v>1019701.3870967742</v>
      </c>
    </row>
    <row r="10067" spans="1:11" x14ac:dyDescent="0.3">
      <c r="A10067" s="45">
        <v>45538</v>
      </c>
      <c r="B10067" s="394" t="s">
        <v>13709</v>
      </c>
      <c r="C10067" s="186" t="s">
        <v>54</v>
      </c>
      <c r="D10067" s="186" t="s">
        <v>14358</v>
      </c>
      <c r="E10067" s="187">
        <f>39875+33897</f>
        <v>73772</v>
      </c>
      <c r="F10067" s="43"/>
      <c r="G10067" s="48">
        <f t="shared" si="250"/>
        <v>66599.714497589855</v>
      </c>
      <c r="H10067" s="535" t="s">
        <v>9567</v>
      </c>
    </row>
    <row r="10068" spans="1:11" x14ac:dyDescent="0.3">
      <c r="A10068" s="45">
        <v>45538</v>
      </c>
      <c r="B10068" s="396" t="s">
        <v>13188</v>
      </c>
      <c r="C10068" s="5" t="s">
        <v>5793</v>
      </c>
      <c r="D10068" s="5" t="s">
        <v>40</v>
      </c>
      <c r="E10068" s="43">
        <v>2500</v>
      </c>
      <c r="F10068" s="43"/>
      <c r="G10068" s="48">
        <f t="shared" si="250"/>
        <v>64099.714497589855</v>
      </c>
      <c r="H10068" s="535" t="s">
        <v>9567</v>
      </c>
    </row>
    <row r="10069" spans="1:11" x14ac:dyDescent="0.3">
      <c r="A10069" s="45">
        <v>45538</v>
      </c>
      <c r="B10069" s="396" t="s">
        <v>13188</v>
      </c>
      <c r="C10069" s="5" t="s">
        <v>5793</v>
      </c>
      <c r="D10069" s="5" t="s">
        <v>40</v>
      </c>
      <c r="E10069" s="43">
        <v>3000</v>
      </c>
      <c r="F10069" s="43"/>
      <c r="G10069" s="48">
        <f t="shared" si="250"/>
        <v>61099.714497589855</v>
      </c>
      <c r="H10069" s="535" t="s">
        <v>9567</v>
      </c>
      <c r="K10069" s="52">
        <f>K10048-K10065</f>
        <v>14584.677419354673</v>
      </c>
    </row>
    <row r="10070" spans="1:11" x14ac:dyDescent="0.3">
      <c r="A10070" s="45">
        <v>45538</v>
      </c>
      <c r="B10070" s="396" t="s">
        <v>13188</v>
      </c>
      <c r="C10070" s="5" t="s">
        <v>11174</v>
      </c>
      <c r="D10070" s="5" t="s">
        <v>14359</v>
      </c>
      <c r="E10070" s="43">
        <v>16800</v>
      </c>
      <c r="F10070" s="43"/>
      <c r="G10070" s="48">
        <f t="shared" si="250"/>
        <v>44299.714497589855</v>
      </c>
      <c r="H10070" s="535" t="s">
        <v>9567</v>
      </c>
    </row>
    <row r="10071" spans="1:11" x14ac:dyDescent="0.3">
      <c r="A10071" s="45">
        <v>45538</v>
      </c>
      <c r="B10071" s="396" t="s">
        <v>13321</v>
      </c>
      <c r="C10071" s="5" t="s">
        <v>7040</v>
      </c>
      <c r="D10071" s="5" t="s">
        <v>294</v>
      </c>
      <c r="E10071" s="43">
        <v>3000</v>
      </c>
      <c r="F10071" s="43"/>
      <c r="G10071" s="48">
        <f t="shared" si="250"/>
        <v>41299.714497589855</v>
      </c>
      <c r="H10071" s="535" t="s">
        <v>9567</v>
      </c>
      <c r="K10071" s="52">
        <f>K10069-M10056-M10057</f>
        <v>10184.677419354673</v>
      </c>
    </row>
    <row r="10072" spans="1:11" x14ac:dyDescent="0.3">
      <c r="A10072" s="45">
        <v>45539</v>
      </c>
      <c r="B10072" s="396" t="s">
        <v>13458</v>
      </c>
      <c r="C10072" s="5" t="s">
        <v>5793</v>
      </c>
      <c r="D10072" s="5" t="s">
        <v>294</v>
      </c>
      <c r="E10072" s="43">
        <v>400</v>
      </c>
      <c r="F10072" s="43"/>
      <c r="G10072" s="48">
        <f t="shared" si="250"/>
        <v>40899.714497589855</v>
      </c>
      <c r="H10072" s="535" t="s">
        <v>9567</v>
      </c>
    </row>
    <row r="10073" spans="1:11" x14ac:dyDescent="0.3">
      <c r="A10073" s="45">
        <v>45539</v>
      </c>
      <c r="B10073" s="396" t="s">
        <v>13188</v>
      </c>
      <c r="C10073" s="5" t="s">
        <v>5793</v>
      </c>
      <c r="D10073" s="5" t="s">
        <v>294</v>
      </c>
      <c r="E10073" s="43">
        <v>3300</v>
      </c>
      <c r="F10073" s="43"/>
      <c r="G10073" s="48">
        <f t="shared" si="250"/>
        <v>37599.714497589855</v>
      </c>
      <c r="H10073" s="535" t="s">
        <v>9567</v>
      </c>
    </row>
    <row r="10074" spans="1:11" x14ac:dyDescent="0.3">
      <c r="A10074" s="45">
        <v>45539</v>
      </c>
      <c r="B10074" s="396" t="s">
        <v>13188</v>
      </c>
      <c r="C10074" s="5" t="s">
        <v>5793</v>
      </c>
      <c r="D10074" s="5" t="s">
        <v>294</v>
      </c>
      <c r="E10074" s="43">
        <v>2500</v>
      </c>
      <c r="F10074" s="43"/>
      <c r="G10074" s="48">
        <f t="shared" si="250"/>
        <v>35099.714497589855</v>
      </c>
      <c r="H10074" s="535" t="s">
        <v>9567</v>
      </c>
    </row>
    <row r="10075" spans="1:11" x14ac:dyDescent="0.3">
      <c r="A10075" s="45">
        <v>45540</v>
      </c>
      <c r="B10075" s="565"/>
      <c r="C10075" s="480"/>
      <c r="D10075" s="491" t="s">
        <v>14369</v>
      </c>
      <c r="E10075" s="480"/>
      <c r="F10075" s="43">
        <v>20000</v>
      </c>
      <c r="G10075" s="48">
        <f t="shared" si="250"/>
        <v>55099.714497589855</v>
      </c>
      <c r="H10075" s="535" t="s">
        <v>9567</v>
      </c>
    </row>
    <row r="10076" spans="1:11" x14ac:dyDescent="0.3">
      <c r="A10076" s="45">
        <v>45539</v>
      </c>
      <c r="B10076" s="396" t="s">
        <v>13188</v>
      </c>
      <c r="C10076" s="5" t="s">
        <v>11174</v>
      </c>
      <c r="D10076" s="5" t="s">
        <v>14360</v>
      </c>
      <c r="E10076" s="43">
        <v>500</v>
      </c>
      <c r="F10076" s="43"/>
      <c r="G10076" s="48">
        <f t="shared" si="250"/>
        <v>54599.714497589855</v>
      </c>
      <c r="H10076" s="535" t="s">
        <v>9567</v>
      </c>
    </row>
    <row r="10077" spans="1:11" x14ac:dyDescent="0.3">
      <c r="A10077" s="45">
        <v>45539</v>
      </c>
      <c r="B10077" s="396" t="s">
        <v>25</v>
      </c>
      <c r="C10077" s="5" t="s">
        <v>25</v>
      </c>
      <c r="D10077" s="5" t="s">
        <v>8503</v>
      </c>
      <c r="E10077" s="43">
        <v>1500</v>
      </c>
      <c r="F10077" s="43"/>
      <c r="G10077" s="48">
        <f t="shared" si="250"/>
        <v>53099.714497589855</v>
      </c>
      <c r="H10077" s="535" t="s">
        <v>9567</v>
      </c>
    </row>
    <row r="10078" spans="1:11" x14ac:dyDescent="0.3">
      <c r="A10078" s="45">
        <v>45539</v>
      </c>
      <c r="B10078" s="396" t="s">
        <v>13188</v>
      </c>
      <c r="C10078" s="5" t="s">
        <v>11174</v>
      </c>
      <c r="D10078" s="5" t="s">
        <v>14368</v>
      </c>
      <c r="E10078" s="43">
        <v>13160</v>
      </c>
      <c r="F10078" s="43"/>
      <c r="G10078" s="48">
        <f t="shared" si="250"/>
        <v>39939.714497589855</v>
      </c>
      <c r="H10078" s="535" t="s">
        <v>9567</v>
      </c>
    </row>
    <row r="10079" spans="1:11" x14ac:dyDescent="0.3">
      <c r="A10079" s="45">
        <v>45540</v>
      </c>
      <c r="B10079" s="396" t="s">
        <v>12611</v>
      </c>
      <c r="C10079" s="5" t="s">
        <v>11174</v>
      </c>
      <c r="D10079" s="5" t="s">
        <v>14361</v>
      </c>
      <c r="E10079" s="43">
        <v>10000</v>
      </c>
      <c r="F10079" s="43"/>
      <c r="G10079" s="48">
        <f t="shared" si="250"/>
        <v>29939.714497589855</v>
      </c>
      <c r="H10079" s="535" t="s">
        <v>9567</v>
      </c>
    </row>
    <row r="10080" spans="1:11" x14ac:dyDescent="0.3">
      <c r="A10080" s="45">
        <v>45540</v>
      </c>
      <c r="B10080" s="565"/>
      <c r="C10080" s="480"/>
      <c r="D10080" s="491" t="s">
        <v>14098</v>
      </c>
      <c r="E10080" s="480"/>
      <c r="F10080" s="43">
        <v>200000</v>
      </c>
      <c r="G10080" s="48">
        <f t="shared" si="250"/>
        <v>229939.71449758986</v>
      </c>
      <c r="H10080" s="535" t="s">
        <v>9567</v>
      </c>
    </row>
    <row r="10081" spans="1:8" x14ac:dyDescent="0.3">
      <c r="A10081" s="45">
        <v>45540</v>
      </c>
      <c r="B10081" s="396" t="s">
        <v>12230</v>
      </c>
      <c r="C10081" s="5" t="s">
        <v>26</v>
      </c>
      <c r="D10081" s="5" t="s">
        <v>14362</v>
      </c>
      <c r="E10081" s="43">
        <v>1100</v>
      </c>
      <c r="F10081" s="43"/>
      <c r="G10081" s="48">
        <f t="shared" si="250"/>
        <v>228839.71449758986</v>
      </c>
      <c r="H10081" s="535" t="s">
        <v>9567</v>
      </c>
    </row>
    <row r="10082" spans="1:8" x14ac:dyDescent="0.3">
      <c r="A10082" s="45">
        <v>45540</v>
      </c>
      <c r="B10082" s="396" t="s">
        <v>13458</v>
      </c>
      <c r="C10082" s="5" t="s">
        <v>5288</v>
      </c>
      <c r="D10082" s="5" t="s">
        <v>5813</v>
      </c>
      <c r="E10082" s="43">
        <v>5000</v>
      </c>
      <c r="F10082" s="43"/>
      <c r="G10082" s="48">
        <f t="shared" si="250"/>
        <v>223839.71449758986</v>
      </c>
      <c r="H10082" s="535" t="s">
        <v>9567</v>
      </c>
    </row>
    <row r="10083" spans="1:8" x14ac:dyDescent="0.3">
      <c r="A10083" s="45">
        <v>45540</v>
      </c>
      <c r="B10083" s="396" t="s">
        <v>13981</v>
      </c>
      <c r="C10083" s="5" t="s">
        <v>9758</v>
      </c>
      <c r="D10083" s="5" t="s">
        <v>13834</v>
      </c>
      <c r="E10083" s="43">
        <v>10000</v>
      </c>
      <c r="F10083" s="43"/>
      <c r="G10083" s="48">
        <f t="shared" si="250"/>
        <v>213839.71449758986</v>
      </c>
      <c r="H10083" s="535" t="s">
        <v>9567</v>
      </c>
    </row>
    <row r="10084" spans="1:8" x14ac:dyDescent="0.3">
      <c r="A10084" s="45">
        <v>45540</v>
      </c>
      <c r="B10084" s="396" t="s">
        <v>13458</v>
      </c>
      <c r="C10084" s="5" t="s">
        <v>11174</v>
      </c>
      <c r="D10084" s="5" t="s">
        <v>14363</v>
      </c>
      <c r="E10084" s="43">
        <v>960</v>
      </c>
      <c r="F10084" s="43"/>
      <c r="G10084" s="48">
        <f t="shared" si="250"/>
        <v>212879.71449758986</v>
      </c>
      <c r="H10084" s="535" t="s">
        <v>9567</v>
      </c>
    </row>
    <row r="10085" spans="1:8" x14ac:dyDescent="0.3">
      <c r="A10085" s="45">
        <v>45540</v>
      </c>
      <c r="B10085" s="565"/>
      <c r="C10085" s="480"/>
      <c r="D10085" s="491" t="s">
        <v>14098</v>
      </c>
      <c r="E10085" s="480"/>
      <c r="F10085" s="43">
        <v>562515</v>
      </c>
      <c r="G10085" s="48">
        <f t="shared" si="250"/>
        <v>775394.71449758986</v>
      </c>
      <c r="H10085" s="535" t="s">
        <v>9567</v>
      </c>
    </row>
    <row r="10086" spans="1:8" x14ac:dyDescent="0.3">
      <c r="A10086" s="45">
        <v>45540</v>
      </c>
      <c r="B10086" s="565"/>
      <c r="C10086" s="480"/>
      <c r="D10086" s="491" t="s">
        <v>14098</v>
      </c>
      <c r="E10086" s="480"/>
      <c r="F10086" s="43">
        <v>430000</v>
      </c>
      <c r="G10086" s="48">
        <f t="shared" si="250"/>
        <v>1205394.71449759</v>
      </c>
      <c r="H10086" s="535" t="s">
        <v>9567</v>
      </c>
    </row>
    <row r="10087" spans="1:8" x14ac:dyDescent="0.3">
      <c r="A10087" s="45">
        <v>45540</v>
      </c>
      <c r="B10087" s="565"/>
      <c r="C10087" s="480"/>
      <c r="D10087" s="491" t="s">
        <v>14098</v>
      </c>
      <c r="E10087" s="480"/>
      <c r="F10087" s="43">
        <v>400000</v>
      </c>
      <c r="G10087" s="48">
        <f t="shared" si="250"/>
        <v>1605394.71449759</v>
      </c>
      <c r="H10087" s="535" t="s">
        <v>9567</v>
      </c>
    </row>
    <row r="10088" spans="1:8" x14ac:dyDescent="0.3">
      <c r="A10088" s="45">
        <v>45540</v>
      </c>
      <c r="B10088" s="394" t="s">
        <v>12611</v>
      </c>
      <c r="C10088" s="186" t="s">
        <v>54</v>
      </c>
      <c r="D10088" s="186" t="s">
        <v>13164</v>
      </c>
      <c r="E10088" s="187">
        <v>817499.32258064533</v>
      </c>
      <c r="F10088" s="43"/>
      <c r="G10088" s="48">
        <f t="shared" si="250"/>
        <v>787895.39191694465</v>
      </c>
      <c r="H10088" s="535" t="s">
        <v>9567</v>
      </c>
    </row>
    <row r="10089" spans="1:8" x14ac:dyDescent="0.3">
      <c r="A10089" s="45">
        <v>45540</v>
      </c>
      <c r="B10089" s="396" t="s">
        <v>13321</v>
      </c>
      <c r="C10089" s="5" t="s">
        <v>3220</v>
      </c>
      <c r="D10089" s="5" t="s">
        <v>294</v>
      </c>
      <c r="E10089" s="43">
        <v>20000</v>
      </c>
      <c r="F10089" s="43"/>
      <c r="G10089" s="48">
        <f t="shared" si="250"/>
        <v>767895.39191694465</v>
      </c>
      <c r="H10089" s="535" t="s">
        <v>9567</v>
      </c>
    </row>
    <row r="10090" spans="1:8" x14ac:dyDescent="0.3">
      <c r="A10090" s="45">
        <v>45540</v>
      </c>
      <c r="B10090" s="396" t="s">
        <v>13188</v>
      </c>
      <c r="C10090" s="5" t="s">
        <v>5793</v>
      </c>
      <c r="D10090" s="5" t="s">
        <v>294</v>
      </c>
      <c r="E10090" s="43">
        <v>1000</v>
      </c>
      <c r="F10090" s="43"/>
      <c r="G10090" s="48">
        <f t="shared" si="250"/>
        <v>766895.39191694465</v>
      </c>
      <c r="H10090" s="535" t="s">
        <v>9567</v>
      </c>
    </row>
    <row r="10091" spans="1:8" x14ac:dyDescent="0.3">
      <c r="A10091" s="45">
        <v>45540</v>
      </c>
      <c r="B10091" s="396" t="s">
        <v>12133</v>
      </c>
      <c r="C10091" s="5" t="s">
        <v>11174</v>
      </c>
      <c r="D10091" s="5" t="s">
        <v>14373</v>
      </c>
      <c r="E10091" s="43">
        <v>3750</v>
      </c>
      <c r="F10091" s="43"/>
      <c r="G10091" s="48">
        <f t="shared" si="250"/>
        <v>763145.39191694465</v>
      </c>
      <c r="H10091" s="535" t="s">
        <v>9567</v>
      </c>
    </row>
    <row r="10092" spans="1:8" x14ac:dyDescent="0.3">
      <c r="A10092" s="45">
        <v>45540</v>
      </c>
      <c r="B10092" s="396" t="s">
        <v>13379</v>
      </c>
      <c r="C10092" s="5" t="s">
        <v>5793</v>
      </c>
      <c r="D10092" s="5" t="s">
        <v>294</v>
      </c>
      <c r="E10092" s="43">
        <v>3500</v>
      </c>
      <c r="F10092" s="43"/>
      <c r="G10092" s="48">
        <f t="shared" si="250"/>
        <v>759645.39191694465</v>
      </c>
      <c r="H10092" s="535" t="s">
        <v>9567</v>
      </c>
    </row>
    <row r="10093" spans="1:8" x14ac:dyDescent="0.3">
      <c r="A10093" s="45">
        <v>45540</v>
      </c>
      <c r="B10093" s="396" t="s">
        <v>12133</v>
      </c>
      <c r="C10093" s="5" t="s">
        <v>5162</v>
      </c>
      <c r="D10093" s="5" t="s">
        <v>294</v>
      </c>
      <c r="E10093" s="43">
        <v>10000</v>
      </c>
      <c r="F10093" s="43"/>
      <c r="G10093" s="48">
        <f t="shared" si="250"/>
        <v>749645.39191694465</v>
      </c>
      <c r="H10093" s="535" t="s">
        <v>9567</v>
      </c>
    </row>
    <row r="10094" spans="1:8" x14ac:dyDescent="0.3">
      <c r="A10094" s="45">
        <v>45540</v>
      </c>
      <c r="B10094" s="396" t="s">
        <v>13188</v>
      </c>
      <c r="C10094" s="5" t="s">
        <v>5793</v>
      </c>
      <c r="D10094" s="5" t="s">
        <v>294</v>
      </c>
      <c r="E10094" s="43">
        <v>1400</v>
      </c>
      <c r="F10094" s="43"/>
      <c r="G10094" s="48">
        <f t="shared" si="250"/>
        <v>748245.39191694465</v>
      </c>
      <c r="H10094" s="535" t="s">
        <v>9567</v>
      </c>
    </row>
    <row r="10095" spans="1:8" x14ac:dyDescent="0.3">
      <c r="A10095" s="45">
        <v>45540</v>
      </c>
      <c r="B10095" s="396" t="s">
        <v>13321</v>
      </c>
      <c r="C10095" s="5" t="s">
        <v>7040</v>
      </c>
      <c r="D10095" s="5" t="s">
        <v>294</v>
      </c>
      <c r="E10095" s="43">
        <v>30000</v>
      </c>
      <c r="F10095" s="43"/>
      <c r="G10095" s="48">
        <f t="shared" si="250"/>
        <v>718245.39191694465</v>
      </c>
      <c r="H10095" s="535" t="s">
        <v>9567</v>
      </c>
    </row>
    <row r="10096" spans="1:8" x14ac:dyDescent="0.3">
      <c r="A10096" s="45">
        <v>45540</v>
      </c>
      <c r="B10096" s="396" t="s">
        <v>13902</v>
      </c>
      <c r="C10096" s="5" t="s">
        <v>5793</v>
      </c>
      <c r="D10096" s="5" t="s">
        <v>40</v>
      </c>
      <c r="E10096" s="43">
        <v>1500</v>
      </c>
      <c r="F10096" s="43"/>
      <c r="G10096" s="48">
        <f t="shared" si="250"/>
        <v>716745.39191694465</v>
      </c>
      <c r="H10096" s="535" t="s">
        <v>9567</v>
      </c>
    </row>
    <row r="10097" spans="1:11" x14ac:dyDescent="0.3">
      <c r="A10097" s="45">
        <v>45540</v>
      </c>
      <c r="B10097" s="396" t="s">
        <v>13709</v>
      </c>
      <c r="C10097" s="5" t="s">
        <v>5793</v>
      </c>
      <c r="D10097" s="5" t="s">
        <v>14378</v>
      </c>
      <c r="E10097" s="43">
        <v>3100</v>
      </c>
      <c r="F10097" s="43"/>
      <c r="G10097" s="48">
        <f t="shared" si="250"/>
        <v>713645.39191694465</v>
      </c>
      <c r="H10097" s="535" t="s">
        <v>9567</v>
      </c>
    </row>
    <row r="10098" spans="1:11" x14ac:dyDescent="0.3">
      <c r="A10098" s="45">
        <v>45540</v>
      </c>
      <c r="B10098" s="396" t="s">
        <v>25</v>
      </c>
      <c r="C10098" s="5" t="s">
        <v>25</v>
      </c>
      <c r="D10098" s="5" t="s">
        <v>14225</v>
      </c>
      <c r="E10098" s="43">
        <v>1500</v>
      </c>
      <c r="F10098" s="43"/>
      <c r="G10098" s="48">
        <f t="shared" si="250"/>
        <v>712145.39191694465</v>
      </c>
      <c r="H10098" s="535" t="s">
        <v>9567</v>
      </c>
    </row>
    <row r="10099" spans="1:11" x14ac:dyDescent="0.3">
      <c r="A10099" s="45">
        <v>45541</v>
      </c>
      <c r="B10099" s="394" t="s">
        <v>12079</v>
      </c>
      <c r="C10099" s="186" t="s">
        <v>54</v>
      </c>
      <c r="D10099" s="186" t="s">
        <v>6253</v>
      </c>
      <c r="E10099" s="187">
        <v>120691.53225806452</v>
      </c>
      <c r="F10099" s="43"/>
      <c r="G10099" s="48">
        <f t="shared" si="250"/>
        <v>591453.85965888016</v>
      </c>
      <c r="H10099" s="535" t="s">
        <v>9567</v>
      </c>
    </row>
    <row r="10100" spans="1:11" x14ac:dyDescent="0.3">
      <c r="A10100" s="45">
        <v>45541</v>
      </c>
      <c r="B10100" s="394" t="s">
        <v>12133</v>
      </c>
      <c r="C10100" s="186" t="s">
        <v>54</v>
      </c>
      <c r="D10100" s="186" t="s">
        <v>14376</v>
      </c>
      <c r="E10100" s="187">
        <v>109516.12903225806</v>
      </c>
      <c r="F10100" s="43"/>
      <c r="G10100" s="48">
        <f t="shared" si="250"/>
        <v>481937.7306266221</v>
      </c>
      <c r="H10100" s="535" t="s">
        <v>9567</v>
      </c>
    </row>
    <row r="10101" spans="1:11" x14ac:dyDescent="0.3">
      <c r="A10101" s="45">
        <v>45541</v>
      </c>
      <c r="B10101" s="394" t="s">
        <v>13379</v>
      </c>
      <c r="C10101" s="186" t="s">
        <v>54</v>
      </c>
      <c r="D10101" s="186" t="s">
        <v>14375</v>
      </c>
      <c r="E10101" s="187">
        <v>17419.354838709674</v>
      </c>
      <c r="F10101" s="43"/>
      <c r="G10101" s="48">
        <f t="shared" si="250"/>
        <v>464518.3757879124</v>
      </c>
      <c r="H10101" s="535" t="s">
        <v>9567</v>
      </c>
    </row>
    <row r="10102" spans="1:11" x14ac:dyDescent="0.3">
      <c r="A10102" s="45">
        <v>45541</v>
      </c>
      <c r="B10102" s="394" t="s">
        <v>12055</v>
      </c>
      <c r="C10102" s="186" t="s">
        <v>54</v>
      </c>
      <c r="D10102" s="186" t="s">
        <v>10079</v>
      </c>
      <c r="E10102" s="187">
        <v>28000</v>
      </c>
      <c r="F10102" s="43"/>
      <c r="G10102" s="48">
        <f t="shared" si="250"/>
        <v>436518.3757879124</v>
      </c>
      <c r="H10102" s="535" t="s">
        <v>9567</v>
      </c>
      <c r="J10102" s="52">
        <v>2500</v>
      </c>
      <c r="K10102" s="52">
        <v>9750</v>
      </c>
    </row>
    <row r="10103" spans="1:11" x14ac:dyDescent="0.3">
      <c r="A10103" s="45">
        <v>45541</v>
      </c>
      <c r="B10103" s="394" t="s">
        <v>25</v>
      </c>
      <c r="C10103" s="186" t="s">
        <v>54</v>
      </c>
      <c r="D10103" s="186" t="s">
        <v>13166</v>
      </c>
      <c r="E10103" s="187">
        <v>45048.387096774197</v>
      </c>
      <c r="F10103" s="43"/>
      <c r="G10103" s="48">
        <f t="shared" si="250"/>
        <v>391469.98869113822</v>
      </c>
      <c r="H10103" s="535" t="s">
        <v>9567</v>
      </c>
    </row>
    <row r="10104" spans="1:11" x14ac:dyDescent="0.3">
      <c r="A10104" s="45">
        <v>45541</v>
      </c>
      <c r="B10104" s="396" t="s">
        <v>25</v>
      </c>
      <c r="C10104" s="5" t="s">
        <v>25</v>
      </c>
      <c r="D10104" s="5" t="s">
        <v>8503</v>
      </c>
      <c r="E10104" s="43">
        <v>5000</v>
      </c>
      <c r="F10104" s="43"/>
      <c r="G10104" s="48">
        <f t="shared" si="250"/>
        <v>386469.98869113822</v>
      </c>
      <c r="H10104" s="535" t="s">
        <v>9567</v>
      </c>
      <c r="J10104" s="52">
        <v>10000</v>
      </c>
      <c r="K10104" s="52">
        <v>3100</v>
      </c>
    </row>
    <row r="10105" spans="1:11" x14ac:dyDescent="0.3">
      <c r="A10105" s="45">
        <v>45541</v>
      </c>
      <c r="B10105" s="396" t="s">
        <v>14382</v>
      </c>
      <c r="C10105" s="5" t="s">
        <v>11174</v>
      </c>
      <c r="D10105" s="5" t="s">
        <v>14383</v>
      </c>
      <c r="E10105" s="43">
        <v>1000</v>
      </c>
      <c r="F10105" s="43"/>
      <c r="G10105" s="48">
        <f t="shared" si="250"/>
        <v>385469.98869113822</v>
      </c>
      <c r="H10105" s="535" t="s">
        <v>9567</v>
      </c>
    </row>
    <row r="10106" spans="1:11" x14ac:dyDescent="0.3">
      <c r="A10106" s="45">
        <v>45541</v>
      </c>
      <c r="B10106" s="396" t="s">
        <v>13709</v>
      </c>
      <c r="C10106" s="5" t="s">
        <v>11174</v>
      </c>
      <c r="D10106" s="5" t="s">
        <v>14377</v>
      </c>
      <c r="E10106" s="43">
        <v>1000</v>
      </c>
      <c r="F10106" s="43"/>
      <c r="G10106" s="48">
        <f t="shared" si="250"/>
        <v>384469.98869113822</v>
      </c>
      <c r="H10106" s="535" t="s">
        <v>9567</v>
      </c>
      <c r="J10106" s="52">
        <f>SUM(J10102:J10104)</f>
        <v>12500</v>
      </c>
      <c r="K10106" s="52">
        <f>SUM(K10102:K10104)</f>
        <v>12850</v>
      </c>
    </row>
    <row r="10107" spans="1:11" x14ac:dyDescent="0.3">
      <c r="A10107" s="45">
        <v>45541</v>
      </c>
      <c r="B10107" s="396" t="s">
        <v>13188</v>
      </c>
      <c r="C10107" s="5" t="s">
        <v>11174</v>
      </c>
      <c r="D10107" s="5" t="s">
        <v>14379</v>
      </c>
      <c r="E10107" s="43">
        <v>9750</v>
      </c>
      <c r="F10107" s="43"/>
      <c r="G10107" s="48">
        <f t="shared" si="250"/>
        <v>374719.98869113822</v>
      </c>
      <c r="H10107" s="535" t="s">
        <v>9567</v>
      </c>
    </row>
    <row r="10108" spans="1:11" x14ac:dyDescent="0.3">
      <c r="A10108" s="45">
        <v>45541</v>
      </c>
      <c r="B10108" s="394" t="s">
        <v>13138</v>
      </c>
      <c r="C10108" s="186" t="s">
        <v>54</v>
      </c>
      <c r="D10108" s="186" t="s">
        <v>14168</v>
      </c>
      <c r="E10108" s="187">
        <v>36129.032258064522</v>
      </c>
      <c r="F10108" s="43"/>
      <c r="G10108" s="48">
        <f t="shared" si="250"/>
        <v>338590.95643307368</v>
      </c>
      <c r="H10108" s="535" t="s">
        <v>9567</v>
      </c>
    </row>
    <row r="10109" spans="1:11" x14ac:dyDescent="0.3">
      <c r="A10109" s="45">
        <v>45541</v>
      </c>
      <c r="B10109" s="394" t="s">
        <v>13709</v>
      </c>
      <c r="C10109" s="186" t="s">
        <v>54</v>
      </c>
      <c r="D10109" s="186" t="s">
        <v>14380</v>
      </c>
      <c r="E10109" s="187">
        <v>147983.87096774194</v>
      </c>
      <c r="F10109" s="43"/>
      <c r="G10109" s="48">
        <f t="shared" si="250"/>
        <v>190607.08546533174</v>
      </c>
      <c r="H10109" s="535" t="s">
        <v>9567</v>
      </c>
    </row>
    <row r="10110" spans="1:11" x14ac:dyDescent="0.3">
      <c r="A10110" s="45">
        <v>45541</v>
      </c>
      <c r="B10110" s="394" t="s">
        <v>13188</v>
      </c>
      <c r="C10110" s="186" t="s">
        <v>54</v>
      </c>
      <c r="D10110" s="186" t="s">
        <v>14381</v>
      </c>
      <c r="E10110" s="187">
        <v>56130</v>
      </c>
      <c r="F10110" s="43"/>
      <c r="G10110" s="48">
        <f t="shared" si="250"/>
        <v>134477.08546533174</v>
      </c>
      <c r="H10110" s="535" t="s">
        <v>9567</v>
      </c>
    </row>
    <row r="10111" spans="1:11" x14ac:dyDescent="0.3">
      <c r="A10111" s="45">
        <v>45541</v>
      </c>
      <c r="B10111" s="396" t="s">
        <v>13709</v>
      </c>
      <c r="C10111" s="5" t="s">
        <v>6068</v>
      </c>
      <c r="D10111" s="5" t="s">
        <v>294</v>
      </c>
      <c r="E10111" s="43">
        <v>100000</v>
      </c>
      <c r="F10111" s="43"/>
      <c r="G10111" s="48">
        <f t="shared" si="250"/>
        <v>34477.085465331736</v>
      </c>
      <c r="H10111" s="535" t="s">
        <v>9567</v>
      </c>
    </row>
    <row r="10112" spans="1:11" x14ac:dyDescent="0.3">
      <c r="A10112" s="45">
        <v>45541</v>
      </c>
      <c r="B10112" s="396" t="s">
        <v>13709</v>
      </c>
      <c r="C10112" s="5" t="s">
        <v>5793</v>
      </c>
      <c r="D10112" s="5" t="s">
        <v>14385</v>
      </c>
      <c r="E10112" s="43">
        <v>1000</v>
      </c>
      <c r="F10112" s="43"/>
      <c r="G10112" s="48">
        <f t="shared" si="250"/>
        <v>33477.085465331736</v>
      </c>
      <c r="H10112" s="535" t="s">
        <v>9567</v>
      </c>
    </row>
    <row r="10113" spans="1:12" x14ac:dyDescent="0.3">
      <c r="A10113" s="45">
        <v>45542</v>
      </c>
      <c r="B10113" s="396" t="s">
        <v>25</v>
      </c>
      <c r="C10113" s="5" t="s">
        <v>30</v>
      </c>
      <c r="D10113" s="5" t="s">
        <v>14386</v>
      </c>
      <c r="E10113" s="43">
        <v>1000</v>
      </c>
      <c r="F10113" s="43"/>
      <c r="G10113" s="48">
        <f t="shared" si="250"/>
        <v>32477.085465331736</v>
      </c>
      <c r="H10113" s="535" t="s">
        <v>9567</v>
      </c>
    </row>
    <row r="10114" spans="1:12" x14ac:dyDescent="0.3">
      <c r="A10114" s="45">
        <v>45542</v>
      </c>
      <c r="B10114" s="396" t="s">
        <v>25</v>
      </c>
      <c r="C10114" s="5" t="s">
        <v>25</v>
      </c>
      <c r="D10114" s="5" t="s">
        <v>8503</v>
      </c>
      <c r="E10114" s="43">
        <v>3000</v>
      </c>
      <c r="F10114" s="43"/>
      <c r="G10114" s="48">
        <f t="shared" si="250"/>
        <v>29477.085465331736</v>
      </c>
      <c r="H10114" s="535" t="s">
        <v>9567</v>
      </c>
    </row>
    <row r="10115" spans="1:12" x14ac:dyDescent="0.3">
      <c r="A10115" s="45">
        <v>45542</v>
      </c>
      <c r="B10115" s="396" t="s">
        <v>13709</v>
      </c>
      <c r="C10115" s="5" t="s">
        <v>5793</v>
      </c>
      <c r="D10115" s="5" t="s">
        <v>40</v>
      </c>
      <c r="E10115" s="43">
        <v>2500</v>
      </c>
      <c r="F10115" s="43"/>
      <c r="G10115" s="48">
        <f t="shared" si="250"/>
        <v>26977.085465331736</v>
      </c>
      <c r="H10115" s="535" t="s">
        <v>9567</v>
      </c>
    </row>
    <row r="10116" spans="1:12" x14ac:dyDescent="0.3">
      <c r="A10116" s="45">
        <v>45542</v>
      </c>
      <c r="B10116" s="396" t="s">
        <v>13902</v>
      </c>
      <c r="C10116" s="5" t="s">
        <v>5793</v>
      </c>
      <c r="D10116" s="5" t="s">
        <v>40</v>
      </c>
      <c r="E10116" s="43">
        <v>500</v>
      </c>
      <c r="F10116" s="43"/>
      <c r="G10116" s="48">
        <f t="shared" ref="G10116:G10164" si="251">G10115+F10116-E10116</f>
        <v>26477.085465331736</v>
      </c>
      <c r="H10116" s="535" t="s">
        <v>9567</v>
      </c>
    </row>
    <row r="10117" spans="1:12" x14ac:dyDescent="0.3">
      <c r="A10117" s="45">
        <v>45542</v>
      </c>
      <c r="B10117" s="396" t="s">
        <v>12133</v>
      </c>
      <c r="C10117" s="5" t="s">
        <v>84</v>
      </c>
      <c r="D10117" s="5" t="s">
        <v>14387</v>
      </c>
      <c r="E10117" s="43">
        <v>3500</v>
      </c>
      <c r="F10117" s="43"/>
      <c r="G10117" s="48">
        <f t="shared" si="251"/>
        <v>22977.085465331736</v>
      </c>
      <c r="H10117" s="389" t="s">
        <v>9567</v>
      </c>
    </row>
    <row r="10118" spans="1:12" x14ac:dyDescent="0.3">
      <c r="A10118" s="45">
        <v>45542</v>
      </c>
      <c r="B10118" s="396" t="s">
        <v>13709</v>
      </c>
      <c r="C10118" s="5" t="s">
        <v>5793</v>
      </c>
      <c r="D10118" s="5" t="s">
        <v>14388</v>
      </c>
      <c r="E10118" s="43">
        <v>3700</v>
      </c>
      <c r="F10118" s="43"/>
      <c r="G10118" s="48">
        <f t="shared" si="251"/>
        <v>19277.085465331736</v>
      </c>
      <c r="H10118" s="389" t="s">
        <v>9567</v>
      </c>
      <c r="L10118" s="52">
        <v>2368448.9193548393</v>
      </c>
    </row>
    <row r="10119" spans="1:12" x14ac:dyDescent="0.3">
      <c r="A10119" s="45">
        <v>45542</v>
      </c>
      <c r="B10119" s="396" t="s">
        <v>13188</v>
      </c>
      <c r="C10119" s="5" t="s">
        <v>11174</v>
      </c>
      <c r="D10119" s="5" t="s">
        <v>14390</v>
      </c>
      <c r="E10119" s="43">
        <v>2570</v>
      </c>
      <c r="F10119" s="43"/>
      <c r="G10119" s="48">
        <f t="shared" si="251"/>
        <v>16707.085465331736</v>
      </c>
      <c r="H10119" s="389" t="s">
        <v>9567</v>
      </c>
    </row>
    <row r="10120" spans="1:12" x14ac:dyDescent="0.3">
      <c r="A10120" s="45">
        <v>45544</v>
      </c>
      <c r="B10120" s="396" t="s">
        <v>13188</v>
      </c>
      <c r="C10120" s="5" t="s">
        <v>11174</v>
      </c>
      <c r="D10120" s="5" t="s">
        <v>14395</v>
      </c>
      <c r="E10120" s="43">
        <v>520</v>
      </c>
      <c r="F10120" s="43"/>
      <c r="G10120" s="48">
        <f t="shared" si="251"/>
        <v>16187.085465331736</v>
      </c>
      <c r="H10120" s="389" t="s">
        <v>9567</v>
      </c>
    </row>
    <row r="10121" spans="1:12" x14ac:dyDescent="0.3">
      <c r="A10121" s="45">
        <v>45544</v>
      </c>
      <c r="B10121" s="396" t="s">
        <v>13188</v>
      </c>
      <c r="C10121" s="5" t="s">
        <v>5793</v>
      </c>
      <c r="D10121" s="5" t="s">
        <v>40</v>
      </c>
      <c r="E10121" s="43">
        <v>1500</v>
      </c>
      <c r="F10121" s="43"/>
      <c r="G10121" s="48">
        <f t="shared" si="251"/>
        <v>14687.085465331736</v>
      </c>
      <c r="H10121" s="389" t="s">
        <v>9567</v>
      </c>
    </row>
    <row r="10122" spans="1:12" x14ac:dyDescent="0.3">
      <c r="A10122" s="45">
        <v>45544</v>
      </c>
      <c r="B10122" s="396" t="s">
        <v>13379</v>
      </c>
      <c r="C10122" s="5" t="s">
        <v>5793</v>
      </c>
      <c r="D10122" s="5" t="s">
        <v>40</v>
      </c>
      <c r="E10122" s="43">
        <v>300</v>
      </c>
      <c r="F10122" s="43"/>
      <c r="G10122" s="48">
        <f t="shared" si="251"/>
        <v>14387.085465331736</v>
      </c>
      <c r="H10122" s="389" t="s">
        <v>9567</v>
      </c>
      <c r="L10122" s="4">
        <v>22000</v>
      </c>
    </row>
    <row r="10123" spans="1:12" x14ac:dyDescent="0.3">
      <c r="A10123" s="45">
        <v>45544</v>
      </c>
      <c r="B10123" s="565"/>
      <c r="C10123" s="480"/>
      <c r="D10123" s="491" t="s">
        <v>5431</v>
      </c>
      <c r="E10123" s="480"/>
      <c r="F10123" s="43">
        <v>500000</v>
      </c>
      <c r="G10123" s="48">
        <f t="shared" si="251"/>
        <v>514387.08546533174</v>
      </c>
      <c r="H10123" s="389" t="s">
        <v>9567</v>
      </c>
      <c r="L10123" s="4">
        <v>6000</v>
      </c>
    </row>
    <row r="10124" spans="1:12" x14ac:dyDescent="0.3">
      <c r="A10124" s="45">
        <v>45544</v>
      </c>
      <c r="B10124" s="396" t="s">
        <v>13458</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3" t="s">
        <v>12514</v>
      </c>
      <c r="J10125" s="187">
        <v>2919989.2419354841</v>
      </c>
      <c r="L10125" s="4">
        <v>75000</v>
      </c>
    </row>
    <row r="10126" spans="1:12" x14ac:dyDescent="0.3">
      <c r="A10126" s="45">
        <v>45544</v>
      </c>
      <c r="B10126" s="394" t="s">
        <v>12611</v>
      </c>
      <c r="C10126" s="186" t="s">
        <v>54</v>
      </c>
      <c r="D10126" s="186" t="s">
        <v>14392</v>
      </c>
      <c r="E10126" s="43">
        <v>3550</v>
      </c>
      <c r="F10126" s="43"/>
      <c r="G10126" s="48">
        <f t="shared" si="251"/>
        <v>496837.08546533174</v>
      </c>
      <c r="H10126" s="389" t="s">
        <v>9567</v>
      </c>
      <c r="I10126" s="583" t="s">
        <v>55</v>
      </c>
      <c r="J10126" s="187">
        <f ca="1">SUMIF(C10029:E126115,"salary",E10029:E137126)</f>
        <v>23822067.488287255</v>
      </c>
      <c r="L10126" s="4">
        <v>28000</v>
      </c>
    </row>
    <row r="10127" spans="1:12" x14ac:dyDescent="0.3">
      <c r="A10127" s="45">
        <v>45544</v>
      </c>
      <c r="B10127" s="396" t="s">
        <v>12611</v>
      </c>
      <c r="C10127" s="5" t="s">
        <v>64</v>
      </c>
      <c r="D10127" s="5" t="s">
        <v>14393</v>
      </c>
      <c r="E10127" s="43">
        <v>6200</v>
      </c>
      <c r="F10127" s="43"/>
      <c r="G10127" s="48">
        <f t="shared" si="251"/>
        <v>490637.08546533174</v>
      </c>
      <c r="H10127" s="389" t="s">
        <v>9567</v>
      </c>
      <c r="I10127" s="583" t="s">
        <v>12233</v>
      </c>
      <c r="J10127" s="187">
        <f ca="1">J10125-J10126</f>
        <v>-20902078.246351771</v>
      </c>
      <c r="L10127" s="4">
        <f>SUM(L10122:L10126)</f>
        <v>235150</v>
      </c>
    </row>
    <row r="10128" spans="1:12" x14ac:dyDescent="0.3">
      <c r="A10128" s="45">
        <v>45544</v>
      </c>
      <c r="B10128" s="396" t="s">
        <v>12611</v>
      </c>
      <c r="C10128" s="5" t="s">
        <v>13050</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13321</v>
      </c>
      <c r="C10129" s="5" t="s">
        <v>26</v>
      </c>
      <c r="D10129" s="5" t="s">
        <v>14394</v>
      </c>
      <c r="E10129" s="43">
        <v>2700</v>
      </c>
      <c r="F10129" s="43"/>
      <c r="G10129" s="48">
        <f t="shared" si="251"/>
        <v>477937.08546533174</v>
      </c>
      <c r="H10129" s="389" t="s">
        <v>9567</v>
      </c>
    </row>
    <row r="10130" spans="1:8" x14ac:dyDescent="0.3">
      <c r="A10130" s="45">
        <v>45544</v>
      </c>
      <c r="B10130" s="396" t="s">
        <v>13188</v>
      </c>
      <c r="C10130" s="5" t="s">
        <v>5793</v>
      </c>
      <c r="D10130" s="5" t="s">
        <v>40</v>
      </c>
      <c r="E10130" s="43">
        <v>400</v>
      </c>
      <c r="F10130" s="43"/>
      <c r="G10130" s="48">
        <f t="shared" si="251"/>
        <v>477537.08546533174</v>
      </c>
      <c r="H10130" s="389" t="s">
        <v>9567</v>
      </c>
    </row>
    <row r="10131" spans="1:8" x14ac:dyDescent="0.3">
      <c r="A10131" s="45">
        <v>45544</v>
      </c>
      <c r="B10131" s="396" t="s">
        <v>13188</v>
      </c>
      <c r="C10131" s="5" t="s">
        <v>5793</v>
      </c>
      <c r="D10131" s="5" t="s">
        <v>40</v>
      </c>
      <c r="E10131" s="43">
        <v>2200</v>
      </c>
      <c r="F10131" s="43"/>
      <c r="G10131" s="48">
        <f t="shared" si="251"/>
        <v>475337.08546533174</v>
      </c>
      <c r="H10131" s="389" t="s">
        <v>9567</v>
      </c>
    </row>
    <row r="10132" spans="1:8" x14ac:dyDescent="0.3">
      <c r="A10132" s="45">
        <v>45544</v>
      </c>
      <c r="B10132" s="396" t="s">
        <v>13981</v>
      </c>
      <c r="C10132" s="5" t="s">
        <v>5793</v>
      </c>
      <c r="D10132" s="5" t="s">
        <v>40</v>
      </c>
      <c r="E10132" s="43">
        <v>2300</v>
      </c>
      <c r="F10132" s="43"/>
      <c r="G10132" s="48">
        <f t="shared" si="251"/>
        <v>473037.08546533174</v>
      </c>
      <c r="H10132" s="389" t="s">
        <v>9567</v>
      </c>
    </row>
    <row r="10133" spans="1:8" x14ac:dyDescent="0.3">
      <c r="A10133" s="45">
        <v>45544</v>
      </c>
      <c r="B10133" s="396" t="s">
        <v>13188</v>
      </c>
      <c r="C10133" s="5" t="s">
        <v>11174</v>
      </c>
      <c r="D10133" s="5" t="s">
        <v>677</v>
      </c>
      <c r="E10133" s="43">
        <v>1300</v>
      </c>
      <c r="F10133" s="43"/>
      <c r="G10133" s="48">
        <f t="shared" si="251"/>
        <v>471737.08546533174</v>
      </c>
      <c r="H10133" s="389" t="s">
        <v>9567</v>
      </c>
    </row>
    <row r="10134" spans="1:8" x14ac:dyDescent="0.3">
      <c r="A10134" s="45">
        <v>45544</v>
      </c>
      <c r="B10134" s="396" t="s">
        <v>13188</v>
      </c>
      <c r="C10134" s="5" t="s">
        <v>5793</v>
      </c>
      <c r="D10134" s="5" t="s">
        <v>40</v>
      </c>
      <c r="E10134" s="43">
        <v>700</v>
      </c>
      <c r="F10134" s="43"/>
      <c r="G10134" s="48">
        <f t="shared" si="251"/>
        <v>471037.08546533174</v>
      </c>
      <c r="H10134" s="389" t="s">
        <v>9567</v>
      </c>
    </row>
    <row r="10135" spans="1:8" x14ac:dyDescent="0.3">
      <c r="A10135" s="45">
        <v>45545</v>
      </c>
      <c r="B10135" s="396" t="s">
        <v>13902</v>
      </c>
      <c r="C10135" s="5" t="s">
        <v>11174</v>
      </c>
      <c r="D10135" s="5" t="s">
        <v>14397</v>
      </c>
      <c r="E10135" s="43">
        <f>15000+9000</f>
        <v>24000</v>
      </c>
      <c r="F10135" s="43"/>
      <c r="G10135" s="48">
        <f t="shared" si="251"/>
        <v>447037.08546533174</v>
      </c>
      <c r="H10135" s="389" t="s">
        <v>9567</v>
      </c>
    </row>
    <row r="10136" spans="1:8" x14ac:dyDescent="0.3">
      <c r="A10136" s="45">
        <v>45545</v>
      </c>
      <c r="B10136" s="396" t="s">
        <v>13321</v>
      </c>
      <c r="C10136" s="5" t="s">
        <v>7040</v>
      </c>
      <c r="D10136" s="5" t="s">
        <v>294</v>
      </c>
      <c r="E10136" s="43">
        <v>28000</v>
      </c>
      <c r="F10136" s="43"/>
      <c r="G10136" s="48">
        <f t="shared" si="251"/>
        <v>419037.08546533174</v>
      </c>
      <c r="H10136" s="389" t="s">
        <v>9567</v>
      </c>
    </row>
    <row r="10137" spans="1:8" x14ac:dyDescent="0.3">
      <c r="A10137" s="45">
        <v>45545</v>
      </c>
      <c r="B10137" s="396" t="s">
        <v>13902</v>
      </c>
      <c r="C10137" s="5" t="s">
        <v>11174</v>
      </c>
      <c r="D10137" s="5" t="s">
        <v>14398</v>
      </c>
      <c r="E10137" s="43">
        <v>16000</v>
      </c>
      <c r="F10137" s="43"/>
      <c r="G10137" s="48">
        <f t="shared" si="251"/>
        <v>403037.08546533174</v>
      </c>
      <c r="H10137" s="389" t="s">
        <v>9567</v>
      </c>
    </row>
    <row r="10138" spans="1:8" x14ac:dyDescent="0.3">
      <c r="A10138" s="45">
        <v>45545</v>
      </c>
      <c r="B10138" s="396" t="s">
        <v>25</v>
      </c>
      <c r="C10138" s="5" t="s">
        <v>30</v>
      </c>
      <c r="D10138" s="5" t="s">
        <v>14126</v>
      </c>
      <c r="E10138" s="43">
        <v>2000</v>
      </c>
      <c r="F10138" s="43"/>
      <c r="G10138" s="48">
        <f t="shared" si="251"/>
        <v>401037.08546533174</v>
      </c>
      <c r="H10138" s="389" t="s">
        <v>9567</v>
      </c>
    </row>
    <row r="10139" spans="1:8" x14ac:dyDescent="0.3">
      <c r="A10139" s="45">
        <v>45545</v>
      </c>
      <c r="B10139" s="396" t="s">
        <v>12611</v>
      </c>
      <c r="C10139" s="5" t="s">
        <v>11174</v>
      </c>
      <c r="D10139" s="5" t="s">
        <v>14399</v>
      </c>
      <c r="E10139" s="43">
        <v>30000</v>
      </c>
      <c r="F10139" s="43"/>
      <c r="G10139" s="48">
        <f t="shared" si="251"/>
        <v>371037.08546533174</v>
      </c>
      <c r="H10139" s="389" t="s">
        <v>9567</v>
      </c>
    </row>
    <row r="10140" spans="1:8" x14ac:dyDescent="0.3">
      <c r="A10140" s="45">
        <v>45545</v>
      </c>
      <c r="B10140" s="396" t="s">
        <v>13321</v>
      </c>
      <c r="C10140" s="5" t="s">
        <v>14400</v>
      </c>
      <c r="D10140" s="5" t="s">
        <v>14401</v>
      </c>
      <c r="E10140" s="43">
        <v>200000</v>
      </c>
      <c r="F10140" s="43"/>
      <c r="G10140" s="48">
        <f t="shared" si="251"/>
        <v>171037.08546533174</v>
      </c>
      <c r="H10140" s="389" t="s">
        <v>9567</v>
      </c>
    </row>
    <row r="10141" spans="1:8" x14ac:dyDescent="0.3">
      <c r="A10141" s="45">
        <v>45545</v>
      </c>
      <c r="B10141" s="396" t="s">
        <v>13902</v>
      </c>
      <c r="C10141" s="5" t="s">
        <v>11174</v>
      </c>
      <c r="D10141" s="5" t="s">
        <v>14402</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14403</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13902</v>
      </c>
      <c r="C10145" s="5" t="s">
        <v>5793</v>
      </c>
      <c r="D10145" s="5" t="s">
        <v>14404</v>
      </c>
      <c r="E10145" s="43">
        <v>700</v>
      </c>
      <c r="F10145" s="43"/>
      <c r="G10145" s="48">
        <f t="shared" si="251"/>
        <v>154037.08546533174</v>
      </c>
      <c r="H10145" s="389" t="s">
        <v>9567</v>
      </c>
    </row>
    <row r="10146" spans="1:8" x14ac:dyDescent="0.3">
      <c r="A10146" s="45">
        <v>45546</v>
      </c>
      <c r="B10146" s="396" t="s">
        <v>14382</v>
      </c>
      <c r="C10146" s="5" t="s">
        <v>11174</v>
      </c>
      <c r="D10146" s="5" t="s">
        <v>14405</v>
      </c>
      <c r="E10146" s="43">
        <v>6100</v>
      </c>
      <c r="F10146" s="43"/>
      <c r="G10146" s="48">
        <f t="shared" si="251"/>
        <v>147937.08546533174</v>
      </c>
      <c r="H10146" s="389" t="s">
        <v>9567</v>
      </c>
    </row>
    <row r="10147" spans="1:8" x14ac:dyDescent="0.3">
      <c r="A10147" s="45">
        <v>45546</v>
      </c>
      <c r="B10147" s="396" t="s">
        <v>13709</v>
      </c>
      <c r="C10147" s="5" t="s">
        <v>84</v>
      </c>
      <c r="D10147" s="5" t="s">
        <v>14406</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13188</v>
      </c>
      <c r="C10150" s="5" t="s">
        <v>5793</v>
      </c>
      <c r="D10150" s="5" t="s">
        <v>40</v>
      </c>
      <c r="E10150" s="43">
        <v>1700</v>
      </c>
      <c r="F10150" s="43"/>
      <c r="G10150" s="48">
        <f t="shared" si="251"/>
        <v>123737.08546533174</v>
      </c>
      <c r="H10150" s="389" t="s">
        <v>9567</v>
      </c>
    </row>
    <row r="10151" spans="1:8" x14ac:dyDescent="0.3">
      <c r="A10151" s="45">
        <v>45546</v>
      </c>
      <c r="B10151" s="396" t="s">
        <v>13833</v>
      </c>
      <c r="C10151" s="5" t="s">
        <v>11174</v>
      </c>
      <c r="D10151" s="5" t="s">
        <v>14412</v>
      </c>
      <c r="E10151" s="43">
        <v>7016</v>
      </c>
      <c r="F10151" s="43"/>
      <c r="G10151" s="48">
        <f t="shared" si="251"/>
        <v>116721.08546533174</v>
      </c>
      <c r="H10151" s="389" t="s">
        <v>9567</v>
      </c>
    </row>
    <row r="10152" spans="1:8" x14ac:dyDescent="0.3">
      <c r="A10152" s="45">
        <v>45546</v>
      </c>
      <c r="B10152" s="396" t="s">
        <v>12611</v>
      </c>
      <c r="C10152" s="5" t="s">
        <v>11174</v>
      </c>
      <c r="D10152" s="5" t="s">
        <v>14413</v>
      </c>
      <c r="E10152" s="43">
        <v>20000</v>
      </c>
      <c r="F10152" s="43"/>
      <c r="G10152" s="48">
        <f t="shared" si="251"/>
        <v>96721.085465331736</v>
      </c>
      <c r="H10152" s="389" t="s">
        <v>9567</v>
      </c>
    </row>
    <row r="10153" spans="1:8" x14ac:dyDescent="0.3">
      <c r="A10153" s="45">
        <v>45546</v>
      </c>
      <c r="B10153" s="396" t="s">
        <v>13188</v>
      </c>
      <c r="C10153" s="5" t="s">
        <v>11174</v>
      </c>
      <c r="D10153" s="5" t="s">
        <v>14416</v>
      </c>
      <c r="E10153" s="43">
        <v>1800</v>
      </c>
      <c r="F10153" s="43"/>
      <c r="G10153" s="48">
        <f t="shared" si="251"/>
        <v>94921.085465331736</v>
      </c>
      <c r="H10153" s="389" t="s">
        <v>9567</v>
      </c>
    </row>
    <row r="10154" spans="1:8" x14ac:dyDescent="0.3">
      <c r="A10154" s="45">
        <v>45546</v>
      </c>
      <c r="B10154" s="396" t="s">
        <v>13833</v>
      </c>
      <c r="C10154" s="5" t="s">
        <v>5793</v>
      </c>
      <c r="D10154" s="5" t="s">
        <v>40</v>
      </c>
      <c r="E10154" s="43">
        <v>1500</v>
      </c>
      <c r="F10154" s="43"/>
      <c r="G10154" s="48">
        <f t="shared" si="251"/>
        <v>93421.085465331736</v>
      </c>
      <c r="H10154" s="389" t="s">
        <v>9567</v>
      </c>
    </row>
    <row r="10155" spans="1:8" x14ac:dyDescent="0.3">
      <c r="A10155" s="45">
        <v>45546</v>
      </c>
      <c r="B10155" s="396" t="s">
        <v>13946</v>
      </c>
      <c r="C10155" s="5" t="s">
        <v>57</v>
      </c>
      <c r="D10155" s="5" t="s">
        <v>14417</v>
      </c>
      <c r="E10155" s="43">
        <v>18000</v>
      </c>
      <c r="F10155" s="43"/>
      <c r="G10155" s="48">
        <f t="shared" si="251"/>
        <v>75421.085465331736</v>
      </c>
      <c r="H10155" s="389" t="s">
        <v>9567</v>
      </c>
    </row>
    <row r="10156" spans="1:8" x14ac:dyDescent="0.3">
      <c r="A10156" s="45">
        <v>45546</v>
      </c>
      <c r="B10156" s="396" t="s">
        <v>25</v>
      </c>
      <c r="C10156" s="5" t="s">
        <v>25</v>
      </c>
      <c r="D10156" s="5" t="s">
        <v>14418</v>
      </c>
      <c r="E10156" s="43">
        <v>200</v>
      </c>
      <c r="F10156" s="43"/>
      <c r="G10156" s="48">
        <f t="shared" si="251"/>
        <v>75221.085465331736</v>
      </c>
      <c r="H10156" s="389" t="s">
        <v>9567</v>
      </c>
    </row>
    <row r="10157" spans="1:8" x14ac:dyDescent="0.3">
      <c r="A10157" s="45">
        <v>45546</v>
      </c>
      <c r="B10157" s="396" t="s">
        <v>13138</v>
      </c>
      <c r="C10157" s="5" t="s">
        <v>11174</v>
      </c>
      <c r="D10157" s="5" t="s">
        <v>14419</v>
      </c>
      <c r="E10157" s="43">
        <v>400</v>
      </c>
      <c r="F10157" s="43"/>
      <c r="G10157" s="48">
        <f t="shared" si="251"/>
        <v>74821.085465331736</v>
      </c>
      <c r="H10157" s="389" t="s">
        <v>9567</v>
      </c>
    </row>
    <row r="10158" spans="1:8" x14ac:dyDescent="0.3">
      <c r="A10158" s="45">
        <v>45546</v>
      </c>
      <c r="B10158" s="396" t="s">
        <v>13321</v>
      </c>
      <c r="C10158" s="5" t="s">
        <v>3220</v>
      </c>
      <c r="D10158" s="5" t="s">
        <v>294</v>
      </c>
      <c r="E10158" s="43">
        <v>15000</v>
      </c>
      <c r="F10158" s="43"/>
      <c r="G10158" s="48">
        <f t="shared" si="251"/>
        <v>59821.085465331736</v>
      </c>
      <c r="H10158" s="389" t="s">
        <v>9567</v>
      </c>
    </row>
    <row r="10159" spans="1:8" x14ac:dyDescent="0.3">
      <c r="A10159" s="45">
        <v>45546</v>
      </c>
      <c r="B10159" s="396" t="s">
        <v>13138</v>
      </c>
      <c r="C10159" s="5" t="s">
        <v>26</v>
      </c>
      <c r="D10159" s="5" t="s">
        <v>14420</v>
      </c>
      <c r="E10159" s="43">
        <v>6000</v>
      </c>
      <c r="F10159" s="43"/>
      <c r="G10159" s="48">
        <f t="shared" si="251"/>
        <v>53821.085465331736</v>
      </c>
      <c r="H10159" s="389" t="s">
        <v>9567</v>
      </c>
    </row>
    <row r="10160" spans="1:8" x14ac:dyDescent="0.3">
      <c r="A10160" s="45">
        <v>45546</v>
      </c>
      <c r="B10160" s="396" t="s">
        <v>13138</v>
      </c>
      <c r="C10160" s="5" t="s">
        <v>11174</v>
      </c>
      <c r="D10160" s="5" t="s">
        <v>14419</v>
      </c>
      <c r="E10160" s="43">
        <v>3000</v>
      </c>
      <c r="F10160" s="43"/>
      <c r="G10160" s="48">
        <f t="shared" si="251"/>
        <v>50821.085465331736</v>
      </c>
      <c r="H10160" s="389" t="s">
        <v>9567</v>
      </c>
    </row>
    <row r="10161" spans="1:12" x14ac:dyDescent="0.3">
      <c r="A10161" s="45">
        <v>45546</v>
      </c>
      <c r="B10161" s="396" t="s">
        <v>13833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14126</v>
      </c>
      <c r="E10163" s="43">
        <v>2000</v>
      </c>
      <c r="F10163" s="43"/>
      <c r="G10163" s="48">
        <f t="shared" si="251"/>
        <v>45101.085465331736</v>
      </c>
      <c r="H10163" s="389" t="s">
        <v>9567</v>
      </c>
    </row>
    <row r="10164" spans="1:12" x14ac:dyDescent="0.3">
      <c r="A10164" s="45">
        <v>45547</v>
      </c>
      <c r="B10164" s="396" t="s">
        <v>12230</v>
      </c>
      <c r="C10164" s="5" t="s">
        <v>1616</v>
      </c>
      <c r="D10164" s="5" t="s">
        <v>14424</v>
      </c>
      <c r="E10164" s="43">
        <v>1500</v>
      </c>
      <c r="F10164" s="43"/>
      <c r="G10164" s="48">
        <f t="shared" si="251"/>
        <v>43601.085465331736</v>
      </c>
      <c r="H10164" s="389" t="s">
        <v>9567</v>
      </c>
    </row>
    <row r="10165" spans="1:12" x14ac:dyDescent="0.3">
      <c r="A10165" s="45">
        <v>45547</v>
      </c>
      <c r="B10165" s="396" t="s">
        <v>13902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13188</v>
      </c>
      <c r="C10166" s="5" t="s">
        <v>5793</v>
      </c>
      <c r="D10166" s="5" t="s">
        <v>40</v>
      </c>
      <c r="E10166" s="43">
        <v>700</v>
      </c>
      <c r="F10166" s="43"/>
      <c r="G10166" s="48">
        <f t="shared" si="252"/>
        <v>41401.085465331736</v>
      </c>
      <c r="H10166" s="389" t="s">
        <v>9567</v>
      </c>
    </row>
    <row r="10167" spans="1:12" x14ac:dyDescent="0.3">
      <c r="A10167" s="45">
        <v>45547</v>
      </c>
      <c r="B10167" s="396" t="s">
        <v>13833</v>
      </c>
      <c r="C10167" s="5" t="s">
        <v>2674</v>
      </c>
      <c r="D10167" s="5" t="s">
        <v>14426</v>
      </c>
      <c r="E10167" s="43">
        <v>15000</v>
      </c>
      <c r="F10167" s="43"/>
      <c r="G10167" s="48">
        <f t="shared" si="252"/>
        <v>26401.085465331736</v>
      </c>
      <c r="H10167" s="389" t="s">
        <v>9567</v>
      </c>
    </row>
    <row r="10168" spans="1:12" x14ac:dyDescent="0.3">
      <c r="A10168" s="45">
        <v>45547</v>
      </c>
      <c r="B10168" s="396" t="s">
        <v>13188</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14428</v>
      </c>
      <c r="E10169" s="43">
        <v>10000</v>
      </c>
      <c r="F10169" s="43"/>
      <c r="G10169" s="48">
        <f t="shared" si="252"/>
        <v>15701.085465331736</v>
      </c>
      <c r="H10169" s="389" t="s">
        <v>9567</v>
      </c>
    </row>
    <row r="10170" spans="1:12" x14ac:dyDescent="0.3">
      <c r="A10170" s="45">
        <v>45548</v>
      </c>
      <c r="B10170" s="396" t="s">
        <v>12133</v>
      </c>
      <c r="C10170" s="5" t="s">
        <v>84</v>
      </c>
      <c r="D10170" s="5" t="s">
        <v>14429</v>
      </c>
      <c r="E10170" s="43">
        <v>2000</v>
      </c>
      <c r="F10170" s="43"/>
      <c r="G10170" s="48">
        <f t="shared" si="252"/>
        <v>13701.085465331736</v>
      </c>
      <c r="H10170" s="389" t="s">
        <v>9567</v>
      </c>
    </row>
    <row r="10171" spans="1:12" x14ac:dyDescent="0.3">
      <c r="A10171" s="45">
        <v>45548</v>
      </c>
      <c r="B10171" s="396" t="s">
        <v>25</v>
      </c>
      <c r="C10171" s="5" t="s">
        <v>14431</v>
      </c>
      <c r="D10171" s="5" t="s">
        <v>14430</v>
      </c>
      <c r="E10171" s="43">
        <v>8000</v>
      </c>
      <c r="F10171" s="43"/>
      <c r="G10171" s="48">
        <f t="shared" si="252"/>
        <v>5701.0854653317365</v>
      </c>
      <c r="H10171" s="389" t="s">
        <v>9567</v>
      </c>
    </row>
    <row r="10172" spans="1:12" x14ac:dyDescent="0.3">
      <c r="A10172" s="45">
        <v>45548</v>
      </c>
      <c r="B10172" s="396" t="s">
        <v>13379</v>
      </c>
      <c r="C10172" s="5" t="s">
        <v>5793</v>
      </c>
      <c r="D10172" s="5" t="s">
        <v>40</v>
      </c>
      <c r="E10172" s="43">
        <v>1800</v>
      </c>
      <c r="F10172" s="43"/>
      <c r="G10172" s="48">
        <f t="shared" si="252"/>
        <v>3901.0854653317365</v>
      </c>
      <c r="H10172" s="389" t="s">
        <v>9567</v>
      </c>
    </row>
    <row r="10173" spans="1:12" x14ac:dyDescent="0.3">
      <c r="A10173" s="45">
        <v>45548</v>
      </c>
      <c r="B10173" s="565"/>
      <c r="C10173" s="480"/>
      <c r="D10173" s="491" t="s">
        <v>14134</v>
      </c>
      <c r="E10173" s="480"/>
      <c r="F10173" s="43">
        <v>100000</v>
      </c>
      <c r="G10173" s="48">
        <f t="shared" si="252"/>
        <v>103901.08546533174</v>
      </c>
      <c r="H10173" s="389" t="s">
        <v>9567</v>
      </c>
      <c r="L10173" s="4">
        <v>6000</v>
      </c>
    </row>
    <row r="10174" spans="1:12" x14ac:dyDescent="0.3">
      <c r="A10174" s="45">
        <v>45548</v>
      </c>
      <c r="B10174" s="396" t="s">
        <v>13321</v>
      </c>
      <c r="C10174" s="5" t="s">
        <v>57</v>
      </c>
      <c r="D10174" s="5" t="s">
        <v>294</v>
      </c>
      <c r="E10174" s="43">
        <v>20000</v>
      </c>
      <c r="F10174" s="43"/>
      <c r="G10174" s="48">
        <f t="shared" si="252"/>
        <v>83901.085465331736</v>
      </c>
      <c r="H10174" s="389" t="s">
        <v>9567</v>
      </c>
    </row>
    <row r="10175" spans="1:12" x14ac:dyDescent="0.3">
      <c r="A10175" s="45">
        <v>45548</v>
      </c>
      <c r="B10175" s="396" t="s">
        <v>14382</v>
      </c>
      <c r="C10175" s="5" t="s">
        <v>14438</v>
      </c>
      <c r="D10175" s="5" t="s">
        <v>14439</v>
      </c>
      <c r="E10175" s="43">
        <v>4000</v>
      </c>
      <c r="F10175" s="43"/>
      <c r="G10175" s="48">
        <f t="shared" si="252"/>
        <v>79901.085465331736</v>
      </c>
      <c r="H10175" s="389" t="s">
        <v>9567</v>
      </c>
    </row>
    <row r="10176" spans="1:12" x14ac:dyDescent="0.3">
      <c r="A10176" s="45">
        <v>45548</v>
      </c>
      <c r="B10176" s="396" t="s">
        <v>25</v>
      </c>
      <c r="C10176" s="5" t="s">
        <v>84</v>
      </c>
      <c r="D10176" s="5" t="s">
        <v>14440</v>
      </c>
      <c r="E10176" s="43">
        <v>3000</v>
      </c>
      <c r="F10176" s="43"/>
      <c r="G10176" s="48">
        <f t="shared" si="252"/>
        <v>76901.085465331736</v>
      </c>
      <c r="H10176" s="389" t="s">
        <v>9567</v>
      </c>
    </row>
    <row r="10177" spans="1:13" x14ac:dyDescent="0.3">
      <c r="A10177" s="45">
        <v>45548</v>
      </c>
      <c r="B10177" s="396" t="s">
        <v>14441</v>
      </c>
      <c r="C10177" s="5" t="s">
        <v>9451</v>
      </c>
      <c r="D10177" s="5" t="s">
        <v>14442</v>
      </c>
      <c r="E10177" s="43">
        <v>600</v>
      </c>
      <c r="F10177" s="43"/>
      <c r="G10177" s="48">
        <f t="shared" si="252"/>
        <v>76301.085465331736</v>
      </c>
      <c r="H10177" s="389" t="s">
        <v>9567</v>
      </c>
    </row>
    <row r="10178" spans="1:13" x14ac:dyDescent="0.3">
      <c r="A10178" s="45">
        <v>45548</v>
      </c>
      <c r="B10178" s="396" t="s">
        <v>14104</v>
      </c>
      <c r="C10178" s="5" t="s">
        <v>11174</v>
      </c>
      <c r="D10178" s="5" t="s">
        <v>14445</v>
      </c>
      <c r="E10178" s="43">
        <v>480</v>
      </c>
      <c r="F10178" s="43"/>
      <c r="G10178" s="48">
        <f t="shared" si="252"/>
        <v>75821.085465331736</v>
      </c>
      <c r="H10178" s="389" t="s">
        <v>9567</v>
      </c>
    </row>
    <row r="10179" spans="1:13" x14ac:dyDescent="0.3">
      <c r="A10179" s="45">
        <v>45548</v>
      </c>
      <c r="B10179" s="396" t="s">
        <v>13902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12133</v>
      </c>
      <c r="C10181" s="5" t="s">
        <v>11174</v>
      </c>
      <c r="D10181" s="5" t="s">
        <v>14446</v>
      </c>
      <c r="E10181" s="43">
        <v>3000</v>
      </c>
      <c r="F10181" s="43"/>
      <c r="G10181" s="48">
        <f t="shared" si="252"/>
        <v>68321.085465331736</v>
      </c>
      <c r="H10181" s="389" t="s">
        <v>9567</v>
      </c>
    </row>
    <row r="10182" spans="1:13" x14ac:dyDescent="0.3">
      <c r="A10182" s="45">
        <v>45549</v>
      </c>
      <c r="B10182" s="396" t="s">
        <v>13188</v>
      </c>
      <c r="C10182" s="5" t="s">
        <v>11174</v>
      </c>
      <c r="D10182" s="5" t="s">
        <v>14475</v>
      </c>
      <c r="E10182" s="43">
        <v>3790</v>
      </c>
      <c r="F10182" s="43"/>
      <c r="G10182" s="48">
        <f t="shared" si="252"/>
        <v>64531.085465331736</v>
      </c>
      <c r="H10182" s="389" t="s">
        <v>9567</v>
      </c>
    </row>
    <row r="10183" spans="1:13" x14ac:dyDescent="0.3">
      <c r="A10183" s="45">
        <v>45549</v>
      </c>
      <c r="B10183" s="396" t="s">
        <v>13902</v>
      </c>
      <c r="C10183" s="5" t="s">
        <v>11174</v>
      </c>
      <c r="D10183" s="5" t="s">
        <v>14476</v>
      </c>
      <c r="E10183" s="43">
        <v>6400</v>
      </c>
      <c r="F10183" s="43"/>
      <c r="G10183" s="48">
        <f t="shared" si="252"/>
        <v>58131.085465331736</v>
      </c>
      <c r="H10183" s="389" t="s">
        <v>9567</v>
      </c>
    </row>
    <row r="10184" spans="1:13" x14ac:dyDescent="0.3">
      <c r="A10184" s="45">
        <v>45551</v>
      </c>
      <c r="B10184" s="396" t="s">
        <v>13902</v>
      </c>
      <c r="C10184" s="5" t="s">
        <v>9758</v>
      </c>
      <c r="D10184" s="5" t="s">
        <v>14448</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12230</v>
      </c>
      <c r="C10186" s="5" t="s">
        <v>1074</v>
      </c>
      <c r="D10186" s="5" t="s">
        <v>6280</v>
      </c>
      <c r="E10186" s="43">
        <f>3690+6900</f>
        <v>10590</v>
      </c>
      <c r="F10186" s="43"/>
      <c r="G10186" s="48">
        <f t="shared" si="252"/>
        <v>39401.085465331736</v>
      </c>
      <c r="H10186" s="389" t="s">
        <v>9567</v>
      </c>
    </row>
    <row r="10187" spans="1:13" x14ac:dyDescent="0.3">
      <c r="A10187" s="45">
        <v>45551</v>
      </c>
      <c r="B10187" s="396" t="s">
        <v>14104</v>
      </c>
      <c r="C10187" s="5" t="s">
        <v>9758</v>
      </c>
      <c r="D10187" s="5" t="s">
        <v>13834</v>
      </c>
      <c r="E10187" s="43">
        <v>5000</v>
      </c>
      <c r="F10187" s="43"/>
      <c r="G10187" s="48">
        <f t="shared" si="252"/>
        <v>34401.085465331736</v>
      </c>
      <c r="H10187" s="389" t="s">
        <v>9567</v>
      </c>
    </row>
    <row r="10188" spans="1:13" ht="19.5" thickBot="1" x14ac:dyDescent="0.35">
      <c r="A10188" s="45">
        <v>45551</v>
      </c>
      <c r="B10188" s="396" t="s">
        <v>25</v>
      </c>
      <c r="C10188" s="5" t="s">
        <v>25</v>
      </c>
      <c r="D10188" s="5" t="s">
        <v>11434</v>
      </c>
      <c r="E10188" s="43">
        <v>3000</v>
      </c>
      <c r="F10188" s="43"/>
      <c r="G10188" s="48">
        <f t="shared" si="252"/>
        <v>31401.085465331736</v>
      </c>
      <c r="H10188" s="389" t="s">
        <v>9567</v>
      </c>
    </row>
    <row r="10189" spans="1:13" ht="21.75" thickBot="1" x14ac:dyDescent="0.35">
      <c r="A10189" s="45">
        <v>45551</v>
      </c>
      <c r="B10189" s="396" t="s">
        <v>13188</v>
      </c>
      <c r="C10189" s="5" t="s">
        <v>14463</v>
      </c>
      <c r="D10189" s="5" t="s">
        <v>582</v>
      </c>
      <c r="E10189" s="43">
        <v>20000</v>
      </c>
      <c r="F10189" s="43"/>
      <c r="G10189" s="48">
        <f t="shared" si="252"/>
        <v>11401.085465331736</v>
      </c>
      <c r="H10189" s="389" t="s">
        <v>9567</v>
      </c>
      <c r="J10189" s="679" t="s">
        <v>3</v>
      </c>
      <c r="K10189" s="679" t="s">
        <v>14443</v>
      </c>
      <c r="L10189" s="679" t="s">
        <v>14444</v>
      </c>
      <c r="M10189" s="679" t="s">
        <v>8196</v>
      </c>
    </row>
    <row r="10190" spans="1:13" ht="21.75" thickBot="1" x14ac:dyDescent="0.35">
      <c r="A10190" s="45">
        <v>45551</v>
      </c>
      <c r="B10190" s="396" t="s">
        <v>13902</v>
      </c>
      <c r="C10190" s="5" t="s">
        <v>5793</v>
      </c>
      <c r="D10190" s="5" t="s">
        <v>40</v>
      </c>
      <c r="E10190" s="43">
        <v>700</v>
      </c>
      <c r="F10190" s="43"/>
      <c r="G10190" s="48">
        <f t="shared" si="252"/>
        <v>10701.085465331736</v>
      </c>
      <c r="H10190" s="389" t="s">
        <v>9567</v>
      </c>
      <c r="J10190" s="672" t="s">
        <v>14432</v>
      </c>
      <c r="K10190" s="673">
        <v>25832997</v>
      </c>
      <c r="L10190" s="673">
        <v>4045475</v>
      </c>
      <c r="M10190" s="673">
        <v>29878472</v>
      </c>
    </row>
    <row r="10191" spans="1:13" ht="21.75" thickBot="1" x14ac:dyDescent="0.35">
      <c r="A10191" s="45">
        <v>45551</v>
      </c>
      <c r="B10191" s="565"/>
      <c r="C10191" s="480"/>
      <c r="D10191" s="491" t="s">
        <v>4106</v>
      </c>
      <c r="E10191" s="480"/>
      <c r="F10191" s="43">
        <v>300000</v>
      </c>
      <c r="G10191" s="48">
        <f t="shared" si="252"/>
        <v>310701.08546533174</v>
      </c>
      <c r="H10191" s="389" t="s">
        <v>9567</v>
      </c>
      <c r="J10191" s="674" t="s">
        <v>14433</v>
      </c>
      <c r="K10191" s="675">
        <f>K10190*13%</f>
        <v>3358289.6100000003</v>
      </c>
      <c r="L10191" s="675">
        <f>L10190*13%</f>
        <v>525911.75</v>
      </c>
      <c r="M10191" s="675">
        <f>M10190*13%</f>
        <v>3884201.3600000003</v>
      </c>
    </row>
    <row r="10192" spans="1:13" ht="21.75" thickBot="1" x14ac:dyDescent="0.35">
      <c r="A10192" s="45">
        <v>45551</v>
      </c>
      <c r="B10192" s="565"/>
      <c r="C10192" s="480"/>
      <c r="D10192" s="491" t="s">
        <v>5431</v>
      </c>
      <c r="E10192" s="480"/>
      <c r="F10192" s="43">
        <v>200000</v>
      </c>
      <c r="G10192" s="48">
        <f t="shared" si="252"/>
        <v>510701.08546533174</v>
      </c>
      <c r="H10192" s="389" t="s">
        <v>9567</v>
      </c>
      <c r="J10192" s="674" t="s">
        <v>14435</v>
      </c>
      <c r="K10192" s="675">
        <f>K10190-K10191</f>
        <v>22474707.390000001</v>
      </c>
      <c r="L10192" s="675">
        <f t="shared" ref="L10192:M10192" si="253">L10190-L10191</f>
        <v>3519563.25</v>
      </c>
      <c r="M10192" s="675">
        <f t="shared" si="253"/>
        <v>25994270.640000001</v>
      </c>
    </row>
    <row r="10193" spans="1:13" ht="21.75" thickBot="1" x14ac:dyDescent="0.35">
      <c r="A10193" s="45">
        <v>45551</v>
      </c>
      <c r="B10193" s="396" t="s">
        <v>12053</v>
      </c>
      <c r="C10193" s="5" t="s">
        <v>5288</v>
      </c>
      <c r="D10193" s="5" t="s">
        <v>582</v>
      </c>
      <c r="E10193" s="43">
        <v>20000</v>
      </c>
      <c r="F10193" s="43"/>
      <c r="G10193" s="48">
        <f t="shared" si="252"/>
        <v>490701.08546533174</v>
      </c>
      <c r="H10193" s="389" t="s">
        <v>9567</v>
      </c>
      <c r="J10193" s="674" t="s">
        <v>14434</v>
      </c>
      <c r="K10193" s="675">
        <f>K10192*7%</f>
        <v>1573229.5173000002</v>
      </c>
      <c r="L10193" s="675">
        <f t="shared" ref="L10193:M10193" si="254">L10192*7%</f>
        <v>246369.42750000002</v>
      </c>
      <c r="M10193" s="675">
        <f t="shared" si="254"/>
        <v>1819598.9448000002</v>
      </c>
    </row>
    <row r="10194" spans="1:13" ht="21.75" thickBot="1" x14ac:dyDescent="0.35">
      <c r="A10194" s="45">
        <v>45551</v>
      </c>
      <c r="B10194" s="396" t="s">
        <v>13902</v>
      </c>
      <c r="C10194" s="5" t="s">
        <v>5288</v>
      </c>
      <c r="D10194" s="5" t="s">
        <v>582</v>
      </c>
      <c r="E10194" s="43">
        <v>85000</v>
      </c>
      <c r="F10194" s="43"/>
      <c r="G10194" s="48">
        <f t="shared" si="252"/>
        <v>405701.08546533174</v>
      </c>
      <c r="H10194" s="389" t="s">
        <v>9567</v>
      </c>
      <c r="J10194" s="674" t="s">
        <v>14435</v>
      </c>
      <c r="K10194" s="675">
        <f>K10192-K10193</f>
        <v>20901477.872700002</v>
      </c>
      <c r="L10194" s="675">
        <f t="shared" ref="L10194:M10194" si="255">L10192-L10193</f>
        <v>3273193.8224999998</v>
      </c>
      <c r="M10194" s="675">
        <f t="shared" si="255"/>
        <v>24174671.6952</v>
      </c>
    </row>
    <row r="10195" spans="1:13" ht="21.75" thickBot="1" x14ac:dyDescent="0.35">
      <c r="A10195" s="45">
        <v>45551</v>
      </c>
      <c r="B10195" s="396" t="s">
        <v>13709</v>
      </c>
      <c r="C10195" s="5" t="s">
        <v>5288</v>
      </c>
      <c r="D10195" s="5" t="s">
        <v>582</v>
      </c>
      <c r="E10195" s="43">
        <v>35000</v>
      </c>
      <c r="F10195" s="43"/>
      <c r="G10195" s="48">
        <f t="shared" si="252"/>
        <v>370701.08546533174</v>
      </c>
      <c r="H10195" s="389" t="s">
        <v>9567</v>
      </c>
      <c r="J10195" s="674" t="s">
        <v>14436</v>
      </c>
      <c r="K10195" s="676">
        <v>0</v>
      </c>
      <c r="L10195" s="675">
        <f>L10194*15%</f>
        <v>490979.07337499992</v>
      </c>
      <c r="M10195" s="675">
        <f>L10195</f>
        <v>490979.07337499992</v>
      </c>
    </row>
    <row r="10196" spans="1:13" ht="21.75" thickBot="1" x14ac:dyDescent="0.35">
      <c r="A10196" s="45">
        <v>45551</v>
      </c>
      <c r="B10196" s="396" t="s">
        <v>13981</v>
      </c>
      <c r="C10196" s="5" t="s">
        <v>5288</v>
      </c>
      <c r="D10196" s="5" t="s">
        <v>14452</v>
      </c>
      <c r="E10196" s="43">
        <v>20000</v>
      </c>
      <c r="F10196" s="43"/>
      <c r="G10196" s="48">
        <f t="shared" si="252"/>
        <v>350701.08546533174</v>
      </c>
      <c r="H10196" s="389" t="s">
        <v>9567</v>
      </c>
      <c r="J10196" s="677" t="s">
        <v>14437</v>
      </c>
      <c r="K10196" s="678">
        <f>K10195+K10194</f>
        <v>20901477.872700002</v>
      </c>
      <c r="L10196" s="678">
        <f t="shared" ref="L10196:M10196" si="256">L10195+L10194</f>
        <v>3764172.8958749995</v>
      </c>
      <c r="M10196" s="678">
        <f t="shared" si="256"/>
        <v>24665650.768575002</v>
      </c>
    </row>
    <row r="10197" spans="1:13" x14ac:dyDescent="0.3">
      <c r="A10197" s="45">
        <v>45551</v>
      </c>
      <c r="B10197" s="396" t="s">
        <v>13458</v>
      </c>
      <c r="C10197" s="5" t="s">
        <v>57</v>
      </c>
      <c r="D10197" s="5" t="s">
        <v>5813</v>
      </c>
      <c r="E10197" s="43">
        <v>5000</v>
      </c>
      <c r="F10197" s="43"/>
      <c r="G10197" s="48">
        <f t="shared" si="252"/>
        <v>345701.08546533174</v>
      </c>
      <c r="H10197" s="389" t="s">
        <v>9567</v>
      </c>
    </row>
    <row r="10198" spans="1:13" x14ac:dyDescent="0.3">
      <c r="A10198" s="45">
        <v>45551</v>
      </c>
      <c r="B10198" s="396" t="s">
        <v>13458</v>
      </c>
      <c r="C10198" s="5" t="s">
        <v>4550</v>
      </c>
      <c r="D10198" s="5" t="s">
        <v>14313</v>
      </c>
      <c r="E10198" s="43">
        <v>16000</v>
      </c>
      <c r="F10198" s="43"/>
      <c r="G10198" s="48">
        <f t="shared" si="252"/>
        <v>329701.08546533174</v>
      </c>
      <c r="H10198" s="389" t="s">
        <v>9567</v>
      </c>
      <c r="M10198" s="351"/>
    </row>
    <row r="10199" spans="1:13" x14ac:dyDescent="0.3">
      <c r="A10199" s="45">
        <v>45551</v>
      </c>
      <c r="B10199" s="396" t="s">
        <v>13458</v>
      </c>
      <c r="C10199" s="5" t="s">
        <v>84</v>
      </c>
      <c r="D10199" s="5" t="s">
        <v>14454</v>
      </c>
      <c r="E10199" s="43">
        <v>10000</v>
      </c>
      <c r="F10199" s="43"/>
      <c r="G10199" s="48">
        <f t="shared" si="252"/>
        <v>319701.08546533174</v>
      </c>
      <c r="H10199" s="389" t="s">
        <v>9567</v>
      </c>
    </row>
    <row r="10200" spans="1:13" x14ac:dyDescent="0.3">
      <c r="A10200" s="45">
        <v>45551</v>
      </c>
      <c r="B10200" s="396"/>
      <c r="C10200" s="5" t="s">
        <v>14</v>
      </c>
      <c r="D10200" s="5" t="s">
        <v>14455</v>
      </c>
      <c r="E10200" s="43">
        <v>100000</v>
      </c>
      <c r="F10200" s="43"/>
      <c r="G10200" s="48">
        <f t="shared" si="252"/>
        <v>219701.08546533174</v>
      </c>
      <c r="H10200" s="389" t="s">
        <v>9567</v>
      </c>
    </row>
    <row r="10201" spans="1:13" x14ac:dyDescent="0.3">
      <c r="A10201" s="45">
        <v>45551</v>
      </c>
      <c r="B10201" s="396"/>
      <c r="C10201" s="5" t="s">
        <v>14</v>
      </c>
      <c r="D10201" s="5" t="s">
        <v>14456</v>
      </c>
      <c r="E10201" s="43">
        <v>40750</v>
      </c>
      <c r="F10201" s="43"/>
      <c r="G10201" s="48">
        <f t="shared" si="252"/>
        <v>178951.08546533174</v>
      </c>
      <c r="H10201" s="389" t="s">
        <v>9567</v>
      </c>
    </row>
    <row r="10202" spans="1:13" x14ac:dyDescent="0.3">
      <c r="A10202" s="45">
        <v>45551</v>
      </c>
      <c r="B10202" s="396" t="s">
        <v>14310</v>
      </c>
      <c r="C10202" s="5" t="s">
        <v>26</v>
      </c>
      <c r="D10202" s="5" t="s">
        <v>14457</v>
      </c>
      <c r="E10202" s="43">
        <v>5500</v>
      </c>
      <c r="F10202" s="43"/>
      <c r="G10202" s="48">
        <f t="shared" si="252"/>
        <v>173451.08546533174</v>
      </c>
      <c r="H10202" s="389" t="s">
        <v>9567</v>
      </c>
    </row>
    <row r="10203" spans="1:13" x14ac:dyDescent="0.3">
      <c r="A10203" s="45">
        <v>45551</v>
      </c>
      <c r="B10203" s="396" t="s">
        <v>14310</v>
      </c>
      <c r="C10203" s="5" t="s">
        <v>4122</v>
      </c>
      <c r="D10203" s="5" t="s">
        <v>14458</v>
      </c>
      <c r="E10203" s="43">
        <v>30000</v>
      </c>
      <c r="F10203" s="43"/>
      <c r="G10203" s="48">
        <f t="shared" si="252"/>
        <v>143451.08546533174</v>
      </c>
      <c r="H10203" s="389" t="s">
        <v>9567</v>
      </c>
    </row>
    <row r="10204" spans="1:13" x14ac:dyDescent="0.3">
      <c r="A10204" s="45">
        <v>45553</v>
      </c>
      <c r="B10204" s="396" t="s">
        <v>14031</v>
      </c>
      <c r="C10204" s="5" t="s">
        <v>84</v>
      </c>
      <c r="D10204" s="5" t="s">
        <v>14459</v>
      </c>
      <c r="E10204" s="43">
        <v>30000</v>
      </c>
      <c r="F10204" s="43"/>
      <c r="G10204" s="48">
        <f t="shared" si="252"/>
        <v>113451.08546533174</v>
      </c>
      <c r="H10204" s="389" t="s">
        <v>9567</v>
      </c>
    </row>
    <row r="10205" spans="1:13" x14ac:dyDescent="0.3">
      <c r="A10205" s="45">
        <v>45553</v>
      </c>
      <c r="B10205" s="396" t="s">
        <v>25</v>
      </c>
      <c r="C10205" s="5" t="s">
        <v>25</v>
      </c>
      <c r="D10205" s="5" t="s">
        <v>11434</v>
      </c>
      <c r="E10205" s="43">
        <v>3000</v>
      </c>
      <c r="F10205" s="43"/>
      <c r="G10205" s="48">
        <f t="shared" si="252"/>
        <v>110451.08546533174</v>
      </c>
      <c r="H10205" s="389" t="s">
        <v>9567</v>
      </c>
    </row>
    <row r="10206" spans="1:13" x14ac:dyDescent="0.3">
      <c r="A10206" s="45">
        <v>45553</v>
      </c>
      <c r="B10206" s="396" t="s">
        <v>12133</v>
      </c>
      <c r="C10206" s="5" t="s">
        <v>5793</v>
      </c>
      <c r="D10206" s="5" t="s">
        <v>14460</v>
      </c>
      <c r="E10206" s="43">
        <v>700</v>
      </c>
      <c r="F10206" s="43"/>
      <c r="G10206" s="48">
        <f t="shared" si="252"/>
        <v>109751.08546533174</v>
      </c>
      <c r="H10206" s="389" t="s">
        <v>9567</v>
      </c>
    </row>
    <row r="10207" spans="1:13" x14ac:dyDescent="0.3">
      <c r="A10207" s="45">
        <v>45553</v>
      </c>
      <c r="B10207" s="396" t="s">
        <v>25</v>
      </c>
      <c r="C10207" s="5" t="s">
        <v>11174</v>
      </c>
      <c r="D10207" s="5" t="s">
        <v>14461</v>
      </c>
      <c r="E10207" s="43">
        <v>2100</v>
      </c>
      <c r="F10207" s="43"/>
      <c r="G10207" s="48">
        <f t="shared" si="252"/>
        <v>107651.08546533174</v>
      </c>
      <c r="H10207" s="389" t="s">
        <v>9567</v>
      </c>
    </row>
    <row r="10208" spans="1:13" x14ac:dyDescent="0.3">
      <c r="A10208" s="45">
        <v>45553</v>
      </c>
      <c r="B10208" s="396" t="s">
        <v>13902</v>
      </c>
      <c r="C10208" s="5" t="s">
        <v>5793</v>
      </c>
      <c r="D10208" s="5" t="s">
        <v>14462</v>
      </c>
      <c r="E10208" s="43">
        <v>1000</v>
      </c>
      <c r="F10208" s="43"/>
      <c r="G10208" s="48">
        <f t="shared" si="252"/>
        <v>106651.08546533174</v>
      </c>
      <c r="H10208" s="389" t="s">
        <v>9567</v>
      </c>
    </row>
    <row r="10209" spans="1:9" x14ac:dyDescent="0.3">
      <c r="A10209" s="45">
        <v>45553</v>
      </c>
      <c r="B10209" s="396" t="s">
        <v>12611</v>
      </c>
      <c r="C10209" s="5" t="s">
        <v>84</v>
      </c>
      <c r="D10209" s="5" t="s">
        <v>14465</v>
      </c>
      <c r="E10209" s="43">
        <v>5000</v>
      </c>
      <c r="F10209" s="43"/>
      <c r="G10209" s="48">
        <f t="shared" si="252"/>
        <v>101651.08546533174</v>
      </c>
      <c r="H10209" s="389" t="s">
        <v>9567</v>
      </c>
    </row>
    <row r="10210" spans="1:9" ht="18.75" customHeight="1" x14ac:dyDescent="0.3">
      <c r="A10210" s="45">
        <v>45553</v>
      </c>
      <c r="B10210" s="396" t="s">
        <v>12611</v>
      </c>
      <c r="C10210" s="5" t="s">
        <v>84</v>
      </c>
      <c r="D10210" s="5" t="s">
        <v>14466</v>
      </c>
      <c r="E10210" s="43">
        <v>3000</v>
      </c>
      <c r="F10210" s="43"/>
      <c r="G10210" s="48">
        <f t="shared" si="252"/>
        <v>98651.085465331736</v>
      </c>
      <c r="H10210" s="389" t="s">
        <v>9567</v>
      </c>
    </row>
    <row r="10211" spans="1:9" ht="18.75" customHeight="1" x14ac:dyDescent="0.3">
      <c r="A10211" s="45">
        <v>45553</v>
      </c>
      <c r="B10211" s="396" t="s">
        <v>12611</v>
      </c>
      <c r="C10211" s="5" t="s">
        <v>84</v>
      </c>
      <c r="D10211" s="5" t="s">
        <v>14467</v>
      </c>
      <c r="E10211" s="43">
        <v>5000</v>
      </c>
      <c r="F10211" s="43"/>
      <c r="G10211" s="48">
        <f t="shared" si="252"/>
        <v>93651.085465331736</v>
      </c>
      <c r="H10211" s="389" t="s">
        <v>9567</v>
      </c>
    </row>
    <row r="10212" spans="1:9" x14ac:dyDescent="0.3">
      <c r="A10212" s="45">
        <v>45553</v>
      </c>
      <c r="B10212" s="396" t="s">
        <v>13902</v>
      </c>
      <c r="C10212" s="5" t="s">
        <v>5793</v>
      </c>
      <c r="D10212" s="5" t="s">
        <v>40</v>
      </c>
      <c r="E10212" s="43">
        <v>3500</v>
      </c>
      <c r="F10212" s="43"/>
      <c r="G10212" s="48">
        <f t="shared" si="252"/>
        <v>90151.085465331736</v>
      </c>
      <c r="H10212" s="389" t="s">
        <v>9567</v>
      </c>
    </row>
    <row r="10213" spans="1:9" x14ac:dyDescent="0.3">
      <c r="A10213" s="45">
        <v>45554</v>
      </c>
      <c r="B10213" s="396" t="s">
        <v>12897</v>
      </c>
      <c r="C10213" s="5" t="s">
        <v>54</v>
      </c>
      <c r="D10213" s="5" t="s">
        <v>14468</v>
      </c>
      <c r="E10213" s="43">
        <v>30000</v>
      </c>
      <c r="F10213" s="43"/>
      <c r="G10213" s="48">
        <f t="shared" si="252"/>
        <v>60151.085465331736</v>
      </c>
      <c r="H10213" s="389" t="s">
        <v>9567</v>
      </c>
    </row>
    <row r="10214" spans="1:9" x14ac:dyDescent="0.3">
      <c r="A10214" s="45">
        <v>45554</v>
      </c>
      <c r="B10214" s="396" t="s">
        <v>13902</v>
      </c>
      <c r="C10214" s="5" t="s">
        <v>30</v>
      </c>
      <c r="D10214" s="5" t="s">
        <v>14126</v>
      </c>
      <c r="E10214" s="43">
        <v>2000</v>
      </c>
      <c r="F10214" s="43"/>
      <c r="G10214" s="48">
        <f t="shared" si="252"/>
        <v>58151.085465331736</v>
      </c>
      <c r="H10214" s="389" t="s">
        <v>9567</v>
      </c>
      <c r="I10214" s="52">
        <v>3000</v>
      </c>
    </row>
    <row r="10215" spans="1:9" x14ac:dyDescent="0.3">
      <c r="A10215" s="45">
        <v>45554</v>
      </c>
      <c r="B10215" s="396" t="s">
        <v>13709</v>
      </c>
      <c r="C10215" s="5" t="s">
        <v>26</v>
      </c>
      <c r="D10215" s="5" t="s">
        <v>11536</v>
      </c>
      <c r="E10215" s="43">
        <v>1500</v>
      </c>
      <c r="F10215" s="43"/>
      <c r="G10215" s="48">
        <f t="shared" si="252"/>
        <v>56651.085465331736</v>
      </c>
      <c r="H10215" s="389" t="s">
        <v>9567</v>
      </c>
      <c r="I10215" s="52">
        <v>6400</v>
      </c>
    </row>
    <row r="10216" spans="1:9" x14ac:dyDescent="0.3">
      <c r="A10216" s="45">
        <v>45554</v>
      </c>
      <c r="B10216" s="396" t="s">
        <v>13902</v>
      </c>
      <c r="C10216" s="5" t="s">
        <v>84</v>
      </c>
      <c r="D10216" s="5" t="s">
        <v>14470</v>
      </c>
      <c r="E10216" s="43">
        <v>3000</v>
      </c>
      <c r="F10216" s="43"/>
      <c r="G10216" s="48">
        <f t="shared" si="252"/>
        <v>53651.085465331736</v>
      </c>
      <c r="H10216" s="389" t="s">
        <v>9567</v>
      </c>
      <c r="I10216" s="52">
        <v>3790</v>
      </c>
    </row>
    <row r="10217" spans="1:9" x14ac:dyDescent="0.3">
      <c r="A10217" s="45">
        <v>45554</v>
      </c>
      <c r="B10217" s="396" t="s">
        <v>13709</v>
      </c>
      <c r="C10217" s="5" t="s">
        <v>5288</v>
      </c>
      <c r="D10217" s="5" t="s">
        <v>12362</v>
      </c>
      <c r="E10217" s="43">
        <v>1500</v>
      </c>
      <c r="F10217" s="43"/>
      <c r="G10217" s="48">
        <f t="shared" si="252"/>
        <v>52151.085465331736</v>
      </c>
      <c r="H10217" s="389" t="s">
        <v>9567</v>
      </c>
      <c r="I10217" s="52">
        <v>300</v>
      </c>
    </row>
    <row r="10218" spans="1:9" x14ac:dyDescent="0.3">
      <c r="A10218" s="45">
        <v>45554</v>
      </c>
      <c r="B10218" s="396" t="s">
        <v>25</v>
      </c>
      <c r="C10218" s="5" t="s">
        <v>25</v>
      </c>
      <c r="D10218" s="5" t="s">
        <v>11434</v>
      </c>
      <c r="E10218" s="43">
        <v>4000</v>
      </c>
      <c r="F10218" s="43"/>
      <c r="G10218" s="48">
        <f t="shared" si="252"/>
        <v>48151.085465331736</v>
      </c>
      <c r="H10218" s="389" t="s">
        <v>9567</v>
      </c>
      <c r="I10218" s="52">
        <v>350</v>
      </c>
    </row>
    <row r="10219" spans="1:9" x14ac:dyDescent="0.3">
      <c r="A10219" s="45">
        <v>45554</v>
      </c>
      <c r="B10219" s="396" t="s">
        <v>12079</v>
      </c>
      <c r="C10219" s="5" t="s">
        <v>30</v>
      </c>
      <c r="D10219" s="5" t="s">
        <v>14471</v>
      </c>
      <c r="E10219" s="43">
        <v>500</v>
      </c>
      <c r="F10219" s="43"/>
      <c r="G10219" s="48">
        <f t="shared" si="252"/>
        <v>47651.085465331736</v>
      </c>
      <c r="H10219" s="389" t="s">
        <v>9567</v>
      </c>
      <c r="I10219" s="52">
        <v>230</v>
      </c>
    </row>
    <row r="10220" spans="1:9" x14ac:dyDescent="0.3">
      <c r="A10220" s="45">
        <v>45554</v>
      </c>
      <c r="B10220" s="396" t="s">
        <v>14248</v>
      </c>
      <c r="C10220" s="5" t="s">
        <v>14321</v>
      </c>
      <c r="D10220" s="5" t="s">
        <v>14477</v>
      </c>
      <c r="E10220" s="43">
        <v>19150</v>
      </c>
      <c r="F10220" s="43"/>
      <c r="G10220" s="48">
        <f t="shared" si="252"/>
        <v>28501.085465331736</v>
      </c>
      <c r="H10220" s="389" t="s">
        <v>9567</v>
      </c>
      <c r="I10220" s="52">
        <f>SUM(I10214:I10219)</f>
        <v>14070</v>
      </c>
    </row>
    <row r="10221" spans="1:9" x14ac:dyDescent="0.3">
      <c r="A10221" s="45">
        <v>45554</v>
      </c>
      <c r="B10221" s="396" t="s">
        <v>13379</v>
      </c>
      <c r="C10221" s="5" t="s">
        <v>5793</v>
      </c>
      <c r="D10221" s="5" t="s">
        <v>40</v>
      </c>
      <c r="E10221" s="43">
        <v>700</v>
      </c>
      <c r="F10221" s="43"/>
      <c r="G10221" s="48">
        <f t="shared" si="252"/>
        <v>27801.085465331736</v>
      </c>
      <c r="H10221" s="389" t="s">
        <v>9567</v>
      </c>
    </row>
    <row r="10222" spans="1:9" x14ac:dyDescent="0.3">
      <c r="A10222" s="45">
        <v>45554</v>
      </c>
      <c r="B10222" s="396" t="s">
        <v>13902</v>
      </c>
      <c r="C10222" s="5" t="s">
        <v>11174</v>
      </c>
      <c r="D10222" s="5" t="s">
        <v>14402</v>
      </c>
      <c r="E10222" s="43">
        <v>9600</v>
      </c>
      <c r="F10222" s="43"/>
      <c r="G10222" s="48">
        <f t="shared" si="252"/>
        <v>18201.085465331736</v>
      </c>
      <c r="H10222" s="389" t="s">
        <v>9567</v>
      </c>
    </row>
    <row r="10223" spans="1:9" x14ac:dyDescent="0.3">
      <c r="A10223" s="45">
        <v>45554</v>
      </c>
      <c r="B10223" s="396" t="s">
        <v>25</v>
      </c>
      <c r="C10223" s="5" t="s">
        <v>26</v>
      </c>
      <c r="D10223" s="5" t="s">
        <v>14485</v>
      </c>
      <c r="E10223" s="43">
        <v>460</v>
      </c>
      <c r="F10223" s="43"/>
      <c r="G10223" s="48">
        <f t="shared" si="252"/>
        <v>17741.085465331736</v>
      </c>
      <c r="H10223" s="389" t="s">
        <v>9567</v>
      </c>
    </row>
    <row r="10224" spans="1:9" x14ac:dyDescent="0.3">
      <c r="A10224" s="45">
        <v>45554</v>
      </c>
      <c r="B10224" s="396" t="s">
        <v>12133</v>
      </c>
      <c r="C10224" s="5" t="s">
        <v>84</v>
      </c>
      <c r="D10224" s="5" t="s">
        <v>14387</v>
      </c>
      <c r="E10224" s="43">
        <v>1000</v>
      </c>
      <c r="F10224" s="43"/>
      <c r="G10224" s="48">
        <f t="shared" si="252"/>
        <v>16741.085465331736</v>
      </c>
      <c r="H10224" s="389" t="s">
        <v>9567</v>
      </c>
    </row>
    <row r="10225" spans="1:10" x14ac:dyDescent="0.3">
      <c r="A10225" s="45">
        <v>45554</v>
      </c>
      <c r="B10225" s="396" t="s">
        <v>13709</v>
      </c>
      <c r="C10225" s="5" t="s">
        <v>11174</v>
      </c>
      <c r="D10225" s="5" t="s">
        <v>14483</v>
      </c>
      <c r="E10225" s="43">
        <v>500</v>
      </c>
      <c r="F10225" s="43"/>
      <c r="G10225" s="48">
        <f t="shared" si="252"/>
        <v>16241.085465331736</v>
      </c>
      <c r="H10225" s="389" t="s">
        <v>9567</v>
      </c>
      <c r="J10225" s="52">
        <v>338310</v>
      </c>
    </row>
    <row r="10226" spans="1:10" x14ac:dyDescent="0.3">
      <c r="A10226" s="45">
        <v>45554</v>
      </c>
      <c r="B10226" s="396" t="s">
        <v>12133</v>
      </c>
      <c r="C10226" s="5" t="s">
        <v>26</v>
      </c>
      <c r="D10226" s="5" t="s">
        <v>14478</v>
      </c>
      <c r="E10226" s="43">
        <v>1500</v>
      </c>
      <c r="F10226" s="43"/>
      <c r="G10226" s="48">
        <f t="shared" si="252"/>
        <v>14741.085465331736</v>
      </c>
      <c r="H10226" s="389" t="s">
        <v>9567</v>
      </c>
      <c r="J10226" s="52">
        <v>338310</v>
      </c>
    </row>
    <row r="10227" spans="1:10" x14ac:dyDescent="0.3">
      <c r="A10227" s="45">
        <v>45554</v>
      </c>
      <c r="B10227" s="396" t="s">
        <v>12133</v>
      </c>
      <c r="C10227" s="5" t="s">
        <v>5793</v>
      </c>
      <c r="D10227" s="5" t="s">
        <v>14479</v>
      </c>
      <c r="E10227" s="43">
        <v>500</v>
      </c>
      <c r="F10227" s="43"/>
      <c r="G10227" s="48">
        <f t="shared" si="252"/>
        <v>14241.085465331736</v>
      </c>
      <c r="H10227" s="389" t="s">
        <v>9567</v>
      </c>
      <c r="J10227" s="52">
        <v>333522</v>
      </c>
    </row>
    <row r="10228" spans="1:10" x14ac:dyDescent="0.3">
      <c r="A10228" s="45">
        <v>45554</v>
      </c>
      <c r="B10228" s="396" t="s">
        <v>13138</v>
      </c>
      <c r="C10228" s="5" t="s">
        <v>84</v>
      </c>
      <c r="D10228" s="5" t="s">
        <v>14480</v>
      </c>
      <c r="E10228" s="43">
        <v>5000</v>
      </c>
      <c r="F10228" s="43"/>
      <c r="G10228" s="48">
        <f t="shared" si="252"/>
        <v>9241.0854653317365</v>
      </c>
      <c r="H10228" s="389" t="s">
        <v>9567</v>
      </c>
      <c r="J10228" s="52">
        <f>SUM(J10225:J10227)</f>
        <v>1010142</v>
      </c>
    </row>
    <row r="10229" spans="1:10" x14ac:dyDescent="0.3">
      <c r="A10229" s="45">
        <v>45554</v>
      </c>
      <c r="B10229" s="396" t="s">
        <v>12133</v>
      </c>
      <c r="C10229" s="5" t="s">
        <v>5162</v>
      </c>
      <c r="D10229" s="5" t="s">
        <v>14481</v>
      </c>
      <c r="E10229" s="43">
        <v>3000</v>
      </c>
      <c r="F10229" s="43"/>
      <c r="G10229" s="48">
        <f t="shared" si="252"/>
        <v>6241.0854653317365</v>
      </c>
      <c r="H10229" s="389" t="s">
        <v>9567</v>
      </c>
    </row>
    <row r="10230" spans="1:10" x14ac:dyDescent="0.3">
      <c r="A10230" s="45">
        <v>45554</v>
      </c>
      <c r="B10230" s="396" t="s">
        <v>25</v>
      </c>
      <c r="C10230" s="5" t="s">
        <v>26</v>
      </c>
      <c r="D10230" s="5" t="s">
        <v>14482</v>
      </c>
      <c r="E10230" s="43">
        <v>2000</v>
      </c>
      <c r="F10230" s="43"/>
      <c r="G10230" s="48">
        <f t="shared" si="252"/>
        <v>4241.0854653317365</v>
      </c>
      <c r="H10230" s="389" t="s">
        <v>9567</v>
      </c>
    </row>
    <row r="10231" spans="1:10" x14ac:dyDescent="0.3">
      <c r="A10231" s="45">
        <v>45555</v>
      </c>
      <c r="B10231" s="396" t="s">
        <v>25</v>
      </c>
      <c r="C10231" s="5" t="s">
        <v>25</v>
      </c>
      <c r="D10231" s="5" t="s">
        <v>11434</v>
      </c>
      <c r="E10231" s="43">
        <v>2000</v>
      </c>
      <c r="F10231" s="43"/>
      <c r="G10231" s="48">
        <f t="shared" si="252"/>
        <v>2241.0854653317365</v>
      </c>
      <c r="H10231" s="389" t="s">
        <v>9567</v>
      </c>
    </row>
    <row r="10232" spans="1:10" x14ac:dyDescent="0.3">
      <c r="A10232" s="45">
        <v>45555</v>
      </c>
      <c r="B10232" s="396" t="s">
        <v>25</v>
      </c>
      <c r="C10232" s="5" t="s">
        <v>26</v>
      </c>
      <c r="D10232" s="5" t="s">
        <v>14484</v>
      </c>
      <c r="E10232" s="43">
        <v>500</v>
      </c>
      <c r="F10232" s="43"/>
      <c r="G10232" s="48">
        <f t="shared" ref="G10232:G10264" si="257">G10231+F10232-E10232</f>
        <v>1741.0854653317365</v>
      </c>
      <c r="H10232" s="389" t="s">
        <v>9567</v>
      </c>
    </row>
    <row r="10233" spans="1:10" x14ac:dyDescent="0.3">
      <c r="A10233" s="45">
        <v>45555</v>
      </c>
      <c r="B10233" s="396" t="s">
        <v>13902</v>
      </c>
      <c r="C10233" s="5" t="s">
        <v>30</v>
      </c>
      <c r="D10233" s="5" t="s">
        <v>14126</v>
      </c>
      <c r="E10233" s="43">
        <v>900</v>
      </c>
      <c r="F10233" s="43"/>
      <c r="G10233" s="48">
        <f t="shared" si="257"/>
        <v>841.08546533173649</v>
      </c>
      <c r="H10233" s="389" t="s">
        <v>9567</v>
      </c>
    </row>
    <row r="10234" spans="1:10" x14ac:dyDescent="0.3">
      <c r="A10234" s="45">
        <v>45555</v>
      </c>
      <c r="B10234" s="565"/>
      <c r="C10234" s="480"/>
      <c r="D10234" s="491" t="s">
        <v>5431</v>
      </c>
      <c r="E10234" s="480"/>
      <c r="F10234" s="43">
        <v>500000</v>
      </c>
      <c r="G10234" s="48">
        <f t="shared" si="257"/>
        <v>500841.08546533174</v>
      </c>
      <c r="H10234" s="389" t="s">
        <v>9567</v>
      </c>
    </row>
    <row r="10235" spans="1:10" x14ac:dyDescent="0.3">
      <c r="A10235" s="45">
        <v>45555</v>
      </c>
      <c r="B10235" s="396" t="s">
        <v>13321</v>
      </c>
      <c r="C10235" s="5" t="s">
        <v>3220</v>
      </c>
      <c r="D10235" s="5" t="s">
        <v>14489</v>
      </c>
      <c r="E10235" s="43">
        <v>50000</v>
      </c>
      <c r="F10235" s="43"/>
      <c r="G10235" s="48">
        <f t="shared" si="257"/>
        <v>450841.08546533174</v>
      </c>
      <c r="H10235" s="389" t="s">
        <v>9567</v>
      </c>
    </row>
    <row r="10236" spans="1:10" x14ac:dyDescent="0.3">
      <c r="A10236" s="45">
        <v>45555</v>
      </c>
      <c r="B10236" s="396" t="s">
        <v>12133</v>
      </c>
      <c r="C10236" s="5" t="s">
        <v>84</v>
      </c>
      <c r="D10236" s="5" t="s">
        <v>14429</v>
      </c>
      <c r="E10236" s="43">
        <v>3000</v>
      </c>
      <c r="F10236" s="43"/>
      <c r="G10236" s="48">
        <f t="shared" si="257"/>
        <v>447841.08546533174</v>
      </c>
      <c r="H10236" s="389" t="s">
        <v>9567</v>
      </c>
    </row>
    <row r="10237" spans="1:10" x14ac:dyDescent="0.3">
      <c r="A10237" s="45">
        <v>45555</v>
      </c>
      <c r="B10237" s="396" t="s">
        <v>12080</v>
      </c>
      <c r="C10237" s="5" t="s">
        <v>11174</v>
      </c>
      <c r="D10237" s="5" t="s">
        <v>14490</v>
      </c>
      <c r="E10237" s="43">
        <v>3000</v>
      </c>
      <c r="F10237" s="43"/>
      <c r="G10237" s="48">
        <f t="shared" si="257"/>
        <v>444841.08546533174</v>
      </c>
      <c r="H10237" s="389" t="s">
        <v>9567</v>
      </c>
    </row>
    <row r="10238" spans="1:10" x14ac:dyDescent="0.3">
      <c r="A10238" s="45">
        <v>45555</v>
      </c>
      <c r="B10238" s="396" t="s">
        <v>14248</v>
      </c>
      <c r="C10238" s="5" t="s">
        <v>11174</v>
      </c>
      <c r="D10238" s="5" t="s">
        <v>14491</v>
      </c>
      <c r="E10238" s="43">
        <v>2000</v>
      </c>
      <c r="F10238" s="43"/>
      <c r="G10238" s="48">
        <f t="shared" si="257"/>
        <v>442841.08546533174</v>
      </c>
      <c r="H10238" s="389" t="s">
        <v>9567</v>
      </c>
    </row>
    <row r="10239" spans="1:10" x14ac:dyDescent="0.3">
      <c r="A10239" s="45">
        <v>45555</v>
      </c>
      <c r="B10239" s="396" t="s">
        <v>13379</v>
      </c>
      <c r="C10239" s="5" t="s">
        <v>14492</v>
      </c>
      <c r="D10239" s="5" t="s">
        <v>14493</v>
      </c>
      <c r="E10239" s="43">
        <v>13500</v>
      </c>
      <c r="F10239" s="43"/>
      <c r="G10239" s="48">
        <f t="shared" si="257"/>
        <v>429341.08546533174</v>
      </c>
      <c r="H10239" s="389" t="s">
        <v>9567</v>
      </c>
    </row>
    <row r="10240" spans="1:10" x14ac:dyDescent="0.3">
      <c r="A10240" s="45">
        <v>45555</v>
      </c>
      <c r="B10240" s="396" t="s">
        <v>13902</v>
      </c>
      <c r="C10240" s="5" t="s">
        <v>541</v>
      </c>
      <c r="D10240" s="5" t="s">
        <v>14494</v>
      </c>
      <c r="E10240" s="43">
        <v>1000</v>
      </c>
      <c r="F10240" s="43"/>
      <c r="G10240" s="48">
        <f t="shared" si="257"/>
        <v>428341.08546533174</v>
      </c>
      <c r="H10240" s="389" t="s">
        <v>9567</v>
      </c>
    </row>
    <row r="10241" spans="1:10" x14ac:dyDescent="0.3">
      <c r="A10241" s="45">
        <v>45555</v>
      </c>
      <c r="B10241" s="396" t="s">
        <v>13902</v>
      </c>
      <c r="C10241" s="5" t="s">
        <v>14495</v>
      </c>
      <c r="D10241" s="5" t="s">
        <v>14496</v>
      </c>
      <c r="E10241" s="43">
        <v>14000</v>
      </c>
      <c r="F10241" s="43"/>
      <c r="G10241" s="48">
        <f t="shared" si="257"/>
        <v>414341.08546533174</v>
      </c>
      <c r="H10241" s="389" t="s">
        <v>9567</v>
      </c>
    </row>
    <row r="10242" spans="1:10" x14ac:dyDescent="0.3">
      <c r="A10242" s="45">
        <v>45555</v>
      </c>
      <c r="B10242" s="396" t="s">
        <v>13188</v>
      </c>
      <c r="C10242" s="5" t="s">
        <v>68</v>
      </c>
      <c r="D10242" s="5" t="s">
        <v>14497</v>
      </c>
      <c r="E10242" s="43">
        <v>20000</v>
      </c>
      <c r="F10242" s="43"/>
      <c r="G10242" s="48">
        <f t="shared" si="257"/>
        <v>394341.08546533174</v>
      </c>
      <c r="H10242" s="389" t="s">
        <v>9567</v>
      </c>
    </row>
    <row r="10243" spans="1:10" x14ac:dyDescent="0.3">
      <c r="A10243" s="45">
        <v>45555</v>
      </c>
      <c r="B10243" s="396" t="s">
        <v>13458</v>
      </c>
      <c r="C10243" s="5" t="s">
        <v>5288</v>
      </c>
      <c r="D10243" s="5" t="s">
        <v>294</v>
      </c>
      <c r="E10243" s="43">
        <v>15000</v>
      </c>
      <c r="F10243" s="43"/>
      <c r="G10243" s="48">
        <f t="shared" si="257"/>
        <v>379341.08546533174</v>
      </c>
      <c r="H10243" s="389" t="s">
        <v>9567</v>
      </c>
    </row>
    <row r="10244" spans="1:10" x14ac:dyDescent="0.3">
      <c r="A10244" s="45">
        <v>45555</v>
      </c>
      <c r="B10244" s="396" t="s">
        <v>13981</v>
      </c>
      <c r="C10244" s="5" t="s">
        <v>14498</v>
      </c>
      <c r="D10244" s="5" t="s">
        <v>14499</v>
      </c>
      <c r="E10244" s="43">
        <v>60000</v>
      </c>
      <c r="F10244" s="43"/>
      <c r="G10244" s="48">
        <f t="shared" si="257"/>
        <v>319341.08546533174</v>
      </c>
      <c r="H10244" s="389" t="s">
        <v>9567</v>
      </c>
    </row>
    <row r="10245" spans="1:10" x14ac:dyDescent="0.3">
      <c r="A10245" s="45">
        <v>45555</v>
      </c>
      <c r="B10245" s="396" t="s">
        <v>13981</v>
      </c>
      <c r="C10245" s="5" t="s">
        <v>14498</v>
      </c>
      <c r="D10245" s="5" t="s">
        <v>14500</v>
      </c>
      <c r="E10245" s="43">
        <v>40000</v>
      </c>
      <c r="F10245" s="43"/>
      <c r="G10245" s="48">
        <f t="shared" si="257"/>
        <v>279341.08546533174</v>
      </c>
      <c r="H10245" s="389" t="s">
        <v>9567</v>
      </c>
    </row>
    <row r="10246" spans="1:10" x14ac:dyDescent="0.3">
      <c r="A10246" s="45">
        <v>45556</v>
      </c>
      <c r="B10246" s="396" t="s">
        <v>12055</v>
      </c>
      <c r="C10246" s="5" t="s">
        <v>14502</v>
      </c>
      <c r="D10246" s="5" t="s">
        <v>14503</v>
      </c>
      <c r="E10246" s="43">
        <v>78000</v>
      </c>
      <c r="F10246" s="43"/>
      <c r="G10246" s="48">
        <f t="shared" si="257"/>
        <v>201341.08546533174</v>
      </c>
      <c r="H10246" s="389" t="s">
        <v>9567</v>
      </c>
    </row>
    <row r="10247" spans="1:10" x14ac:dyDescent="0.3">
      <c r="A10247" s="45">
        <v>45556</v>
      </c>
      <c r="B10247" s="396" t="s">
        <v>13902</v>
      </c>
      <c r="C10247" s="5" t="s">
        <v>18</v>
      </c>
      <c r="D10247" s="5" t="s">
        <v>294</v>
      </c>
      <c r="E10247" s="43">
        <v>5000</v>
      </c>
      <c r="F10247" s="43"/>
      <c r="G10247" s="48">
        <f t="shared" si="257"/>
        <v>196341.08546533174</v>
      </c>
      <c r="H10247" s="389" t="s">
        <v>9567</v>
      </c>
      <c r="I10247" s="52" t="s">
        <v>14504</v>
      </c>
      <c r="J10247" s="52">
        <v>15000</v>
      </c>
    </row>
    <row r="10248" spans="1:10" x14ac:dyDescent="0.3">
      <c r="A10248" s="45">
        <v>45556</v>
      </c>
      <c r="B10248" s="396" t="s">
        <v>25</v>
      </c>
      <c r="C10248" s="5" t="s">
        <v>25</v>
      </c>
      <c r="D10248" s="5" t="s">
        <v>11434</v>
      </c>
      <c r="E10248" s="43">
        <v>5000</v>
      </c>
      <c r="F10248" s="43"/>
      <c r="G10248" s="48">
        <f t="shared" si="257"/>
        <v>191341.08546533174</v>
      </c>
      <c r="H10248" s="389" t="s">
        <v>9567</v>
      </c>
    </row>
    <row r="10249" spans="1:10" x14ac:dyDescent="0.3">
      <c r="A10249" s="45">
        <v>45556</v>
      </c>
      <c r="B10249" s="396" t="s">
        <v>13902</v>
      </c>
      <c r="C10249" s="5" t="s">
        <v>11174</v>
      </c>
      <c r="D10249" s="5" t="s">
        <v>14505</v>
      </c>
      <c r="E10249" s="43">
        <v>3000</v>
      </c>
      <c r="F10249" s="43"/>
      <c r="G10249" s="48">
        <f t="shared" si="257"/>
        <v>188341.08546533174</v>
      </c>
      <c r="H10249" s="389" t="s">
        <v>9567</v>
      </c>
      <c r="J10249" s="52">
        <v>1900</v>
      </c>
    </row>
    <row r="10250" spans="1:10" x14ac:dyDescent="0.3">
      <c r="A10250" s="45">
        <v>45556</v>
      </c>
      <c r="B10250" s="396" t="s">
        <v>14506</v>
      </c>
      <c r="C10250" s="5" t="s">
        <v>5288</v>
      </c>
      <c r="D10250" s="5" t="s">
        <v>14507</v>
      </c>
      <c r="E10250" s="43">
        <v>10000</v>
      </c>
      <c r="F10250" s="43"/>
      <c r="G10250" s="48">
        <f t="shared" si="257"/>
        <v>178341.08546533174</v>
      </c>
      <c r="H10250" s="389" t="s">
        <v>9567</v>
      </c>
      <c r="J10250" s="52">
        <v>4100</v>
      </c>
    </row>
    <row r="10251" spans="1:10" x14ac:dyDescent="0.3">
      <c r="A10251" s="45">
        <v>45556</v>
      </c>
      <c r="B10251" s="565"/>
      <c r="C10251" s="480"/>
      <c r="D10251" s="491" t="s">
        <v>5431</v>
      </c>
      <c r="E10251" s="480"/>
      <c r="F10251" s="43">
        <v>200000</v>
      </c>
      <c r="G10251" s="48">
        <f t="shared" si="257"/>
        <v>378341.08546533174</v>
      </c>
      <c r="H10251" s="389" t="s">
        <v>9567</v>
      </c>
    </row>
    <row r="10252" spans="1:10" x14ac:dyDescent="0.3">
      <c r="A10252" s="45">
        <v>45556</v>
      </c>
      <c r="B10252" s="396" t="s">
        <v>14506</v>
      </c>
      <c r="C10252" s="5" t="s">
        <v>11174</v>
      </c>
      <c r="D10252" s="5" t="s">
        <v>14511</v>
      </c>
      <c r="E10252" s="43">
        <v>163190</v>
      </c>
      <c r="F10252" s="43"/>
      <c r="G10252" s="48">
        <f t="shared" si="257"/>
        <v>215151.08546533174</v>
      </c>
      <c r="H10252" s="389" t="s">
        <v>9567</v>
      </c>
    </row>
    <row r="10253" spans="1:10" x14ac:dyDescent="0.3">
      <c r="A10253" s="45">
        <v>45556</v>
      </c>
      <c r="B10253" s="396" t="s">
        <v>14506</v>
      </c>
      <c r="C10253" s="5" t="s">
        <v>11174</v>
      </c>
      <c r="D10253" s="5" t="s">
        <v>14516</v>
      </c>
      <c r="E10253" s="43">
        <v>4500</v>
      </c>
      <c r="F10253" s="43"/>
      <c r="G10253" s="48">
        <f t="shared" si="257"/>
        <v>210651.08546533174</v>
      </c>
      <c r="H10253" s="389" t="s">
        <v>9567</v>
      </c>
    </row>
    <row r="10254" spans="1:10" x14ac:dyDescent="0.3">
      <c r="A10254" s="45">
        <v>45556</v>
      </c>
      <c r="B10254" s="396" t="s">
        <v>14506</v>
      </c>
      <c r="C10254" s="5" t="s">
        <v>11174</v>
      </c>
      <c r="D10254" s="5" t="s">
        <v>14517</v>
      </c>
      <c r="E10254" s="43">
        <f>11700+7400</f>
        <v>19100</v>
      </c>
      <c r="F10254" s="43"/>
      <c r="G10254" s="48">
        <f t="shared" si="257"/>
        <v>191551.08546533174</v>
      </c>
      <c r="H10254" s="389" t="s">
        <v>9567</v>
      </c>
    </row>
    <row r="10255" spans="1:10" x14ac:dyDescent="0.3">
      <c r="A10255" s="45">
        <v>45556</v>
      </c>
      <c r="B10255" s="396" t="s">
        <v>14506</v>
      </c>
      <c r="C10255" s="5" t="s">
        <v>11174</v>
      </c>
      <c r="D10255" s="5" t="s">
        <v>677</v>
      </c>
      <c r="E10255" s="43">
        <v>550</v>
      </c>
      <c r="F10255" s="43"/>
      <c r="G10255" s="48">
        <f t="shared" si="257"/>
        <v>191001.08546533174</v>
      </c>
      <c r="H10255" s="389" t="s">
        <v>9567</v>
      </c>
    </row>
    <row r="10256" spans="1:10" x14ac:dyDescent="0.3">
      <c r="A10256" s="45">
        <v>45556</v>
      </c>
      <c r="B10256" s="396" t="s">
        <v>13458</v>
      </c>
      <c r="C10256" s="5" t="s">
        <v>11174</v>
      </c>
      <c r="D10256" s="5" t="s">
        <v>14518</v>
      </c>
      <c r="E10256" s="43">
        <v>850</v>
      </c>
      <c r="F10256" s="43"/>
      <c r="G10256" s="48">
        <f t="shared" si="257"/>
        <v>190151.08546533174</v>
      </c>
      <c r="H10256" s="389" t="s">
        <v>9567</v>
      </c>
    </row>
    <row r="10257" spans="1:10" x14ac:dyDescent="0.3">
      <c r="A10257" s="45">
        <v>45556</v>
      </c>
      <c r="B10257" s="396" t="s">
        <v>14506</v>
      </c>
      <c r="C10257" s="5" t="s">
        <v>11174</v>
      </c>
      <c r="D10257" s="5" t="s">
        <v>2242</v>
      </c>
      <c r="E10257" s="43">
        <v>550</v>
      </c>
      <c r="F10257" s="43"/>
      <c r="G10257" s="48">
        <f t="shared" si="257"/>
        <v>189601.08546533174</v>
      </c>
      <c r="H10257" s="389" t="s">
        <v>9567</v>
      </c>
    </row>
    <row r="10258" spans="1:10" x14ac:dyDescent="0.3">
      <c r="A10258" s="45">
        <v>45556</v>
      </c>
      <c r="B10258" s="396" t="s">
        <v>14506</v>
      </c>
      <c r="C10258" s="5" t="s">
        <v>5793</v>
      </c>
      <c r="D10258" s="5" t="s">
        <v>40</v>
      </c>
      <c r="E10258" s="43">
        <v>1000</v>
      </c>
      <c r="F10258" s="43"/>
      <c r="G10258" s="48">
        <f t="shared" si="257"/>
        <v>188601.08546533174</v>
      </c>
      <c r="H10258" s="389" t="s">
        <v>9567</v>
      </c>
    </row>
    <row r="10259" spans="1:10" x14ac:dyDescent="0.3">
      <c r="A10259" s="45">
        <v>45556</v>
      </c>
      <c r="B10259" s="396" t="s">
        <v>14031</v>
      </c>
      <c r="C10259" s="5" t="s">
        <v>14512</v>
      </c>
      <c r="D10259" s="5" t="s">
        <v>14513</v>
      </c>
      <c r="E10259" s="43">
        <v>4100</v>
      </c>
      <c r="F10259" s="43"/>
      <c r="G10259" s="48">
        <f t="shared" si="257"/>
        <v>184501.08546533174</v>
      </c>
      <c r="H10259" s="389" t="s">
        <v>9567</v>
      </c>
    </row>
    <row r="10260" spans="1:10" x14ac:dyDescent="0.3">
      <c r="A10260" s="45">
        <v>45556</v>
      </c>
      <c r="B10260" s="396" t="s">
        <v>13321</v>
      </c>
      <c r="C10260" s="5" t="s">
        <v>4122</v>
      </c>
      <c r="D10260" s="5" t="s">
        <v>14514</v>
      </c>
      <c r="E10260" s="43">
        <v>150000</v>
      </c>
      <c r="F10260" s="43"/>
      <c r="G10260" s="48">
        <f t="shared" si="257"/>
        <v>34501.085465331736</v>
      </c>
      <c r="H10260" s="389" t="s">
        <v>9567</v>
      </c>
    </row>
    <row r="10261" spans="1:10" x14ac:dyDescent="0.3">
      <c r="A10261" s="45">
        <v>45556</v>
      </c>
      <c r="B10261" s="396" t="s">
        <v>13458</v>
      </c>
      <c r="C10261" s="5" t="s">
        <v>57</v>
      </c>
      <c r="D10261" s="5" t="s">
        <v>14515</v>
      </c>
      <c r="E10261" s="43">
        <v>5000</v>
      </c>
      <c r="F10261" s="43"/>
      <c r="G10261" s="48">
        <f t="shared" si="257"/>
        <v>29501.085465331736</v>
      </c>
      <c r="H10261" s="389" t="s">
        <v>9567</v>
      </c>
    </row>
    <row r="10262" spans="1:10" x14ac:dyDescent="0.3">
      <c r="A10262" s="45">
        <v>45556</v>
      </c>
      <c r="B10262" s="396" t="s">
        <v>13902</v>
      </c>
      <c r="C10262" s="5" t="s">
        <v>5793</v>
      </c>
      <c r="D10262" s="5" t="s">
        <v>40</v>
      </c>
      <c r="E10262" s="43">
        <v>3000</v>
      </c>
      <c r="F10262" s="43"/>
      <c r="G10262" s="48">
        <f t="shared" si="257"/>
        <v>26501.085465331736</v>
      </c>
      <c r="H10262" s="389" t="s">
        <v>9567</v>
      </c>
    </row>
    <row r="10263" spans="1:10" x14ac:dyDescent="0.3">
      <c r="A10263" s="45">
        <v>45558</v>
      </c>
      <c r="B10263" s="396" t="s">
        <v>13709</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13379</v>
      </c>
      <c r="C10264" s="5" t="s">
        <v>5793</v>
      </c>
      <c r="D10264" s="5" t="s">
        <v>40</v>
      </c>
      <c r="E10264" s="43">
        <v>2000</v>
      </c>
      <c r="F10264" s="43"/>
      <c r="G10264" s="48">
        <f t="shared" si="257"/>
        <v>22001.085465331736</v>
      </c>
      <c r="H10264" s="389" t="s">
        <v>9567</v>
      </c>
    </row>
    <row r="10265" spans="1:10" x14ac:dyDescent="0.3">
      <c r="A10265" s="45">
        <v>45558</v>
      </c>
      <c r="B10265" s="396" t="s">
        <v>14104</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11434</v>
      </c>
      <c r="E10266" s="43">
        <v>4000</v>
      </c>
      <c r="F10266" s="43"/>
      <c r="G10266" s="48">
        <f t="shared" si="258"/>
        <v>15001.085465331736</v>
      </c>
      <c r="H10266" s="389" t="s">
        <v>9567</v>
      </c>
      <c r="J10266" s="52">
        <f>J10247-J10263</f>
        <v>9000</v>
      </c>
    </row>
    <row r="10267" spans="1:10" x14ac:dyDescent="0.3">
      <c r="A10267" s="45">
        <v>45558</v>
      </c>
      <c r="B10267" s="396" t="s">
        <v>14104</v>
      </c>
      <c r="C10267" s="5" t="s">
        <v>30</v>
      </c>
      <c r="D10267" s="5" t="s">
        <v>14126</v>
      </c>
      <c r="E10267" s="43">
        <v>1000</v>
      </c>
      <c r="F10267" s="43"/>
      <c r="G10267" s="48">
        <f t="shared" si="258"/>
        <v>14001.085465331736</v>
      </c>
      <c r="H10267" s="389" t="s">
        <v>9567</v>
      </c>
    </row>
    <row r="10268" spans="1:10" x14ac:dyDescent="0.3">
      <c r="A10268" s="45">
        <v>45559</v>
      </c>
      <c r="B10268" s="396" t="s">
        <v>13379</v>
      </c>
      <c r="C10268" s="5" t="s">
        <v>11174</v>
      </c>
      <c r="D10268" s="5" t="s">
        <v>14377</v>
      </c>
      <c r="E10268" s="43">
        <v>1450</v>
      </c>
      <c r="F10268" s="43"/>
      <c r="G10268" s="48">
        <f t="shared" si="258"/>
        <v>12551.085465331736</v>
      </c>
      <c r="H10268" s="389" t="s">
        <v>9567</v>
      </c>
    </row>
    <row r="10269" spans="1:10" x14ac:dyDescent="0.3">
      <c r="A10269" s="45">
        <v>45559</v>
      </c>
      <c r="B10269" s="565"/>
      <c r="C10269" s="480"/>
      <c r="D10269" s="491" t="s">
        <v>5431</v>
      </c>
      <c r="E10269" s="480"/>
      <c r="F10269" s="43">
        <v>25000</v>
      </c>
      <c r="G10269" s="48">
        <f t="shared" si="258"/>
        <v>37551.085465331736</v>
      </c>
      <c r="H10269" s="389" t="s">
        <v>9567</v>
      </c>
    </row>
    <row r="10270" spans="1:10" x14ac:dyDescent="0.3">
      <c r="A10270" s="45">
        <v>45559</v>
      </c>
      <c r="B10270" s="396" t="s">
        <v>14031</v>
      </c>
      <c r="C10270" s="5" t="s">
        <v>8235</v>
      </c>
      <c r="D10270" s="5" t="s">
        <v>14519</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11434</v>
      </c>
      <c r="E10271" s="43">
        <v>3000</v>
      </c>
      <c r="F10271" s="43"/>
      <c r="G10271" s="48">
        <f t="shared" si="259"/>
        <v>24551.085465331736</v>
      </c>
      <c r="H10271" s="389" t="s">
        <v>9567</v>
      </c>
    </row>
    <row r="10272" spans="1:10" x14ac:dyDescent="0.3">
      <c r="A10272" s="45">
        <v>45559</v>
      </c>
      <c r="B10272" s="565"/>
      <c r="C10272" s="480"/>
      <c r="D10272" s="491" t="s">
        <v>4106</v>
      </c>
      <c r="E10272" s="480"/>
      <c r="F10272" s="43">
        <v>200000</v>
      </c>
      <c r="G10272" s="48">
        <f t="shared" si="259"/>
        <v>224551.08546533174</v>
      </c>
      <c r="H10272" s="389" t="s">
        <v>9567</v>
      </c>
    </row>
    <row r="10273" spans="1:14" x14ac:dyDescent="0.3">
      <c r="A10273" s="45">
        <v>45559</v>
      </c>
      <c r="B10273" s="396" t="s">
        <v>12133</v>
      </c>
      <c r="C10273" s="5" t="s">
        <v>7158</v>
      </c>
      <c r="D10273" s="5" t="s">
        <v>14521</v>
      </c>
      <c r="E10273" s="43">
        <v>2000</v>
      </c>
      <c r="F10273" s="43"/>
      <c r="G10273" s="48">
        <f t="shared" si="259"/>
        <v>222551.08546533174</v>
      </c>
      <c r="H10273" s="389" t="s">
        <v>9567</v>
      </c>
      <c r="J10273" s="52">
        <v>163190</v>
      </c>
    </row>
    <row r="10274" spans="1:14" x14ac:dyDescent="0.3">
      <c r="A10274" s="45">
        <v>45559</v>
      </c>
      <c r="B10274" s="396" t="s">
        <v>13902</v>
      </c>
      <c r="C10274" s="5" t="s">
        <v>11174</v>
      </c>
      <c r="D10274" s="5" t="s">
        <v>14522</v>
      </c>
      <c r="E10274" s="43">
        <v>1450</v>
      </c>
      <c r="F10274" s="43"/>
      <c r="G10274" s="48">
        <f t="shared" si="259"/>
        <v>221101.08546533174</v>
      </c>
      <c r="H10274" s="389" t="s">
        <v>9567</v>
      </c>
      <c r="J10274" s="52">
        <v>4500</v>
      </c>
    </row>
    <row r="10275" spans="1:14" x14ac:dyDescent="0.3">
      <c r="A10275" s="45">
        <v>45559</v>
      </c>
      <c r="B10275" s="396" t="s">
        <v>13902</v>
      </c>
      <c r="C10275" s="5" t="s">
        <v>30</v>
      </c>
      <c r="D10275" s="5" t="s">
        <v>14216</v>
      </c>
      <c r="E10275" s="43">
        <v>1500</v>
      </c>
      <c r="F10275" s="43"/>
      <c r="G10275" s="48">
        <f t="shared" si="259"/>
        <v>219601.08546533174</v>
      </c>
      <c r="H10275" s="389" t="s">
        <v>9567</v>
      </c>
      <c r="J10275" s="52">
        <v>11700</v>
      </c>
    </row>
    <row r="10276" spans="1:14" x14ac:dyDescent="0.3">
      <c r="A10276" s="45">
        <v>45559</v>
      </c>
      <c r="B10276" s="396" t="s">
        <v>12230</v>
      </c>
      <c r="C10276" s="5" t="s">
        <v>1074</v>
      </c>
      <c r="D10276" s="5" t="s">
        <v>14523</v>
      </c>
      <c r="E10276" s="43">
        <v>55825</v>
      </c>
      <c r="F10276" s="43"/>
      <c r="G10276" s="48">
        <f t="shared" si="259"/>
        <v>163776.08546533174</v>
      </c>
      <c r="H10276" s="389" t="s">
        <v>9567</v>
      </c>
      <c r="J10276" s="52">
        <v>7400</v>
      </c>
    </row>
    <row r="10277" spans="1:14" x14ac:dyDescent="0.3">
      <c r="A10277" s="45">
        <v>45559</v>
      </c>
      <c r="B10277" s="396" t="s">
        <v>25</v>
      </c>
      <c r="C10277" s="5" t="s">
        <v>1074</v>
      </c>
      <c r="D10277" s="5" t="s">
        <v>14523</v>
      </c>
      <c r="E10277" s="43">
        <v>82386</v>
      </c>
      <c r="F10277" s="43"/>
      <c r="G10277" s="48">
        <f t="shared" si="259"/>
        <v>81390.085465331736</v>
      </c>
      <c r="H10277" s="389" t="s">
        <v>9567</v>
      </c>
      <c r="J10277" s="52">
        <v>550</v>
      </c>
    </row>
    <row r="10278" spans="1:14" x14ac:dyDescent="0.3">
      <c r="A10278" s="45">
        <v>45559</v>
      </c>
      <c r="B10278" s="396" t="s">
        <v>14524</v>
      </c>
      <c r="C10278" s="5" t="s">
        <v>11174</v>
      </c>
      <c r="D10278" s="5" t="s">
        <v>14525</v>
      </c>
      <c r="E10278" s="43">
        <v>300</v>
      </c>
      <c r="F10278" s="43"/>
      <c r="G10278" s="48">
        <f t="shared" si="259"/>
        <v>81090.085465331736</v>
      </c>
      <c r="H10278" s="389" t="s">
        <v>9567</v>
      </c>
      <c r="J10278" s="52">
        <v>850</v>
      </c>
    </row>
    <row r="10279" spans="1:14" x14ac:dyDescent="0.3">
      <c r="A10279" s="45">
        <v>45559</v>
      </c>
      <c r="B10279" s="396" t="s">
        <v>12133</v>
      </c>
      <c r="C10279" s="5" t="s">
        <v>30</v>
      </c>
      <c r="D10279" s="5" t="s">
        <v>14526</v>
      </c>
      <c r="E10279" s="43">
        <v>250</v>
      </c>
      <c r="F10279" s="43"/>
      <c r="G10279" s="48">
        <f t="shared" si="259"/>
        <v>80840.085465331736</v>
      </c>
      <c r="H10279" s="389" t="s">
        <v>9567</v>
      </c>
      <c r="J10279" s="52">
        <v>550</v>
      </c>
    </row>
    <row r="10280" spans="1:14" x14ac:dyDescent="0.3">
      <c r="A10280" s="45">
        <v>45559</v>
      </c>
      <c r="B10280" s="396" t="s">
        <v>13379</v>
      </c>
      <c r="C10280" s="5" t="s">
        <v>26</v>
      </c>
      <c r="D10280" s="5" t="s">
        <v>14530</v>
      </c>
      <c r="E10280" s="43">
        <v>1000</v>
      </c>
      <c r="F10280" s="43"/>
      <c r="G10280" s="48">
        <f t="shared" si="259"/>
        <v>79840.085465331736</v>
      </c>
      <c r="H10280" s="389" t="s">
        <v>9567</v>
      </c>
      <c r="J10280" s="52">
        <v>1000</v>
      </c>
    </row>
    <row r="10281" spans="1:14" x14ac:dyDescent="0.3">
      <c r="A10281" s="45">
        <v>45559</v>
      </c>
      <c r="B10281" s="396" t="s">
        <v>13902</v>
      </c>
      <c r="C10281" s="5" t="s">
        <v>14529</v>
      </c>
      <c r="D10281" s="5" t="s">
        <v>14531</v>
      </c>
      <c r="E10281" s="43">
        <v>11200</v>
      </c>
      <c r="F10281" s="43"/>
      <c r="G10281" s="48">
        <f t="shared" si="259"/>
        <v>68640.085465331736</v>
      </c>
      <c r="H10281" s="389" t="s">
        <v>9567</v>
      </c>
      <c r="J10281" s="52">
        <v>10000</v>
      </c>
    </row>
    <row r="10282" spans="1:14" x14ac:dyDescent="0.3">
      <c r="A10282" s="45">
        <v>45560</v>
      </c>
      <c r="B10282" s="396" t="s">
        <v>14524</v>
      </c>
      <c r="C10282" s="5" t="s">
        <v>5793</v>
      </c>
      <c r="D10282" s="5" t="s">
        <v>14536</v>
      </c>
      <c r="E10282" s="43">
        <v>500</v>
      </c>
      <c r="F10282" s="43"/>
      <c r="G10282" s="48">
        <f t="shared" si="259"/>
        <v>68140.085465331736</v>
      </c>
      <c r="H10282" s="389" t="s">
        <v>9567</v>
      </c>
    </row>
    <row r="10283" spans="1:14" x14ac:dyDescent="0.3">
      <c r="A10283" s="45">
        <v>45560</v>
      </c>
      <c r="B10283" s="396" t="s">
        <v>25</v>
      </c>
      <c r="C10283" s="5" t="s">
        <v>25</v>
      </c>
      <c r="D10283" s="5" t="s">
        <v>11434</v>
      </c>
      <c r="E10283" s="43">
        <v>4000</v>
      </c>
      <c r="F10283" s="43"/>
      <c r="G10283" s="48">
        <f t="shared" si="259"/>
        <v>64140.085465331736</v>
      </c>
      <c r="H10283" s="389" t="s">
        <v>9567</v>
      </c>
    </row>
    <row r="10284" spans="1:14" x14ac:dyDescent="0.3">
      <c r="A10284" s="45">
        <v>45560</v>
      </c>
      <c r="B10284" s="396" t="s">
        <v>10319</v>
      </c>
      <c r="C10284" s="5" t="s">
        <v>9794</v>
      </c>
      <c r="D10284" s="5" t="s">
        <v>14535</v>
      </c>
      <c r="E10284" s="43">
        <v>10000</v>
      </c>
      <c r="F10284" s="43"/>
      <c r="G10284" s="48">
        <f t="shared" si="259"/>
        <v>54140.085465331736</v>
      </c>
      <c r="H10284" s="389" t="s">
        <v>9567</v>
      </c>
    </row>
    <row r="10285" spans="1:14" x14ac:dyDescent="0.3">
      <c r="A10285" s="45">
        <v>45560</v>
      </c>
      <c r="B10285" s="396" t="s">
        <v>13902</v>
      </c>
      <c r="C10285" s="5" t="s">
        <v>5793</v>
      </c>
      <c r="D10285" s="5" t="s">
        <v>14537</v>
      </c>
      <c r="E10285" s="43">
        <v>200</v>
      </c>
      <c r="F10285" s="43"/>
      <c r="G10285" s="48">
        <f t="shared" si="259"/>
        <v>53940.085465331736</v>
      </c>
      <c r="H10285" s="389" t="s">
        <v>9567</v>
      </c>
    </row>
    <row r="10286" spans="1:14" s="387" customFormat="1" ht="37.5" x14ac:dyDescent="0.3">
      <c r="A10286" s="45">
        <v>45560</v>
      </c>
      <c r="B10286" s="320" t="s">
        <v>13188</v>
      </c>
      <c r="C10286" s="44" t="s">
        <v>11174</v>
      </c>
      <c r="D10286" s="124" t="s">
        <v>14538</v>
      </c>
      <c r="E10286" s="28">
        <v>4210</v>
      </c>
      <c r="F10286" s="28"/>
      <c r="G10286" s="48">
        <f t="shared" si="259"/>
        <v>49730.085465331736</v>
      </c>
      <c r="H10286" s="389" t="s">
        <v>9567</v>
      </c>
      <c r="I10286" s="155"/>
      <c r="J10286" s="155"/>
      <c r="K10286" s="155"/>
      <c r="N10286" s="155"/>
    </row>
    <row r="10287" spans="1:14" x14ac:dyDescent="0.3">
      <c r="A10287" s="45">
        <v>45560</v>
      </c>
      <c r="B10287" s="396" t="s">
        <v>13902</v>
      </c>
      <c r="C10287" s="5" t="s">
        <v>11174</v>
      </c>
      <c r="D10287" s="5" t="s">
        <v>14539</v>
      </c>
      <c r="E10287" s="43">
        <v>5320</v>
      </c>
      <c r="F10287" s="43"/>
      <c r="G10287" s="48">
        <f t="shared" si="259"/>
        <v>44410.085465331736</v>
      </c>
      <c r="H10287" s="389" t="s">
        <v>9567</v>
      </c>
    </row>
    <row r="10288" spans="1:14" x14ac:dyDescent="0.3">
      <c r="A10288" s="45">
        <v>45560</v>
      </c>
      <c r="B10288" s="396" t="s">
        <v>13981</v>
      </c>
      <c r="C10288" s="5" t="s">
        <v>4550</v>
      </c>
      <c r="D10288" s="5" t="s">
        <v>14540</v>
      </c>
      <c r="E10288" s="43">
        <v>40000</v>
      </c>
      <c r="F10288" s="43"/>
      <c r="G10288" s="48">
        <f t="shared" si="259"/>
        <v>4410.0854653317365</v>
      </c>
      <c r="H10288" s="389" t="s">
        <v>9567</v>
      </c>
    </row>
    <row r="10289" spans="1:11" x14ac:dyDescent="0.3">
      <c r="A10289" s="45">
        <v>45560</v>
      </c>
      <c r="B10289" s="396" t="s">
        <v>14248</v>
      </c>
      <c r="C10289" s="5" t="s">
        <v>5793</v>
      </c>
      <c r="D10289" s="5" t="s">
        <v>14541</v>
      </c>
      <c r="E10289" s="43">
        <v>2400</v>
      </c>
      <c r="F10289" s="43"/>
      <c r="G10289" s="48">
        <f t="shared" si="259"/>
        <v>2010.0854653317365</v>
      </c>
      <c r="H10289" s="389" t="s">
        <v>9567</v>
      </c>
    </row>
    <row r="10290" spans="1:11" x14ac:dyDescent="0.3">
      <c r="A10290" s="45">
        <v>45561</v>
      </c>
      <c r="B10290" s="565"/>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14441</v>
      </c>
      <c r="C10291" s="5" t="s">
        <v>13425</v>
      </c>
      <c r="D10291" s="5" t="s">
        <v>14543</v>
      </c>
      <c r="E10291" s="43">
        <v>10000</v>
      </c>
      <c r="F10291" s="43"/>
      <c r="G10291" s="48">
        <f t="shared" si="260"/>
        <v>192010.08546533174</v>
      </c>
      <c r="H10291" s="389" t="s">
        <v>9567</v>
      </c>
    </row>
    <row r="10292" spans="1:11" x14ac:dyDescent="0.3">
      <c r="A10292" s="45">
        <v>45561</v>
      </c>
      <c r="B10292" s="396" t="s">
        <v>14441</v>
      </c>
      <c r="C10292" s="5" t="s">
        <v>5793</v>
      </c>
      <c r="D10292" s="5" t="s">
        <v>14542</v>
      </c>
      <c r="E10292" s="43">
        <v>3200</v>
      </c>
      <c r="F10292" s="43"/>
      <c r="G10292" s="48">
        <f t="shared" si="259"/>
        <v>188810.08546533174</v>
      </c>
      <c r="H10292" s="389" t="s">
        <v>9567</v>
      </c>
    </row>
    <row r="10293" spans="1:11" x14ac:dyDescent="0.3">
      <c r="A10293" s="45">
        <v>45561</v>
      </c>
      <c r="B10293" s="396" t="s">
        <v>14441</v>
      </c>
      <c r="C10293" s="5" t="s">
        <v>13425</v>
      </c>
      <c r="D10293" s="5" t="s">
        <v>14544</v>
      </c>
      <c r="E10293" s="43">
        <v>2480</v>
      </c>
      <c r="F10293" s="43"/>
      <c r="G10293" s="48">
        <f t="shared" si="259"/>
        <v>186330.08546533174</v>
      </c>
      <c r="H10293" s="389" t="s">
        <v>9567</v>
      </c>
      <c r="J10293" s="52">
        <v>3000</v>
      </c>
    </row>
    <row r="10294" spans="1:11" x14ac:dyDescent="0.3">
      <c r="A10294" s="45">
        <v>45561</v>
      </c>
      <c r="B10294" s="396" t="s">
        <v>12133</v>
      </c>
      <c r="C10294" s="5" t="s">
        <v>84</v>
      </c>
      <c r="D10294" s="5" t="s">
        <v>14545</v>
      </c>
      <c r="E10294" s="43">
        <v>5000</v>
      </c>
      <c r="F10294" s="43"/>
      <c r="G10294" s="48">
        <f t="shared" si="259"/>
        <v>181330.08546533174</v>
      </c>
      <c r="H10294" s="389" t="s">
        <v>9567</v>
      </c>
      <c r="J10294" s="52">
        <f>J10293*12%</f>
        <v>360</v>
      </c>
    </row>
    <row r="10295" spans="1:11" x14ac:dyDescent="0.3">
      <c r="A10295" s="45">
        <v>45561</v>
      </c>
      <c r="B10295" s="396" t="s">
        <v>12611</v>
      </c>
      <c r="C10295" s="5" t="s">
        <v>11174</v>
      </c>
      <c r="D10295" s="5" t="s">
        <v>14546</v>
      </c>
      <c r="E10295" s="43">
        <v>2700</v>
      </c>
      <c r="F10295" s="43"/>
      <c r="G10295" s="48">
        <f t="shared" si="259"/>
        <v>178630.08546533174</v>
      </c>
      <c r="H10295" s="389" t="s">
        <v>9567</v>
      </c>
    </row>
    <row r="10296" spans="1:11" x14ac:dyDescent="0.3">
      <c r="A10296" s="45">
        <v>45561</v>
      </c>
      <c r="B10296" s="396" t="s">
        <v>13188</v>
      </c>
      <c r="C10296" s="5" t="s">
        <v>11174</v>
      </c>
      <c r="D10296" s="5" t="s">
        <v>14551</v>
      </c>
      <c r="E10296" s="43">
        <v>2640</v>
      </c>
      <c r="F10296" s="43"/>
      <c r="G10296" s="48">
        <f t="shared" si="259"/>
        <v>175990.08546533174</v>
      </c>
      <c r="H10296" s="389" t="s">
        <v>9567</v>
      </c>
    </row>
    <row r="10297" spans="1:11" x14ac:dyDescent="0.3">
      <c r="A10297" s="45">
        <v>45561</v>
      </c>
      <c r="B10297" s="396" t="s">
        <v>13188</v>
      </c>
      <c r="C10297" s="5" t="s">
        <v>30</v>
      </c>
      <c r="D10297" s="5" t="s">
        <v>14547</v>
      </c>
      <c r="E10297" s="43">
        <v>2000</v>
      </c>
      <c r="F10297" s="43"/>
      <c r="G10297" s="48">
        <f t="shared" si="259"/>
        <v>173990.08546533174</v>
      </c>
      <c r="H10297" s="389" t="s">
        <v>9567</v>
      </c>
    </row>
    <row r="10298" spans="1:11" x14ac:dyDescent="0.3">
      <c r="A10298" s="45">
        <v>45561</v>
      </c>
      <c r="B10298" s="396" t="s">
        <v>25</v>
      </c>
      <c r="C10298" s="5" t="s">
        <v>25</v>
      </c>
      <c r="D10298" s="5" t="s">
        <v>11434</v>
      </c>
      <c r="E10298" s="43">
        <v>4000</v>
      </c>
      <c r="F10298" s="43"/>
      <c r="G10298" s="48">
        <f t="shared" si="259"/>
        <v>169990.08546533174</v>
      </c>
      <c r="H10298" s="389" t="s">
        <v>9567</v>
      </c>
      <c r="J10298" s="52">
        <v>2640</v>
      </c>
      <c r="K10298" s="52">
        <v>6000</v>
      </c>
    </row>
    <row r="10299" spans="1:11" x14ac:dyDescent="0.3">
      <c r="A10299" s="45">
        <v>45561</v>
      </c>
      <c r="B10299" s="396" t="s">
        <v>12133</v>
      </c>
      <c r="C10299" s="5" t="s">
        <v>5162</v>
      </c>
      <c r="D10299" s="5" t="s">
        <v>14548</v>
      </c>
      <c r="E10299" s="43">
        <v>5000</v>
      </c>
      <c r="F10299" s="43"/>
      <c r="G10299" s="48">
        <f t="shared" si="259"/>
        <v>164990.08546533174</v>
      </c>
      <c r="H10299" s="389" t="s">
        <v>9567</v>
      </c>
      <c r="J10299" s="52">
        <v>2700</v>
      </c>
      <c r="K10299" s="52">
        <v>5000</v>
      </c>
    </row>
    <row r="10300" spans="1:11" x14ac:dyDescent="0.3">
      <c r="A10300" s="45">
        <v>45561</v>
      </c>
      <c r="B10300" s="396" t="s">
        <v>13981</v>
      </c>
      <c r="C10300" s="5" t="s">
        <v>11174</v>
      </c>
      <c r="D10300" s="5" t="s">
        <v>14549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14550</v>
      </c>
      <c r="E10301" s="43">
        <v>12000</v>
      </c>
      <c r="F10301" s="43"/>
      <c r="G10301" s="48">
        <f t="shared" si="259"/>
        <v>148590.08546533174</v>
      </c>
      <c r="H10301" s="389" t="s">
        <v>9567</v>
      </c>
      <c r="J10301" s="52">
        <v>350</v>
      </c>
      <c r="K10301" s="52">
        <f>SUM(K10298:K10300)</f>
        <v>14000</v>
      </c>
    </row>
    <row r="10302" spans="1:11" x14ac:dyDescent="0.3">
      <c r="A10302" s="45">
        <v>45561</v>
      </c>
      <c r="B10302" s="396" t="s">
        <v>13981</v>
      </c>
      <c r="C10302" s="5" t="s">
        <v>5793</v>
      </c>
      <c r="D10302" s="5" t="s">
        <v>14553</v>
      </c>
      <c r="E10302" s="43">
        <v>1400</v>
      </c>
      <c r="F10302" s="43"/>
      <c r="G10302" s="48">
        <f t="shared" si="259"/>
        <v>147190.08546533174</v>
      </c>
      <c r="H10302" s="389" t="s">
        <v>9567</v>
      </c>
      <c r="J10302" s="52">
        <v>240</v>
      </c>
      <c r="K10302" s="52">
        <f>K10301-J10303</f>
        <v>4450</v>
      </c>
    </row>
    <row r="10303" spans="1:11" x14ac:dyDescent="0.3">
      <c r="A10303" s="45">
        <v>45561</v>
      </c>
      <c r="B10303" s="396" t="s">
        <v>14506</v>
      </c>
      <c r="C10303" s="5" t="s">
        <v>5288</v>
      </c>
      <c r="D10303" s="5" t="s">
        <v>14554</v>
      </c>
      <c r="E10303" s="43">
        <v>15000</v>
      </c>
      <c r="F10303" s="43"/>
      <c r="G10303" s="48">
        <f t="shared" si="259"/>
        <v>132190.08546533174</v>
      </c>
      <c r="H10303" s="389" t="s">
        <v>9567</v>
      </c>
      <c r="J10303" s="52">
        <f>SUM(J10298:J10302)</f>
        <v>9550</v>
      </c>
    </row>
    <row r="10304" spans="1:11" x14ac:dyDescent="0.3">
      <c r="A10304" s="45">
        <v>45561</v>
      </c>
      <c r="B10304" s="396" t="s">
        <v>12230</v>
      </c>
      <c r="C10304" s="5" t="s">
        <v>14555</v>
      </c>
      <c r="D10304" s="5" t="s">
        <v>3195</v>
      </c>
      <c r="E10304" s="43">
        <v>4000</v>
      </c>
      <c r="F10304" s="43"/>
      <c r="G10304" s="48">
        <f t="shared" si="259"/>
        <v>128190.08546533174</v>
      </c>
      <c r="H10304" s="389" t="s">
        <v>9567</v>
      </c>
    </row>
    <row r="10305" spans="1:8" x14ac:dyDescent="0.3">
      <c r="A10305" s="45">
        <v>45562</v>
      </c>
      <c r="B10305" s="396" t="s">
        <v>25</v>
      </c>
      <c r="C10305" s="5" t="s">
        <v>4400</v>
      </c>
      <c r="D10305" s="5" t="s">
        <v>14556</v>
      </c>
      <c r="E10305" s="43">
        <v>5330</v>
      </c>
      <c r="F10305" s="43"/>
      <c r="G10305" s="48">
        <f t="shared" si="259"/>
        <v>122860.08546533174</v>
      </c>
      <c r="H10305" s="389" t="s">
        <v>9567</v>
      </c>
    </row>
    <row r="10306" spans="1:8" x14ac:dyDescent="0.3">
      <c r="A10306" s="45">
        <v>45562</v>
      </c>
      <c r="B10306" s="396" t="s">
        <v>14506</v>
      </c>
      <c r="C10306" s="5" t="s">
        <v>11174</v>
      </c>
      <c r="D10306" s="5" t="s">
        <v>14557</v>
      </c>
      <c r="E10306" s="43">
        <v>1000</v>
      </c>
      <c r="F10306" s="43"/>
      <c r="G10306" s="48">
        <f t="shared" si="259"/>
        <v>121860.08546533174</v>
      </c>
      <c r="H10306" s="389" t="s">
        <v>9567</v>
      </c>
    </row>
    <row r="10307" spans="1:8" x14ac:dyDescent="0.3">
      <c r="A10307" s="45">
        <v>45562</v>
      </c>
      <c r="B10307" s="396" t="s">
        <v>12611</v>
      </c>
      <c r="C10307" s="5" t="s">
        <v>84</v>
      </c>
      <c r="D10307" s="5" t="s">
        <v>14558</v>
      </c>
      <c r="E10307" s="43">
        <v>10000</v>
      </c>
      <c r="F10307" s="43"/>
      <c r="G10307" s="48">
        <f t="shared" si="259"/>
        <v>111860.08546533174</v>
      </c>
      <c r="H10307" s="389" t="s">
        <v>9567</v>
      </c>
    </row>
    <row r="10308" spans="1:8" x14ac:dyDescent="0.3">
      <c r="A10308" s="45">
        <v>45562</v>
      </c>
      <c r="B10308" s="396" t="s">
        <v>13379</v>
      </c>
      <c r="C10308" s="5" t="s">
        <v>84</v>
      </c>
      <c r="D10308" s="5" t="s">
        <v>14559</v>
      </c>
      <c r="E10308" s="43">
        <v>5000</v>
      </c>
      <c r="F10308" s="43"/>
      <c r="G10308" s="48">
        <f t="shared" si="259"/>
        <v>106860.08546533174</v>
      </c>
      <c r="H10308" s="389" t="s">
        <v>9567</v>
      </c>
    </row>
    <row r="10309" spans="1:8" x14ac:dyDescent="0.3">
      <c r="A10309" s="45">
        <v>45562</v>
      </c>
      <c r="B10309" s="396" t="s">
        <v>25</v>
      </c>
      <c r="C10309" s="5" t="s">
        <v>25</v>
      </c>
      <c r="D10309" s="5" t="s">
        <v>11434</v>
      </c>
      <c r="E10309" s="43">
        <v>4000</v>
      </c>
      <c r="F10309" s="43"/>
      <c r="G10309" s="48">
        <f t="shared" si="259"/>
        <v>102860.08546533174</v>
      </c>
      <c r="H10309" s="389" t="s">
        <v>9567</v>
      </c>
    </row>
    <row r="10310" spans="1:8" x14ac:dyDescent="0.3">
      <c r="A10310" s="45">
        <v>45562</v>
      </c>
      <c r="B10310" s="396" t="s">
        <v>13981</v>
      </c>
      <c r="C10310" s="5" t="s">
        <v>11174</v>
      </c>
      <c r="D10310" s="5" t="s">
        <v>14560</v>
      </c>
      <c r="E10310" s="43">
        <v>2250</v>
      </c>
      <c r="F10310" s="43"/>
      <c r="G10310" s="48">
        <f t="shared" si="259"/>
        <v>100610.08546533174</v>
      </c>
      <c r="H10310" s="389" t="s">
        <v>9567</v>
      </c>
    </row>
    <row r="10311" spans="1:8" x14ac:dyDescent="0.3">
      <c r="A10311" s="45">
        <v>45562</v>
      </c>
      <c r="B10311" s="396" t="s">
        <v>13981</v>
      </c>
      <c r="C10311" s="5" t="s">
        <v>30</v>
      </c>
      <c r="D10311" s="5" t="s">
        <v>14126</v>
      </c>
      <c r="E10311" s="43">
        <v>1200</v>
      </c>
      <c r="F10311" s="43"/>
      <c r="G10311" s="48">
        <f t="shared" si="259"/>
        <v>99410.085465331736</v>
      </c>
      <c r="H10311" s="389" t="s">
        <v>9567</v>
      </c>
    </row>
    <row r="10312" spans="1:8" x14ac:dyDescent="0.3">
      <c r="A10312" s="45">
        <v>45562</v>
      </c>
      <c r="B10312" s="396" t="s">
        <v>12611</v>
      </c>
      <c r="C10312" s="5" t="s">
        <v>5793</v>
      </c>
      <c r="D10312" s="5" t="s">
        <v>40</v>
      </c>
      <c r="E10312" s="43">
        <v>1800</v>
      </c>
      <c r="F10312" s="43"/>
      <c r="G10312" s="48">
        <f t="shared" si="259"/>
        <v>97610.085465331736</v>
      </c>
      <c r="H10312" s="389" t="s">
        <v>9567</v>
      </c>
    </row>
    <row r="10313" spans="1:8" x14ac:dyDescent="0.3">
      <c r="A10313" s="45">
        <v>45562</v>
      </c>
      <c r="B10313" s="396" t="s">
        <v>13321</v>
      </c>
      <c r="C10313" s="5" t="s">
        <v>11174</v>
      </c>
      <c r="D10313" s="5" t="s">
        <v>14561</v>
      </c>
      <c r="E10313" s="43">
        <v>3200</v>
      </c>
      <c r="F10313" s="43"/>
      <c r="G10313" s="48">
        <f t="shared" si="259"/>
        <v>94410.085465331736</v>
      </c>
      <c r="H10313" s="389" t="s">
        <v>9567</v>
      </c>
    </row>
    <row r="10314" spans="1:8" x14ac:dyDescent="0.3">
      <c r="A10314" s="45">
        <v>45562</v>
      </c>
      <c r="B10314" s="396" t="s">
        <v>14248</v>
      </c>
      <c r="C10314" s="5" t="s">
        <v>11174</v>
      </c>
      <c r="D10314" s="5" t="s">
        <v>14562</v>
      </c>
      <c r="E10314" s="43">
        <v>4900</v>
      </c>
      <c r="F10314" s="43"/>
      <c r="G10314" s="48">
        <f t="shared" si="259"/>
        <v>89510.085465331736</v>
      </c>
      <c r="H10314" s="389" t="s">
        <v>9567</v>
      </c>
    </row>
    <row r="10315" spans="1:8" x14ac:dyDescent="0.3">
      <c r="A10315" s="45">
        <v>45562</v>
      </c>
      <c r="B10315" s="396" t="s">
        <v>14248</v>
      </c>
      <c r="C10315" s="5" t="s">
        <v>5793</v>
      </c>
      <c r="D10315" s="5" t="s">
        <v>14563</v>
      </c>
      <c r="E10315" s="43">
        <v>1000</v>
      </c>
      <c r="F10315" s="43"/>
      <c r="G10315" s="48">
        <f t="shared" si="259"/>
        <v>88510.085465331736</v>
      </c>
      <c r="H10315" s="389" t="s">
        <v>9567</v>
      </c>
    </row>
    <row r="10316" spans="1:8" x14ac:dyDescent="0.3">
      <c r="A10316" s="45">
        <v>45562</v>
      </c>
      <c r="B10316" s="396" t="s">
        <v>14506</v>
      </c>
      <c r="C10316" s="5" t="s">
        <v>5793</v>
      </c>
      <c r="D10316" s="5" t="s">
        <v>14563</v>
      </c>
      <c r="E10316" s="43">
        <v>1500</v>
      </c>
      <c r="F10316" s="43"/>
      <c r="G10316" s="48">
        <f t="shared" ref="G10316:G10379" si="261">G10315+F10316-E10316</f>
        <v>87010.085465331736</v>
      </c>
      <c r="H10316" s="389" t="s">
        <v>9567</v>
      </c>
    </row>
    <row r="10317" spans="1:8" x14ac:dyDescent="0.3">
      <c r="A10317" s="45">
        <v>45563</v>
      </c>
      <c r="B10317" s="396" t="s">
        <v>11674</v>
      </c>
      <c r="C10317" s="5" t="s">
        <v>5518</v>
      </c>
      <c r="D10317" s="5" t="s">
        <v>294</v>
      </c>
      <c r="E10317" s="43">
        <v>5000</v>
      </c>
      <c r="F10317" s="43"/>
      <c r="G10317" s="48">
        <f t="shared" si="261"/>
        <v>82010.085465331736</v>
      </c>
      <c r="H10317" s="389" t="s">
        <v>9567</v>
      </c>
    </row>
    <row r="10318" spans="1:8" x14ac:dyDescent="0.3">
      <c r="A10318" s="45">
        <v>45563</v>
      </c>
      <c r="B10318" s="396" t="s">
        <v>13321</v>
      </c>
      <c r="C10318" s="5" t="s">
        <v>7040</v>
      </c>
      <c r="D10318" s="5" t="s">
        <v>10189</v>
      </c>
      <c r="E10318" s="43">
        <v>5000</v>
      </c>
      <c r="F10318" s="43"/>
      <c r="G10318" s="48">
        <f t="shared" si="261"/>
        <v>77010.085465331736</v>
      </c>
      <c r="H10318" s="389" t="s">
        <v>9567</v>
      </c>
    </row>
    <row r="10319" spans="1:8" x14ac:dyDescent="0.3">
      <c r="A10319" s="45">
        <v>45563</v>
      </c>
      <c r="B10319" s="396" t="s">
        <v>13188</v>
      </c>
      <c r="C10319" s="5" t="s">
        <v>11174</v>
      </c>
      <c r="D10319" s="5" t="s">
        <v>14566</v>
      </c>
      <c r="E10319" s="43">
        <v>2500</v>
      </c>
      <c r="F10319" s="43"/>
      <c r="G10319" s="48">
        <f t="shared" si="261"/>
        <v>74510.085465331736</v>
      </c>
      <c r="H10319" s="389" t="s">
        <v>9567</v>
      </c>
    </row>
    <row r="10320" spans="1:8" x14ac:dyDescent="0.3">
      <c r="A10320" s="45">
        <v>45563</v>
      </c>
      <c r="B10320" s="396" t="s">
        <v>13709</v>
      </c>
      <c r="C10320" s="5" t="s">
        <v>5793</v>
      </c>
      <c r="D10320" s="5" t="s">
        <v>14564</v>
      </c>
      <c r="E10320" s="43">
        <v>2000</v>
      </c>
      <c r="F10320" s="43"/>
      <c r="G10320" s="48">
        <f t="shared" si="261"/>
        <v>72510.085465331736</v>
      </c>
      <c r="H10320" s="389" t="s">
        <v>9567</v>
      </c>
    </row>
    <row r="10321" spans="1:8" x14ac:dyDescent="0.3">
      <c r="A10321" s="45">
        <v>45563</v>
      </c>
      <c r="B10321" s="396" t="s">
        <v>13902</v>
      </c>
      <c r="C10321" s="5" t="s">
        <v>5793</v>
      </c>
      <c r="D10321" s="5" t="s">
        <v>14564</v>
      </c>
      <c r="E10321" s="43">
        <v>2700</v>
      </c>
      <c r="F10321" s="43"/>
      <c r="G10321" s="48">
        <f t="shared" si="261"/>
        <v>69810.085465331736</v>
      </c>
      <c r="H10321" s="389" t="s">
        <v>9567</v>
      </c>
    </row>
    <row r="10322" spans="1:8" x14ac:dyDescent="0.3">
      <c r="A10322" s="45">
        <v>45563</v>
      </c>
      <c r="B10322" s="396" t="s">
        <v>13188</v>
      </c>
      <c r="C10322" s="5" t="s">
        <v>11174</v>
      </c>
      <c r="D10322" s="5" t="s">
        <v>14565</v>
      </c>
      <c r="E10322" s="43">
        <v>1200</v>
      </c>
      <c r="F10322" s="43"/>
      <c r="G10322" s="48">
        <f t="shared" si="261"/>
        <v>68610.085465331736</v>
      </c>
      <c r="H10322" s="389" t="s">
        <v>9567</v>
      </c>
    </row>
    <row r="10323" spans="1:8" x14ac:dyDescent="0.3">
      <c r="A10323" s="45">
        <v>45563</v>
      </c>
      <c r="B10323" s="396" t="s">
        <v>14441</v>
      </c>
      <c r="C10323" s="5" t="s">
        <v>4122</v>
      </c>
      <c r="D10323" s="5" t="s">
        <v>14458</v>
      </c>
      <c r="E10323" s="43">
        <v>5000</v>
      </c>
      <c r="F10323" s="43"/>
      <c r="G10323" s="48">
        <f t="shared" si="261"/>
        <v>63610.085465331736</v>
      </c>
      <c r="H10323" s="389" t="s">
        <v>9567</v>
      </c>
    </row>
    <row r="10324" spans="1:8" x14ac:dyDescent="0.3">
      <c r="A10324" s="45">
        <v>45563</v>
      </c>
      <c r="B10324" s="396" t="s">
        <v>25</v>
      </c>
      <c r="C10324" s="5" t="s">
        <v>84</v>
      </c>
      <c r="D10324" s="5" t="s">
        <v>14567</v>
      </c>
      <c r="E10324" s="43">
        <v>10000</v>
      </c>
      <c r="F10324" s="43"/>
      <c r="G10324" s="48">
        <f t="shared" si="261"/>
        <v>53610.085465331736</v>
      </c>
      <c r="H10324" s="389" t="s">
        <v>9567</v>
      </c>
    </row>
    <row r="10325" spans="1:8" x14ac:dyDescent="0.3">
      <c r="A10325" s="45">
        <v>45565</v>
      </c>
      <c r="B10325" s="396" t="s">
        <v>13379</v>
      </c>
      <c r="C10325" s="5" t="s">
        <v>11174</v>
      </c>
      <c r="D10325" s="5" t="s">
        <v>14568</v>
      </c>
      <c r="E10325" s="43">
        <v>5720</v>
      </c>
      <c r="F10325" s="43"/>
      <c r="G10325" s="48">
        <f t="shared" si="261"/>
        <v>47890.085465331736</v>
      </c>
      <c r="H10325" s="389" t="s">
        <v>9567</v>
      </c>
    </row>
    <row r="10326" spans="1:8" x14ac:dyDescent="0.3">
      <c r="A10326" s="45">
        <v>45565</v>
      </c>
      <c r="B10326" s="396" t="s">
        <v>13379</v>
      </c>
      <c r="C10326" s="5" t="s">
        <v>11174</v>
      </c>
      <c r="D10326" s="5" t="s">
        <v>14569</v>
      </c>
      <c r="E10326" s="43">
        <v>9000</v>
      </c>
      <c r="F10326" s="43"/>
      <c r="G10326" s="48">
        <f t="shared" si="261"/>
        <v>38890.085465331736</v>
      </c>
      <c r="H10326" s="389" t="s">
        <v>9567</v>
      </c>
    </row>
    <row r="10327" spans="1:8" x14ac:dyDescent="0.3">
      <c r="A10327" s="45">
        <v>45565</v>
      </c>
      <c r="B10327" s="396" t="s">
        <v>13188</v>
      </c>
      <c r="C10327" s="5" t="s">
        <v>30</v>
      </c>
      <c r="D10327" s="5" t="s">
        <v>14386</v>
      </c>
      <c r="E10327" s="43">
        <v>2000</v>
      </c>
      <c r="F10327" s="43"/>
      <c r="G10327" s="48">
        <f t="shared" si="261"/>
        <v>36890.085465331736</v>
      </c>
      <c r="H10327" s="389" t="s">
        <v>9567</v>
      </c>
    </row>
    <row r="10328" spans="1:8" x14ac:dyDescent="0.3">
      <c r="A10328" s="45">
        <v>45565</v>
      </c>
      <c r="B10328" s="394" t="s">
        <v>25</v>
      </c>
      <c r="C10328" s="186" t="s">
        <v>54</v>
      </c>
      <c r="D10328" s="186" t="s">
        <v>14570</v>
      </c>
      <c r="E10328" s="187">
        <v>6000</v>
      </c>
      <c r="F10328" s="43"/>
      <c r="G10328" s="48">
        <f t="shared" si="261"/>
        <v>30890.085465331736</v>
      </c>
      <c r="H10328" s="389" t="s">
        <v>9567</v>
      </c>
    </row>
    <row r="10329" spans="1:8" x14ac:dyDescent="0.3">
      <c r="A10329" s="45">
        <v>45565</v>
      </c>
      <c r="B10329" s="396" t="s">
        <v>13902</v>
      </c>
      <c r="C10329" s="5" t="s">
        <v>5793</v>
      </c>
      <c r="D10329" s="5" t="s">
        <v>14571</v>
      </c>
      <c r="E10329" s="43">
        <v>500</v>
      </c>
      <c r="F10329" s="43"/>
      <c r="G10329" s="48">
        <f t="shared" si="261"/>
        <v>30390.085465331736</v>
      </c>
      <c r="H10329" s="389" t="s">
        <v>9567</v>
      </c>
    </row>
    <row r="10330" spans="1:8" x14ac:dyDescent="0.3">
      <c r="A10330" s="45">
        <v>45565</v>
      </c>
      <c r="B10330" s="396" t="s">
        <v>13321</v>
      </c>
      <c r="C10330" s="5" t="s">
        <v>57</v>
      </c>
      <c r="D10330" s="5" t="s">
        <v>14572</v>
      </c>
      <c r="E10330" s="43">
        <v>3000</v>
      </c>
      <c r="F10330" s="43"/>
      <c r="G10330" s="48">
        <f t="shared" si="261"/>
        <v>27390.085465331736</v>
      </c>
      <c r="H10330" s="389" t="s">
        <v>9567</v>
      </c>
    </row>
    <row r="10331" spans="1:8" x14ac:dyDescent="0.3">
      <c r="A10331" s="45">
        <v>45566</v>
      </c>
      <c r="B10331" s="396" t="s">
        <v>12133</v>
      </c>
      <c r="C10331" s="5" t="s">
        <v>11174</v>
      </c>
      <c r="D10331" s="5" t="s">
        <v>14574</v>
      </c>
      <c r="E10331" s="43">
        <v>700</v>
      </c>
      <c r="F10331" s="43"/>
      <c r="G10331" s="48">
        <f t="shared" si="261"/>
        <v>26690.085465331736</v>
      </c>
      <c r="H10331" s="389" t="s">
        <v>9567</v>
      </c>
    </row>
    <row r="10332" spans="1:8" x14ac:dyDescent="0.3">
      <c r="A10332" s="45">
        <v>45566</v>
      </c>
      <c r="B10332" s="396" t="s">
        <v>25</v>
      </c>
      <c r="C10332" s="5" t="s">
        <v>25</v>
      </c>
      <c r="D10332" s="5" t="s">
        <v>11434</v>
      </c>
      <c r="E10332" s="43">
        <v>4500</v>
      </c>
      <c r="F10332" s="43"/>
      <c r="G10332" s="48">
        <f t="shared" si="261"/>
        <v>22190.085465331736</v>
      </c>
      <c r="H10332" s="389" t="s">
        <v>9567</v>
      </c>
    </row>
    <row r="10333" spans="1:8" x14ac:dyDescent="0.3">
      <c r="A10333" s="45">
        <v>45566</v>
      </c>
      <c r="B10333" s="396" t="s">
        <v>13188</v>
      </c>
      <c r="C10333" s="5" t="s">
        <v>5793</v>
      </c>
      <c r="D10333" s="5" t="s">
        <v>14563</v>
      </c>
      <c r="E10333" s="43">
        <v>1000</v>
      </c>
      <c r="F10333" s="43"/>
      <c r="G10333" s="48">
        <f t="shared" si="261"/>
        <v>21190.085465331736</v>
      </c>
      <c r="H10333" s="389" t="s">
        <v>9567</v>
      </c>
    </row>
    <row r="10334" spans="1:8" x14ac:dyDescent="0.3">
      <c r="A10334" s="45">
        <v>45566</v>
      </c>
      <c r="B10334" s="396" t="s">
        <v>25</v>
      </c>
      <c r="C10334" s="5" t="s">
        <v>84</v>
      </c>
      <c r="D10334" s="5" t="s">
        <v>14575</v>
      </c>
      <c r="E10334" s="43">
        <v>7000</v>
      </c>
      <c r="F10334" s="43"/>
      <c r="G10334" s="48">
        <f t="shared" si="261"/>
        <v>14190.085465331736</v>
      </c>
      <c r="H10334" s="389" t="s">
        <v>9567</v>
      </c>
    </row>
    <row r="10335" spans="1:8" x14ac:dyDescent="0.3">
      <c r="A10335" s="45">
        <v>45566</v>
      </c>
      <c r="B10335" s="396" t="s">
        <v>12133</v>
      </c>
      <c r="C10335" s="5" t="s">
        <v>5793</v>
      </c>
      <c r="D10335" s="5" t="s">
        <v>14576</v>
      </c>
      <c r="E10335" s="43">
        <v>1000</v>
      </c>
      <c r="F10335" s="43"/>
      <c r="G10335" s="48">
        <f t="shared" si="261"/>
        <v>13190.085465331736</v>
      </c>
      <c r="H10335" s="389" t="s">
        <v>9567</v>
      </c>
    </row>
    <row r="10336" spans="1:8" x14ac:dyDescent="0.3">
      <c r="A10336" s="45">
        <v>45566</v>
      </c>
      <c r="B10336" s="396" t="s">
        <v>13379</v>
      </c>
      <c r="C10336" s="5" t="s">
        <v>11174</v>
      </c>
      <c r="D10336" s="5" t="s">
        <v>14581</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5"/>
      <c r="C10338" s="480"/>
      <c r="D10338" s="491" t="s">
        <v>4106</v>
      </c>
      <c r="E10338" s="480"/>
      <c r="F10338" s="43">
        <v>200000</v>
      </c>
      <c r="G10338" s="48">
        <f t="shared" si="261"/>
        <v>210190.08546533174</v>
      </c>
      <c r="H10338" s="389" t="s">
        <v>9567</v>
      </c>
    </row>
    <row r="10339" spans="1:10" x14ac:dyDescent="0.3">
      <c r="A10339" s="45">
        <v>45566</v>
      </c>
      <c r="B10339" s="396" t="s">
        <v>13902</v>
      </c>
      <c r="C10339" s="5" t="s">
        <v>11174</v>
      </c>
      <c r="D10339" s="5" t="s">
        <v>14584</v>
      </c>
      <c r="E10339" s="43">
        <v>3200</v>
      </c>
      <c r="F10339" s="43"/>
      <c r="G10339" s="48">
        <f t="shared" si="261"/>
        <v>206990.08546533174</v>
      </c>
      <c r="H10339" s="389" t="s">
        <v>9567</v>
      </c>
    </row>
    <row r="10340" spans="1:10" x14ac:dyDescent="0.3">
      <c r="A10340" s="45">
        <v>45566</v>
      </c>
      <c r="B10340" s="396" t="s">
        <v>14506</v>
      </c>
      <c r="C10340" s="5" t="s">
        <v>11174</v>
      </c>
      <c r="D10340" s="5" t="s">
        <v>14585</v>
      </c>
      <c r="E10340" s="43">
        <v>24110</v>
      </c>
      <c r="F10340" s="43"/>
      <c r="G10340" s="48">
        <f t="shared" si="261"/>
        <v>182880.08546533174</v>
      </c>
      <c r="H10340" s="389" t="s">
        <v>9567</v>
      </c>
    </row>
    <row r="10341" spans="1:10" x14ac:dyDescent="0.3">
      <c r="A10341" s="45">
        <v>45566</v>
      </c>
      <c r="B10341" s="396" t="s">
        <v>25</v>
      </c>
      <c r="C10341" s="5" t="s">
        <v>14586</v>
      </c>
      <c r="D10341" s="5" t="s">
        <v>14587</v>
      </c>
      <c r="E10341" s="43">
        <v>2500</v>
      </c>
      <c r="F10341" s="43"/>
      <c r="G10341" s="48">
        <f t="shared" si="261"/>
        <v>180380.08546533174</v>
      </c>
      <c r="H10341" s="389" t="s">
        <v>9567</v>
      </c>
      <c r="J10341" s="52" t="s">
        <v>14577</v>
      </c>
    </row>
    <row r="10342" spans="1:10" x14ac:dyDescent="0.3">
      <c r="A10342" s="45">
        <v>45566</v>
      </c>
      <c r="B10342" s="396" t="s">
        <v>13902</v>
      </c>
      <c r="C10342" s="5" t="s">
        <v>26</v>
      </c>
      <c r="D10342" s="5" t="s">
        <v>14588</v>
      </c>
      <c r="E10342" s="43">
        <v>600</v>
      </c>
      <c r="F10342" s="43"/>
      <c r="G10342" s="48">
        <f t="shared" si="261"/>
        <v>179780.08546533174</v>
      </c>
      <c r="H10342" s="389" t="s">
        <v>9567</v>
      </c>
    </row>
    <row r="10343" spans="1:10" x14ac:dyDescent="0.3">
      <c r="A10343" s="45">
        <v>45566</v>
      </c>
      <c r="B10343" s="396" t="s">
        <v>14590</v>
      </c>
      <c r="C10343" s="5" t="s">
        <v>4550</v>
      </c>
      <c r="D10343" s="5" t="s">
        <v>14592</v>
      </c>
      <c r="E10343" s="43">
        <v>50000</v>
      </c>
      <c r="F10343" s="43"/>
      <c r="G10343" s="48">
        <f t="shared" si="261"/>
        <v>129780.08546533174</v>
      </c>
      <c r="H10343" s="389" t="s">
        <v>9567</v>
      </c>
    </row>
    <row r="10344" spans="1:10" x14ac:dyDescent="0.3">
      <c r="A10344" s="45">
        <v>45566</v>
      </c>
      <c r="B10344" s="396" t="s">
        <v>14524</v>
      </c>
      <c r="C10344" s="5" t="s">
        <v>11174</v>
      </c>
      <c r="D10344" s="5" t="s">
        <v>14618</v>
      </c>
      <c r="E10344" s="43">
        <v>1500</v>
      </c>
      <c r="F10344" s="43"/>
      <c r="G10344" s="48">
        <f t="shared" si="261"/>
        <v>128280.08546533174</v>
      </c>
      <c r="H10344" s="389" t="s">
        <v>9567</v>
      </c>
    </row>
    <row r="10345" spans="1:10" x14ac:dyDescent="0.3">
      <c r="A10345" s="45">
        <v>45566</v>
      </c>
      <c r="B10345" s="396" t="s">
        <v>13379</v>
      </c>
      <c r="C10345" s="5" t="s">
        <v>26</v>
      </c>
      <c r="D10345" s="5" t="s">
        <v>14619</v>
      </c>
      <c r="E10345" s="43">
        <v>1000</v>
      </c>
      <c r="F10345" s="43"/>
      <c r="G10345" s="48">
        <f t="shared" si="261"/>
        <v>127280.08546533174</v>
      </c>
      <c r="H10345" s="389" t="s">
        <v>9567</v>
      </c>
    </row>
    <row r="10346" spans="1:10" x14ac:dyDescent="0.3">
      <c r="A10346" s="45">
        <v>45566</v>
      </c>
      <c r="B10346" s="396" t="s">
        <v>13902</v>
      </c>
      <c r="C10346" s="5" t="s">
        <v>5793</v>
      </c>
      <c r="D10346" s="5" t="s">
        <v>40</v>
      </c>
      <c r="E10346" s="43">
        <v>2500</v>
      </c>
      <c r="F10346" s="43"/>
      <c r="G10346" s="48">
        <f t="shared" si="261"/>
        <v>124780.08546533174</v>
      </c>
      <c r="H10346" s="389" t="s">
        <v>9567</v>
      </c>
    </row>
    <row r="10347" spans="1:10" x14ac:dyDescent="0.3">
      <c r="A10347" s="45">
        <v>45566</v>
      </c>
      <c r="B10347" s="396" t="s">
        <v>12133</v>
      </c>
      <c r="C10347" s="5" t="s">
        <v>5793</v>
      </c>
      <c r="D10347" s="5" t="s">
        <v>40</v>
      </c>
      <c r="E10347" s="43">
        <v>2800</v>
      </c>
      <c r="F10347" s="43"/>
      <c r="G10347" s="48">
        <f t="shared" si="261"/>
        <v>121980.08546533174</v>
      </c>
      <c r="H10347" s="389" t="s">
        <v>9567</v>
      </c>
    </row>
    <row r="10348" spans="1:10" x14ac:dyDescent="0.3">
      <c r="A10348" s="45">
        <v>45566</v>
      </c>
      <c r="B10348" s="396" t="s">
        <v>13902</v>
      </c>
      <c r="C10348" s="5" t="s">
        <v>26</v>
      </c>
      <c r="D10348" s="5" t="s">
        <v>14620</v>
      </c>
      <c r="E10348" s="43">
        <v>2000</v>
      </c>
      <c r="F10348" s="43"/>
      <c r="G10348" s="48">
        <f t="shared" si="261"/>
        <v>119980.08546533174</v>
      </c>
      <c r="H10348" s="389" t="s">
        <v>9567</v>
      </c>
    </row>
    <row r="10349" spans="1:10" x14ac:dyDescent="0.3">
      <c r="A10349" s="45">
        <v>45566</v>
      </c>
      <c r="B10349" s="396" t="s">
        <v>14441</v>
      </c>
      <c r="C10349" s="5" t="s">
        <v>26</v>
      </c>
      <c r="D10349" s="5" t="s">
        <v>14621</v>
      </c>
      <c r="E10349" s="43">
        <v>3000</v>
      </c>
      <c r="F10349" s="43"/>
      <c r="G10349" s="48">
        <f t="shared" si="261"/>
        <v>116980.08546533174</v>
      </c>
      <c r="H10349" s="389" t="s">
        <v>9567</v>
      </c>
    </row>
    <row r="10350" spans="1:10" x14ac:dyDescent="0.3">
      <c r="A10350" s="45">
        <v>45566</v>
      </c>
      <c r="B10350" s="396" t="s">
        <v>14607</v>
      </c>
      <c r="C10350" s="5" t="s">
        <v>5793</v>
      </c>
      <c r="D10350" s="5" t="s">
        <v>14622</v>
      </c>
      <c r="E10350" s="43">
        <v>1500</v>
      </c>
      <c r="F10350" s="43"/>
      <c r="G10350" s="48">
        <f t="shared" si="261"/>
        <v>115480.08546533174</v>
      </c>
      <c r="H10350" s="389" t="s">
        <v>9567</v>
      </c>
    </row>
    <row r="10351" spans="1:10" x14ac:dyDescent="0.3">
      <c r="A10351" s="45">
        <v>45566</v>
      </c>
      <c r="B10351" s="396" t="s">
        <v>13902</v>
      </c>
      <c r="C10351" s="5" t="s">
        <v>11174</v>
      </c>
      <c r="D10351" s="5" t="s">
        <v>14623</v>
      </c>
      <c r="E10351" s="43">
        <v>1950</v>
      </c>
      <c r="F10351" s="43"/>
      <c r="G10351" s="48">
        <f t="shared" si="261"/>
        <v>113530.08546533174</v>
      </c>
      <c r="H10351" s="389" t="s">
        <v>9567</v>
      </c>
    </row>
    <row r="10352" spans="1:10" x14ac:dyDescent="0.3">
      <c r="A10352" s="45">
        <v>45567</v>
      </c>
      <c r="B10352" s="396" t="s">
        <v>14590</v>
      </c>
      <c r="C10352" s="5" t="s">
        <v>5793</v>
      </c>
      <c r="D10352" s="5" t="s">
        <v>14029</v>
      </c>
      <c r="E10352" s="43">
        <v>1500</v>
      </c>
      <c r="F10352" s="43"/>
      <c r="G10352" s="48">
        <f t="shared" si="261"/>
        <v>112030.08546533174</v>
      </c>
      <c r="H10352" s="389" t="s">
        <v>9567</v>
      </c>
      <c r="I10352" s="52">
        <v>10200</v>
      </c>
    </row>
    <row r="10353" spans="1:11" x14ac:dyDescent="0.3">
      <c r="A10353" s="45">
        <v>45567</v>
      </c>
      <c r="B10353" s="396" t="s">
        <v>13138</v>
      </c>
      <c r="C10353" s="5" t="s">
        <v>84</v>
      </c>
      <c r="D10353" s="5" t="s">
        <v>14480</v>
      </c>
      <c r="E10353" s="43">
        <v>10000</v>
      </c>
      <c r="F10353" s="43"/>
      <c r="G10353" s="48">
        <f t="shared" si="261"/>
        <v>102030.08546533174</v>
      </c>
      <c r="H10353" s="389" t="s">
        <v>9567</v>
      </c>
      <c r="I10353" s="52">
        <v>1950</v>
      </c>
    </row>
    <row r="10354" spans="1:11" x14ac:dyDescent="0.3">
      <c r="A10354" s="45">
        <v>45567</v>
      </c>
      <c r="B10354" s="396" t="s">
        <v>14248</v>
      </c>
      <c r="C10354" s="5" t="s">
        <v>14594</v>
      </c>
      <c r="D10354" s="5" t="s">
        <v>14595</v>
      </c>
      <c r="E10354" s="43">
        <v>41450</v>
      </c>
      <c r="F10354" s="43"/>
      <c r="G10354" s="48">
        <f t="shared" si="261"/>
        <v>60580.085465331736</v>
      </c>
      <c r="H10354" s="389" t="s">
        <v>9567</v>
      </c>
      <c r="I10354" s="52">
        <v>1000</v>
      </c>
    </row>
    <row r="10355" spans="1:11" x14ac:dyDescent="0.3">
      <c r="A10355" s="45">
        <v>45567</v>
      </c>
      <c r="B10355" s="396" t="s">
        <v>25</v>
      </c>
      <c r="C10355" s="5" t="s">
        <v>25</v>
      </c>
      <c r="D10355" s="5" t="s">
        <v>11434</v>
      </c>
      <c r="E10355" s="43">
        <v>4000</v>
      </c>
      <c r="F10355" s="43"/>
      <c r="G10355" s="48">
        <f t="shared" si="261"/>
        <v>56580.085465331736</v>
      </c>
      <c r="H10355" s="389" t="s">
        <v>9567</v>
      </c>
      <c r="I10355" s="52">
        <v>1450</v>
      </c>
      <c r="K10355" s="52">
        <v>1000000</v>
      </c>
    </row>
    <row r="10356" spans="1:11" x14ac:dyDescent="0.3">
      <c r="A10356" s="45">
        <v>45567</v>
      </c>
      <c r="B10356" s="396" t="s">
        <v>14441</v>
      </c>
      <c r="C10356" s="5" t="s">
        <v>11174</v>
      </c>
      <c r="D10356" s="5" t="s">
        <v>14596</v>
      </c>
      <c r="E10356" s="43">
        <v>500</v>
      </c>
      <c r="F10356" s="43"/>
      <c r="G10356" s="48">
        <f t="shared" si="261"/>
        <v>56080.085465331736</v>
      </c>
      <c r="H10356" s="389" t="s">
        <v>9567</v>
      </c>
      <c r="I10356" s="52">
        <f>SUM(I10351:I10355)</f>
        <v>14600</v>
      </c>
      <c r="K10356" s="52">
        <v>300000</v>
      </c>
    </row>
    <row r="10357" spans="1:11" x14ac:dyDescent="0.3">
      <c r="A10357" s="45">
        <v>45567</v>
      </c>
      <c r="B10357" s="396" t="s">
        <v>14524</v>
      </c>
      <c r="C10357" s="5" t="s">
        <v>11174</v>
      </c>
      <c r="D10357" s="5" t="s">
        <v>13267</v>
      </c>
      <c r="E10357" s="43">
        <v>725</v>
      </c>
      <c r="F10357" s="43"/>
      <c r="G10357" s="48">
        <f t="shared" si="261"/>
        <v>55355.085465331736</v>
      </c>
      <c r="H10357" s="389" t="s">
        <v>9567</v>
      </c>
      <c r="K10357" s="52">
        <v>15000</v>
      </c>
    </row>
    <row r="10358" spans="1:11" x14ac:dyDescent="0.3">
      <c r="A10358" s="45">
        <v>45567</v>
      </c>
      <c r="B10358" s="396" t="s">
        <v>13379</v>
      </c>
      <c r="C10358" s="5" t="s">
        <v>11174</v>
      </c>
      <c r="D10358" s="5" t="s">
        <v>14597</v>
      </c>
      <c r="E10358" s="43">
        <v>230</v>
      </c>
      <c r="F10358" s="43"/>
      <c r="G10358" s="48">
        <f t="shared" si="261"/>
        <v>55125.085465331736</v>
      </c>
      <c r="H10358" s="389" t="s">
        <v>9567</v>
      </c>
      <c r="K10358" s="52">
        <v>12000</v>
      </c>
    </row>
    <row r="10359" spans="1:11" x14ac:dyDescent="0.3">
      <c r="A10359" s="45">
        <v>45567</v>
      </c>
      <c r="B10359" s="565"/>
      <c r="C10359" s="480"/>
      <c r="D10359" s="491" t="s">
        <v>7048</v>
      </c>
      <c r="E10359" s="480"/>
      <c r="F10359" s="43">
        <v>300000</v>
      </c>
      <c r="G10359" s="48">
        <f t="shared" si="261"/>
        <v>355125.08546533174</v>
      </c>
      <c r="H10359" s="389" t="s">
        <v>9567</v>
      </c>
      <c r="K10359" s="52">
        <v>5000</v>
      </c>
    </row>
    <row r="10360" spans="1:11" x14ac:dyDescent="0.3">
      <c r="A10360" s="45">
        <v>45567</v>
      </c>
      <c r="B10360" s="565"/>
      <c r="C10360" s="480"/>
      <c r="D10360" s="491" t="s">
        <v>5431</v>
      </c>
      <c r="E10360" s="480"/>
      <c r="F10360" s="43">
        <v>1000000</v>
      </c>
      <c r="G10360" s="48">
        <f t="shared" si="261"/>
        <v>1355125.0854653318</v>
      </c>
      <c r="H10360" s="389" t="s">
        <v>9567</v>
      </c>
    </row>
    <row r="10361" spans="1:11" x14ac:dyDescent="0.3">
      <c r="A10361" s="45">
        <v>45567</v>
      </c>
      <c r="B10361" s="394" t="s">
        <v>12611</v>
      </c>
      <c r="C10361" s="186" t="s">
        <v>54</v>
      </c>
      <c r="D10361" s="186" t="s">
        <v>13164</v>
      </c>
      <c r="E10361" s="187">
        <v>851041.66666666674</v>
      </c>
      <c r="F10361" s="43"/>
      <c r="G10361" s="48">
        <f t="shared" si="261"/>
        <v>504083.41879866505</v>
      </c>
      <c r="H10361" s="389" t="s">
        <v>9567</v>
      </c>
    </row>
    <row r="10362" spans="1:11" x14ac:dyDescent="0.3">
      <c r="A10362" s="45">
        <v>45567</v>
      </c>
      <c r="B10362" s="396" t="s">
        <v>13188</v>
      </c>
      <c r="C10362" s="5" t="s">
        <v>11174</v>
      </c>
      <c r="D10362" s="5" t="s">
        <v>14283</v>
      </c>
      <c r="E10362" s="43">
        <v>380</v>
      </c>
      <c r="F10362" s="43"/>
      <c r="G10362" s="48">
        <f t="shared" si="261"/>
        <v>503703.41879866505</v>
      </c>
      <c r="H10362" s="389" t="s">
        <v>9567</v>
      </c>
      <c r="J10362" s="52">
        <v>2917891</v>
      </c>
    </row>
    <row r="10363" spans="1:11" ht="37.5" x14ac:dyDescent="0.3">
      <c r="A10363" s="45">
        <v>45568</v>
      </c>
      <c r="B10363" s="320" t="s">
        <v>14104</v>
      </c>
      <c r="C10363" s="44" t="s">
        <v>11174</v>
      </c>
      <c r="D10363" s="124" t="s">
        <v>14610</v>
      </c>
      <c r="E10363" s="28">
        <v>48400</v>
      </c>
      <c r="F10363" s="43"/>
      <c r="G10363" s="48">
        <f t="shared" si="261"/>
        <v>455303.41879866505</v>
      </c>
      <c r="H10363" s="389" t="s">
        <v>9567</v>
      </c>
      <c r="K10363" s="52">
        <f>SUM(K10355:K10362)</f>
        <v>1332000</v>
      </c>
    </row>
    <row r="10364" spans="1:11" x14ac:dyDescent="0.3">
      <c r="A10364" s="45">
        <v>45568</v>
      </c>
      <c r="B10364" s="396" t="s">
        <v>14607</v>
      </c>
      <c r="C10364" s="5" t="s">
        <v>11174</v>
      </c>
      <c r="D10364" s="5" t="s">
        <v>14603</v>
      </c>
      <c r="E10364" s="43">
        <v>1500</v>
      </c>
      <c r="F10364" s="43"/>
      <c r="G10364" s="48">
        <f t="shared" si="261"/>
        <v>453803.41879866505</v>
      </c>
      <c r="H10364" s="389" t="s">
        <v>9567</v>
      </c>
    </row>
    <row r="10365" spans="1:11" x14ac:dyDescent="0.3">
      <c r="A10365" s="45">
        <v>45568</v>
      </c>
      <c r="B10365" s="396" t="s">
        <v>14607</v>
      </c>
      <c r="C10365" s="5" t="s">
        <v>11174</v>
      </c>
      <c r="D10365" s="5" t="s">
        <v>14608</v>
      </c>
      <c r="E10365" s="43">
        <v>12400</v>
      </c>
      <c r="F10365" s="43"/>
      <c r="G10365" s="48">
        <f t="shared" si="261"/>
        <v>441403.41879866505</v>
      </c>
      <c r="H10365" s="389" t="s">
        <v>9567</v>
      </c>
      <c r="J10365" s="52">
        <f>J10362*50%</f>
        <v>1458945.5</v>
      </c>
    </row>
    <row r="10366" spans="1:11" x14ac:dyDescent="0.3">
      <c r="A10366" s="45">
        <v>45568</v>
      </c>
      <c r="B10366" s="396" t="s">
        <v>14607</v>
      </c>
      <c r="C10366" s="5" t="s">
        <v>3220</v>
      </c>
      <c r="D10366" s="5" t="s">
        <v>13893</v>
      </c>
      <c r="E10366" s="43">
        <v>30000</v>
      </c>
      <c r="F10366" s="43"/>
      <c r="G10366" s="48">
        <f t="shared" si="261"/>
        <v>411403.41879866505</v>
      </c>
      <c r="H10366" s="389" t="s">
        <v>9567</v>
      </c>
      <c r="J10366" s="52">
        <f>J10362*40%</f>
        <v>1167156.4000000001</v>
      </c>
    </row>
    <row r="10367" spans="1:11" x14ac:dyDescent="0.3">
      <c r="A10367" s="45">
        <v>45568</v>
      </c>
      <c r="B10367" s="396" t="s">
        <v>12133</v>
      </c>
      <c r="C10367" s="5" t="s">
        <v>5793</v>
      </c>
      <c r="D10367" s="5" t="s">
        <v>14462</v>
      </c>
      <c r="E10367" s="43">
        <v>1000</v>
      </c>
      <c r="F10367" s="43"/>
      <c r="G10367" s="48">
        <f t="shared" si="261"/>
        <v>410403.41879866505</v>
      </c>
      <c r="H10367" s="389" t="s">
        <v>9567</v>
      </c>
    </row>
    <row r="10368" spans="1:11" x14ac:dyDescent="0.3">
      <c r="A10368" s="45">
        <v>45568</v>
      </c>
      <c r="B10368" s="396" t="s">
        <v>13902</v>
      </c>
      <c r="C10368" s="5" t="s">
        <v>5793</v>
      </c>
      <c r="D10368" s="5" t="s">
        <v>14611</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13188</v>
      </c>
      <c r="C10370" s="5" t="s">
        <v>11174</v>
      </c>
      <c r="D10370" s="5" t="s">
        <v>14613</v>
      </c>
      <c r="E10370" s="43">
        <v>100</v>
      </c>
      <c r="F10370" s="43"/>
      <c r="G10370" s="48">
        <f t="shared" si="261"/>
        <v>66003.41879866505</v>
      </c>
      <c r="H10370" s="389" t="s">
        <v>9567</v>
      </c>
      <c r="K10370" s="52">
        <v>50000</v>
      </c>
    </row>
    <row r="10371" spans="1:11" x14ac:dyDescent="0.3">
      <c r="A10371" s="45">
        <v>45568</v>
      </c>
      <c r="B10371" s="396" t="s">
        <v>14248</v>
      </c>
      <c r="C10371" s="5" t="s">
        <v>5793</v>
      </c>
      <c r="D10371" s="5" t="s">
        <v>40</v>
      </c>
      <c r="E10371" s="43">
        <v>300</v>
      </c>
      <c r="F10371" s="43"/>
      <c r="G10371" s="48">
        <f t="shared" si="261"/>
        <v>65703.41879866505</v>
      </c>
      <c r="H10371" s="389" t="s">
        <v>9567</v>
      </c>
    </row>
    <row r="10372" spans="1:11" x14ac:dyDescent="0.3">
      <c r="A10372" s="45">
        <v>45568</v>
      </c>
      <c r="B10372" s="565"/>
      <c r="C10372" s="480"/>
      <c r="D10372" s="491" t="s">
        <v>14627</v>
      </c>
      <c r="E10372" s="480"/>
      <c r="F10372" s="43">
        <v>13300</v>
      </c>
      <c r="G10372" s="48">
        <f t="shared" si="261"/>
        <v>79003.41879866505</v>
      </c>
      <c r="H10372" s="389" t="s">
        <v>9567</v>
      </c>
      <c r="K10372" s="52">
        <f ca="1">J10427-6000</f>
        <v>21178476.47215822</v>
      </c>
    </row>
    <row r="10373" spans="1:11" x14ac:dyDescent="0.3">
      <c r="A10373" s="45">
        <v>45568</v>
      </c>
      <c r="B10373" s="396" t="s">
        <v>12133</v>
      </c>
      <c r="C10373" s="5" t="s">
        <v>5793</v>
      </c>
      <c r="D10373" s="5" t="s">
        <v>14563</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14624</v>
      </c>
      <c r="E10374" s="43">
        <v>10200</v>
      </c>
      <c r="F10374" s="43"/>
      <c r="G10374" s="48">
        <f t="shared" si="261"/>
        <v>67203.41879866505</v>
      </c>
      <c r="H10374" s="389" t="s">
        <v>9567</v>
      </c>
      <c r="K10374" s="52">
        <v>52000</v>
      </c>
    </row>
    <row r="10375" spans="1:11" x14ac:dyDescent="0.3">
      <c r="A10375" s="45">
        <v>45568</v>
      </c>
      <c r="B10375" s="565"/>
      <c r="C10375" s="480"/>
      <c r="D10375" s="491" t="s">
        <v>14628</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12230</v>
      </c>
      <c r="C10377" s="5" t="s">
        <v>1074</v>
      </c>
      <c r="D10377" s="5" t="s">
        <v>6234</v>
      </c>
      <c r="E10377" s="43">
        <v>1300</v>
      </c>
      <c r="F10377" s="43"/>
      <c r="G10377" s="48">
        <f t="shared" si="261"/>
        <v>76853.41879866505</v>
      </c>
      <c r="H10377" s="389" t="s">
        <v>9567</v>
      </c>
    </row>
    <row r="10378" spans="1:11" x14ac:dyDescent="0.3">
      <c r="A10378" s="45">
        <v>45569</v>
      </c>
      <c r="B10378" s="396" t="s">
        <v>13188</v>
      </c>
      <c r="C10378" s="5" t="s">
        <v>11174</v>
      </c>
      <c r="D10378" s="5" t="s">
        <v>14625</v>
      </c>
      <c r="E10378" s="43">
        <v>40</v>
      </c>
      <c r="F10378" s="43"/>
      <c r="G10378" s="48">
        <f t="shared" si="261"/>
        <v>76813.41879866505</v>
      </c>
      <c r="H10378" s="389" t="s">
        <v>9567</v>
      </c>
    </row>
    <row r="10379" spans="1:11" x14ac:dyDescent="0.3">
      <c r="A10379" s="45">
        <v>45569</v>
      </c>
      <c r="B10379" s="396" t="s">
        <v>14248</v>
      </c>
      <c r="C10379" s="5" t="s">
        <v>30</v>
      </c>
      <c r="D10379" s="5" t="s">
        <v>14626</v>
      </c>
      <c r="E10379" s="43">
        <v>1500</v>
      </c>
      <c r="F10379" s="43"/>
      <c r="G10379" s="48">
        <f t="shared" si="261"/>
        <v>75313.41879866505</v>
      </c>
      <c r="H10379" s="389" t="s">
        <v>9567</v>
      </c>
      <c r="K10379" s="52">
        <f ca="1">SUM(K10370:K10378)</f>
        <v>21315321.47215822</v>
      </c>
    </row>
    <row r="10380" spans="1:11" x14ac:dyDescent="0.3">
      <c r="A10380" s="45">
        <v>45569</v>
      </c>
      <c r="B10380" s="396" t="s">
        <v>12133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5"/>
      <c r="C10381" s="480"/>
      <c r="D10381" s="491" t="s">
        <v>5431</v>
      </c>
      <c r="E10381" s="480"/>
      <c r="F10381" s="43">
        <v>188000</v>
      </c>
      <c r="G10381" s="48">
        <f t="shared" si="262"/>
        <v>262313.41879866505</v>
      </c>
      <c r="H10381" s="389" t="s">
        <v>9567</v>
      </c>
      <c r="K10381" s="52">
        <f ca="1">K10363-K10379</f>
        <v>-19983321.47215822</v>
      </c>
    </row>
    <row r="10382" spans="1:11" x14ac:dyDescent="0.3">
      <c r="A10382" s="45">
        <v>45569</v>
      </c>
      <c r="B10382" s="396" t="s">
        <v>25</v>
      </c>
      <c r="C10382" s="5" t="s">
        <v>25</v>
      </c>
      <c r="D10382" s="5" t="s">
        <v>11434</v>
      </c>
      <c r="E10382" s="43">
        <v>3500</v>
      </c>
      <c r="F10382" s="43"/>
      <c r="G10382" s="48">
        <f t="shared" si="262"/>
        <v>258813.41879866505</v>
      </c>
      <c r="H10382" s="389" t="s">
        <v>9567</v>
      </c>
    </row>
    <row r="10383" spans="1:11" x14ac:dyDescent="0.3">
      <c r="A10383" s="45">
        <v>45569</v>
      </c>
      <c r="B10383" s="394" t="s">
        <v>13188</v>
      </c>
      <c r="C10383" s="186" t="s">
        <v>54</v>
      </c>
      <c r="D10383" s="186" t="s">
        <v>6245</v>
      </c>
      <c r="E10383" s="187">
        <v>94200</v>
      </c>
      <c r="F10383" s="43"/>
      <c r="G10383" s="48">
        <f t="shared" si="262"/>
        <v>164613.41879866505</v>
      </c>
      <c r="H10383" s="389" t="s">
        <v>9567</v>
      </c>
    </row>
    <row r="10384" spans="1:11" x14ac:dyDescent="0.3">
      <c r="A10384" s="45">
        <v>45569</v>
      </c>
      <c r="B10384" s="396" t="s">
        <v>13188</v>
      </c>
      <c r="C10384" s="5" t="s">
        <v>11174</v>
      </c>
      <c r="D10384" s="5" t="s">
        <v>14630</v>
      </c>
      <c r="E10384" s="43">
        <v>900</v>
      </c>
      <c r="F10384" s="43"/>
      <c r="G10384" s="48">
        <f t="shared" si="262"/>
        <v>163713.41879866505</v>
      </c>
      <c r="H10384" s="389" t="s">
        <v>9567</v>
      </c>
    </row>
    <row r="10385" spans="1:8" x14ac:dyDescent="0.3">
      <c r="A10385" s="45">
        <v>45569</v>
      </c>
      <c r="B10385" s="396" t="s">
        <v>14031</v>
      </c>
      <c r="C10385" s="5" t="s">
        <v>9758</v>
      </c>
      <c r="D10385" s="5" t="s">
        <v>13972</v>
      </c>
      <c r="E10385" s="43">
        <v>10000</v>
      </c>
      <c r="F10385" s="43"/>
      <c r="G10385" s="48">
        <f t="shared" si="262"/>
        <v>153713.41879866505</v>
      </c>
      <c r="H10385" s="389" t="s">
        <v>9567</v>
      </c>
    </row>
    <row r="10386" spans="1:8" x14ac:dyDescent="0.3">
      <c r="A10386" s="45">
        <v>45569</v>
      </c>
      <c r="B10386" s="396" t="s">
        <v>13709</v>
      </c>
      <c r="C10386" s="5" t="s">
        <v>11174</v>
      </c>
      <c r="D10386" s="5" t="s">
        <v>14629</v>
      </c>
      <c r="E10386" s="43">
        <v>75375</v>
      </c>
      <c r="F10386" s="43"/>
      <c r="G10386" s="48">
        <f t="shared" si="262"/>
        <v>78338.41879866505</v>
      </c>
      <c r="H10386" s="389" t="s">
        <v>9567</v>
      </c>
    </row>
    <row r="10387" spans="1:8" x14ac:dyDescent="0.3">
      <c r="A10387" s="45">
        <v>45569</v>
      </c>
      <c r="B10387" s="396" t="s">
        <v>12046</v>
      </c>
      <c r="C10387" s="5" t="s">
        <v>11174</v>
      </c>
      <c r="D10387" s="5" t="s">
        <v>14631</v>
      </c>
      <c r="E10387" s="43">
        <v>100</v>
      </c>
      <c r="F10387" s="43"/>
      <c r="G10387" s="48">
        <f t="shared" si="262"/>
        <v>78238.41879866505</v>
      </c>
      <c r="H10387" s="389" t="s">
        <v>9567</v>
      </c>
    </row>
    <row r="10388" spans="1:8" x14ac:dyDescent="0.3">
      <c r="A10388" s="45">
        <v>45569</v>
      </c>
      <c r="B10388" s="396" t="s">
        <v>12046</v>
      </c>
      <c r="C10388" s="5" t="s">
        <v>5793</v>
      </c>
      <c r="D10388" s="5" t="s">
        <v>40</v>
      </c>
      <c r="E10388" s="43">
        <v>200</v>
      </c>
      <c r="F10388" s="43"/>
      <c r="G10388" s="48">
        <f t="shared" si="262"/>
        <v>78038.41879866505</v>
      </c>
      <c r="H10388" s="389" t="s">
        <v>9567</v>
      </c>
    </row>
    <row r="10389" spans="1:8" x14ac:dyDescent="0.3">
      <c r="A10389" s="45">
        <v>45569</v>
      </c>
      <c r="B10389" s="396" t="s">
        <v>13188</v>
      </c>
      <c r="C10389" s="5" t="s">
        <v>11174</v>
      </c>
      <c r="D10389" s="5" t="s">
        <v>14632</v>
      </c>
      <c r="E10389" s="43">
        <v>300</v>
      </c>
      <c r="F10389" s="43"/>
      <c r="G10389" s="48">
        <f t="shared" si="262"/>
        <v>77738.41879866505</v>
      </c>
      <c r="H10389" s="389" t="s">
        <v>9567</v>
      </c>
    </row>
    <row r="10390" spans="1:8" x14ac:dyDescent="0.3">
      <c r="A10390" s="45">
        <v>45570</v>
      </c>
      <c r="B10390" s="396" t="s">
        <v>12133</v>
      </c>
      <c r="C10390" s="5" t="s">
        <v>5793</v>
      </c>
      <c r="D10390" s="5" t="s">
        <v>14029</v>
      </c>
      <c r="E10390" s="43">
        <v>4000</v>
      </c>
      <c r="F10390" s="43"/>
      <c r="G10390" s="48">
        <f t="shared" si="262"/>
        <v>73738.41879866505</v>
      </c>
      <c r="H10390" s="389" t="s">
        <v>9567</v>
      </c>
    </row>
    <row r="10391" spans="1:8" x14ac:dyDescent="0.3">
      <c r="A10391" s="45">
        <v>45570</v>
      </c>
      <c r="B10391" s="396" t="s">
        <v>13902</v>
      </c>
      <c r="C10391" s="5" t="s">
        <v>5793</v>
      </c>
      <c r="D10391" s="5" t="s">
        <v>14637</v>
      </c>
      <c r="E10391" s="43">
        <v>2500</v>
      </c>
      <c r="F10391" s="43"/>
      <c r="G10391" s="48">
        <f t="shared" si="262"/>
        <v>71238.41879866505</v>
      </c>
      <c r="H10391" s="389" t="s">
        <v>9567</v>
      </c>
    </row>
    <row r="10392" spans="1:8" x14ac:dyDescent="0.3">
      <c r="A10392" s="45">
        <v>45569</v>
      </c>
      <c r="B10392" s="396" t="s">
        <v>14607</v>
      </c>
      <c r="C10392" s="5" t="s">
        <v>11174</v>
      </c>
      <c r="D10392" s="5" t="s">
        <v>14633</v>
      </c>
      <c r="E10392" s="43">
        <v>11000</v>
      </c>
      <c r="F10392" s="43"/>
      <c r="G10392" s="48">
        <f t="shared" si="262"/>
        <v>60238.41879866505</v>
      </c>
      <c r="H10392" s="389" t="s">
        <v>9567</v>
      </c>
    </row>
    <row r="10393" spans="1:8" x14ac:dyDescent="0.3">
      <c r="A10393" s="45">
        <v>45570</v>
      </c>
      <c r="B10393" s="396" t="s">
        <v>12133</v>
      </c>
      <c r="C10393" s="5" t="s">
        <v>5162</v>
      </c>
      <c r="D10393" s="5" t="s">
        <v>14636</v>
      </c>
      <c r="E10393" s="43">
        <v>5000</v>
      </c>
      <c r="F10393" s="43"/>
      <c r="G10393" s="48">
        <f t="shared" si="262"/>
        <v>55238.41879866505</v>
      </c>
      <c r="H10393" s="389" t="s">
        <v>9567</v>
      </c>
    </row>
    <row r="10394" spans="1:8" x14ac:dyDescent="0.3">
      <c r="A10394" s="45">
        <v>45570</v>
      </c>
      <c r="B10394" s="396" t="s">
        <v>14524</v>
      </c>
      <c r="C10394" s="5" t="s">
        <v>9758</v>
      </c>
      <c r="D10394" s="5" t="s">
        <v>13972</v>
      </c>
      <c r="E10394" s="43">
        <v>10000</v>
      </c>
      <c r="F10394" s="43"/>
      <c r="G10394" s="48">
        <f t="shared" si="262"/>
        <v>45238.41879866505</v>
      </c>
      <c r="H10394" s="389" t="s">
        <v>9567</v>
      </c>
    </row>
    <row r="10395" spans="1:8" x14ac:dyDescent="0.3">
      <c r="A10395" s="45">
        <v>45570</v>
      </c>
      <c r="B10395" s="396" t="s">
        <v>13379</v>
      </c>
      <c r="C10395" s="5" t="s">
        <v>5793</v>
      </c>
      <c r="D10395" s="5" t="s">
        <v>14029</v>
      </c>
      <c r="E10395" s="43">
        <v>2000</v>
      </c>
      <c r="F10395" s="43"/>
      <c r="G10395" s="48">
        <f t="shared" si="262"/>
        <v>43238.41879866505</v>
      </c>
      <c r="H10395" s="389" t="s">
        <v>9567</v>
      </c>
    </row>
    <row r="10396" spans="1:8" x14ac:dyDescent="0.3">
      <c r="A10396" s="45">
        <v>45570</v>
      </c>
      <c r="B10396" s="396" t="s">
        <v>13981</v>
      </c>
      <c r="C10396" s="5" t="s">
        <v>5793</v>
      </c>
      <c r="D10396" s="5" t="s">
        <v>14637</v>
      </c>
      <c r="E10396" s="43">
        <v>2500</v>
      </c>
      <c r="F10396" s="43"/>
      <c r="G10396" s="48">
        <f t="shared" si="262"/>
        <v>40738.41879866505</v>
      </c>
      <c r="H10396" s="389" t="s">
        <v>9567</v>
      </c>
    </row>
    <row r="10397" spans="1:8" x14ac:dyDescent="0.3">
      <c r="A10397" s="45">
        <v>45570</v>
      </c>
      <c r="B10397" s="396" t="s">
        <v>13981</v>
      </c>
      <c r="C10397" s="5" t="s">
        <v>11174</v>
      </c>
      <c r="D10397" s="5" t="s">
        <v>14640</v>
      </c>
      <c r="E10397" s="43">
        <v>3200</v>
      </c>
      <c r="F10397" s="43"/>
      <c r="G10397" s="48">
        <f t="shared" si="262"/>
        <v>37538.41879866505</v>
      </c>
      <c r="H10397" s="389" t="s">
        <v>9567</v>
      </c>
    </row>
    <row r="10398" spans="1:8" x14ac:dyDescent="0.3">
      <c r="A10398" s="45">
        <v>45570</v>
      </c>
      <c r="B10398" s="396" t="s">
        <v>13981</v>
      </c>
      <c r="C10398" s="5" t="s">
        <v>11174</v>
      </c>
      <c r="D10398" s="5" t="s">
        <v>14639</v>
      </c>
      <c r="E10398" s="43">
        <v>10000</v>
      </c>
      <c r="F10398" s="43"/>
      <c r="G10398" s="48">
        <f t="shared" si="262"/>
        <v>27538.41879866505</v>
      </c>
      <c r="H10398" s="389" t="s">
        <v>9567</v>
      </c>
    </row>
    <row r="10399" spans="1:8" x14ac:dyDescent="0.3">
      <c r="A10399" s="45">
        <v>45570</v>
      </c>
      <c r="B10399" s="396" t="s">
        <v>13981</v>
      </c>
      <c r="C10399" s="5" t="s">
        <v>8863</v>
      </c>
      <c r="D10399" s="5" t="s">
        <v>14641</v>
      </c>
      <c r="E10399" s="43">
        <v>10000</v>
      </c>
      <c r="F10399" s="43"/>
      <c r="G10399" s="48">
        <f t="shared" si="262"/>
        <v>17538.41879866505</v>
      </c>
      <c r="H10399" s="389" t="s">
        <v>9567</v>
      </c>
    </row>
    <row r="10400" spans="1:8" x14ac:dyDescent="0.3">
      <c r="A10400" s="45">
        <v>45570</v>
      </c>
      <c r="B10400" s="396" t="s">
        <v>25</v>
      </c>
      <c r="C10400" s="5" t="s">
        <v>7214</v>
      </c>
      <c r="D10400" s="5" t="s">
        <v>14643</v>
      </c>
      <c r="E10400" s="43">
        <v>17500</v>
      </c>
      <c r="F10400" s="43"/>
      <c r="G10400" s="48">
        <f t="shared" si="262"/>
        <v>38.418798665050417</v>
      </c>
      <c r="H10400" s="389" t="s">
        <v>9567</v>
      </c>
    </row>
    <row r="10401" spans="1:11" x14ac:dyDescent="0.3">
      <c r="A10401" s="45">
        <v>45572</v>
      </c>
      <c r="B10401" s="565"/>
      <c r="C10401" s="480"/>
      <c r="D10401" s="491" t="s">
        <v>14646</v>
      </c>
      <c r="E10401" s="480"/>
      <c r="F10401" s="43">
        <v>330000</v>
      </c>
      <c r="G10401" s="48">
        <f t="shared" si="262"/>
        <v>330038.41879866505</v>
      </c>
      <c r="H10401" s="389" t="s">
        <v>9567</v>
      </c>
    </row>
    <row r="10402" spans="1:11" x14ac:dyDescent="0.3">
      <c r="A10402" s="45">
        <v>45572</v>
      </c>
      <c r="B10402" s="396" t="s">
        <v>13981</v>
      </c>
      <c r="C10402" s="5" t="s">
        <v>8863</v>
      </c>
      <c r="D10402" s="5" t="s">
        <v>294</v>
      </c>
      <c r="E10402" s="43">
        <v>8000</v>
      </c>
      <c r="F10402" s="43"/>
      <c r="G10402" s="48">
        <f t="shared" si="262"/>
        <v>322038.41879866505</v>
      </c>
      <c r="H10402" s="389" t="s">
        <v>9567</v>
      </c>
    </row>
    <row r="10403" spans="1:11" x14ac:dyDescent="0.3">
      <c r="A10403" s="45">
        <v>45572</v>
      </c>
      <c r="B10403" s="396" t="s">
        <v>13981</v>
      </c>
      <c r="C10403" s="5" t="s">
        <v>5793</v>
      </c>
      <c r="D10403" s="5" t="s">
        <v>14645</v>
      </c>
      <c r="E10403" s="43">
        <v>2000</v>
      </c>
      <c r="F10403" s="43"/>
      <c r="G10403" s="48">
        <f t="shared" si="262"/>
        <v>320038.41879866505</v>
      </c>
      <c r="H10403" s="389" t="s">
        <v>9567</v>
      </c>
    </row>
    <row r="10404" spans="1:11" x14ac:dyDescent="0.3">
      <c r="A10404" s="45">
        <v>45572</v>
      </c>
      <c r="B10404" s="394" t="s">
        <v>12133</v>
      </c>
      <c r="C10404" s="186" t="s">
        <v>54</v>
      </c>
      <c r="D10404" s="186" t="s">
        <v>14654</v>
      </c>
      <c r="E10404" s="187">
        <f>66000+29000+28050</f>
        <v>123050</v>
      </c>
      <c r="F10404" s="43"/>
      <c r="G10404" s="48">
        <f t="shared" si="262"/>
        <v>196988.41879866505</v>
      </c>
      <c r="H10404" s="389" t="s">
        <v>9567</v>
      </c>
    </row>
    <row r="10405" spans="1:11" x14ac:dyDescent="0.3">
      <c r="A10405" s="45">
        <v>45572</v>
      </c>
      <c r="B10405" s="394" t="s">
        <v>12055</v>
      </c>
      <c r="C10405" s="186" t="s">
        <v>54</v>
      </c>
      <c r="D10405" s="186" t="s">
        <v>6236</v>
      </c>
      <c r="E10405" s="187">
        <f>150406+36150</f>
        <v>186556</v>
      </c>
      <c r="F10405" s="43"/>
      <c r="G10405" s="48">
        <f t="shared" si="262"/>
        <v>10432.41879866505</v>
      </c>
      <c r="H10405" s="389" t="s">
        <v>9567</v>
      </c>
    </row>
    <row r="10406" spans="1:11" x14ac:dyDescent="0.3">
      <c r="A10406" s="45">
        <v>45572</v>
      </c>
      <c r="B10406" s="565"/>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13188</v>
      </c>
      <c r="C10407" s="186" t="s">
        <v>54</v>
      </c>
      <c r="D10407" s="186" t="s">
        <v>14647</v>
      </c>
      <c r="E10407" s="187">
        <v>85700</v>
      </c>
      <c r="F10407" s="43"/>
      <c r="G10407" s="48">
        <f t="shared" si="262"/>
        <v>924732.41879866505</v>
      </c>
      <c r="H10407" s="389" t="s">
        <v>9567</v>
      </c>
    </row>
    <row r="10408" spans="1:11" x14ac:dyDescent="0.3">
      <c r="A10408" s="45">
        <v>45572</v>
      </c>
      <c r="B10408" s="394" t="s">
        <v>12055</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11434</v>
      </c>
      <c r="E10410" s="43">
        <v>4000</v>
      </c>
      <c r="F10410" s="43"/>
      <c r="G10410" s="48">
        <f t="shared" si="262"/>
        <v>890232.41879866505</v>
      </c>
      <c r="H10410" s="389" t="s">
        <v>9567</v>
      </c>
    </row>
    <row r="10411" spans="1:11" x14ac:dyDescent="0.3">
      <c r="A10411" s="45">
        <v>45572</v>
      </c>
      <c r="B10411" s="396" t="s">
        <v>13188</v>
      </c>
      <c r="C10411" s="5" t="s">
        <v>30</v>
      </c>
      <c r="D10411" s="5" t="s">
        <v>14626</v>
      </c>
      <c r="E10411" s="43">
        <v>1000</v>
      </c>
      <c r="F10411" s="43"/>
      <c r="G10411" s="48">
        <f t="shared" si="262"/>
        <v>889232.41879866505</v>
      </c>
      <c r="H10411" s="389" t="s">
        <v>9567</v>
      </c>
    </row>
    <row r="10412" spans="1:11" x14ac:dyDescent="0.3">
      <c r="A10412" s="45">
        <v>45572</v>
      </c>
      <c r="B10412" s="396" t="s">
        <v>12080</v>
      </c>
      <c r="C10412" s="5" t="s">
        <v>5793</v>
      </c>
      <c r="D10412" s="5" t="s">
        <v>40</v>
      </c>
      <c r="E10412" s="43">
        <v>5000</v>
      </c>
      <c r="F10412" s="43"/>
      <c r="G10412" s="48">
        <f t="shared" si="262"/>
        <v>884232.41879866505</v>
      </c>
      <c r="H10412" s="389" t="s">
        <v>9567</v>
      </c>
    </row>
    <row r="10413" spans="1:11" x14ac:dyDescent="0.3">
      <c r="A10413" s="45">
        <v>45572</v>
      </c>
      <c r="B10413" s="396" t="s">
        <v>14441</v>
      </c>
      <c r="C10413" s="5" t="s">
        <v>5793</v>
      </c>
      <c r="D10413" s="5" t="s">
        <v>14648</v>
      </c>
      <c r="E10413" s="43">
        <v>1500</v>
      </c>
      <c r="F10413" s="43"/>
      <c r="G10413" s="48">
        <f t="shared" si="262"/>
        <v>882732.41879866505</v>
      </c>
      <c r="H10413" s="389" t="s">
        <v>9567</v>
      </c>
    </row>
    <row r="10414" spans="1:11" x14ac:dyDescent="0.3">
      <c r="A10414" s="45">
        <v>45573</v>
      </c>
      <c r="B10414" s="394" t="s">
        <v>13709</v>
      </c>
      <c r="C10414" s="186" t="s">
        <v>54</v>
      </c>
      <c r="D10414" s="186" t="s">
        <v>14650</v>
      </c>
      <c r="E10414" s="187">
        <v>77066.666666666657</v>
      </c>
      <c r="F10414" s="43"/>
      <c r="G10414" s="48">
        <f t="shared" si="262"/>
        <v>805665.75213199842</v>
      </c>
      <c r="H10414" s="389" t="s">
        <v>9567</v>
      </c>
    </row>
    <row r="10415" spans="1:11" x14ac:dyDescent="0.3">
      <c r="A10415" s="45">
        <v>45573</v>
      </c>
      <c r="B10415" s="394" t="s">
        <v>13188</v>
      </c>
      <c r="C10415" s="186" t="s">
        <v>54</v>
      </c>
      <c r="D10415" s="186" t="s">
        <v>14649</v>
      </c>
      <c r="E10415" s="187">
        <v>121566.66666666667</v>
      </c>
      <c r="F10415" s="43"/>
      <c r="G10415" s="48">
        <f t="shared" si="262"/>
        <v>684099.08546533179</v>
      </c>
      <c r="H10415" s="389" t="s">
        <v>9567</v>
      </c>
    </row>
    <row r="10416" spans="1:11" x14ac:dyDescent="0.3">
      <c r="A10416" s="45">
        <v>45573</v>
      </c>
      <c r="B10416" s="396" t="s">
        <v>14441</v>
      </c>
      <c r="C10416" s="5" t="s">
        <v>18</v>
      </c>
      <c r="D10416" s="5" t="s">
        <v>3910</v>
      </c>
      <c r="E10416" s="43">
        <v>25000</v>
      </c>
      <c r="F10416" s="43"/>
      <c r="G10416" s="48">
        <f t="shared" si="262"/>
        <v>659099.08546533179</v>
      </c>
      <c r="H10416" s="389" t="s">
        <v>9567</v>
      </c>
    </row>
    <row r="10417" spans="1:10" x14ac:dyDescent="0.3">
      <c r="A10417" s="45">
        <v>45573</v>
      </c>
      <c r="B10417" s="396" t="s">
        <v>14607</v>
      </c>
      <c r="C10417" s="5" t="s">
        <v>30</v>
      </c>
      <c r="D10417" s="5" t="s">
        <v>14626</v>
      </c>
      <c r="E10417" s="43">
        <v>1000</v>
      </c>
      <c r="F10417" s="43"/>
      <c r="G10417" s="48">
        <f t="shared" si="262"/>
        <v>658099.08546533179</v>
      </c>
      <c r="H10417" s="389" t="s">
        <v>9567</v>
      </c>
    </row>
    <row r="10418" spans="1:10" x14ac:dyDescent="0.3">
      <c r="A10418" s="45">
        <v>45573</v>
      </c>
      <c r="B10418" s="396" t="s">
        <v>25</v>
      </c>
      <c r="C10418" s="5" t="s">
        <v>26</v>
      </c>
      <c r="D10418" s="5" t="s">
        <v>11434</v>
      </c>
      <c r="E10418" s="43">
        <v>5000</v>
      </c>
      <c r="F10418" s="43"/>
      <c r="G10418" s="48">
        <f t="shared" si="262"/>
        <v>653099.08546533179</v>
      </c>
      <c r="H10418" s="389" t="s">
        <v>9567</v>
      </c>
    </row>
    <row r="10419" spans="1:10" x14ac:dyDescent="0.3">
      <c r="A10419" s="45">
        <v>45573</v>
      </c>
      <c r="B10419" s="396" t="s">
        <v>12230</v>
      </c>
      <c r="C10419" s="5" t="s">
        <v>26</v>
      </c>
      <c r="D10419" s="5" t="s">
        <v>14652</v>
      </c>
      <c r="E10419" s="43">
        <f>1500+1200</f>
        <v>2700</v>
      </c>
      <c r="F10419" s="43"/>
      <c r="G10419" s="48">
        <f t="shared" si="262"/>
        <v>650399.08546533179</v>
      </c>
      <c r="H10419" s="389" t="s">
        <v>9567</v>
      </c>
    </row>
    <row r="10420" spans="1:10" x14ac:dyDescent="0.3">
      <c r="A10420" s="45">
        <v>45573</v>
      </c>
      <c r="B10420" s="396" t="s">
        <v>14506</v>
      </c>
      <c r="C10420" s="5" t="s">
        <v>5793</v>
      </c>
      <c r="D10420" s="5" t="s">
        <v>14563</v>
      </c>
      <c r="E10420" s="43">
        <v>2000</v>
      </c>
      <c r="F10420" s="43"/>
      <c r="G10420" s="48">
        <f t="shared" si="262"/>
        <v>648399.08546533179</v>
      </c>
      <c r="H10420" s="389" t="s">
        <v>9567</v>
      </c>
    </row>
    <row r="10421" spans="1:10" x14ac:dyDescent="0.3">
      <c r="A10421" s="45">
        <v>45573</v>
      </c>
      <c r="B10421" s="396" t="s">
        <v>14248</v>
      </c>
      <c r="C10421" s="5" t="s">
        <v>5793</v>
      </c>
      <c r="D10421" s="5" t="s">
        <v>14563</v>
      </c>
      <c r="E10421" s="43">
        <v>2000</v>
      </c>
      <c r="F10421" s="43"/>
      <c r="G10421" s="48">
        <f t="shared" si="262"/>
        <v>646399.08546533179</v>
      </c>
      <c r="H10421" s="389" t="s">
        <v>9567</v>
      </c>
    </row>
    <row r="10422" spans="1:10" x14ac:dyDescent="0.3">
      <c r="A10422" s="45">
        <v>45573</v>
      </c>
      <c r="B10422" s="396" t="s">
        <v>14590</v>
      </c>
      <c r="C10422" s="5" t="s">
        <v>5793</v>
      </c>
      <c r="D10422" s="5" t="s">
        <v>14563</v>
      </c>
      <c r="E10422" s="43">
        <v>1000</v>
      </c>
      <c r="F10422" s="43"/>
      <c r="G10422" s="48">
        <f t="shared" si="262"/>
        <v>645399.08546533179</v>
      </c>
      <c r="H10422" s="389" t="s">
        <v>9567</v>
      </c>
    </row>
    <row r="10423" spans="1:10" x14ac:dyDescent="0.3">
      <c r="A10423" s="45">
        <v>45573</v>
      </c>
      <c r="B10423" s="396" t="s">
        <v>25</v>
      </c>
      <c r="C10423" s="5" t="s">
        <v>26</v>
      </c>
      <c r="D10423" s="5" t="s">
        <v>14651</v>
      </c>
      <c r="E10423" s="43">
        <v>500</v>
      </c>
      <c r="F10423" s="43"/>
      <c r="G10423" s="48">
        <f t="shared" si="262"/>
        <v>644899.08546533179</v>
      </c>
      <c r="H10423" s="389" t="s">
        <v>9567</v>
      </c>
    </row>
    <row r="10424" spans="1:10" x14ac:dyDescent="0.3">
      <c r="A10424" s="45">
        <v>45573</v>
      </c>
      <c r="B10424" s="396" t="s">
        <v>12133</v>
      </c>
      <c r="C10424" s="5" t="s">
        <v>5793</v>
      </c>
      <c r="D10424" s="5" t="s">
        <v>40</v>
      </c>
      <c r="E10424" s="43">
        <v>2000</v>
      </c>
      <c r="F10424" s="43"/>
      <c r="G10424" s="48">
        <f t="shared" si="262"/>
        <v>642899.08546533179</v>
      </c>
      <c r="H10424" s="389" t="s">
        <v>9567</v>
      </c>
    </row>
    <row r="10425" spans="1:10" x14ac:dyDescent="0.3">
      <c r="A10425" s="45">
        <v>45573</v>
      </c>
      <c r="B10425" s="394" t="s">
        <v>12080</v>
      </c>
      <c r="C10425" s="186" t="s">
        <v>54</v>
      </c>
      <c r="D10425" s="186" t="s">
        <v>12746</v>
      </c>
      <c r="E10425" s="187">
        <f>200481+3000</f>
        <v>203481</v>
      </c>
      <c r="F10425" s="43"/>
      <c r="G10425" s="48">
        <f t="shared" si="262"/>
        <v>439418.08546533179</v>
      </c>
      <c r="H10425" s="389" t="s">
        <v>9567</v>
      </c>
    </row>
    <row r="10426" spans="1:10" x14ac:dyDescent="0.3">
      <c r="A10426" s="45">
        <v>45573</v>
      </c>
      <c r="B10426" s="396" t="s">
        <v>12080</v>
      </c>
      <c r="C10426" s="5" t="s">
        <v>26</v>
      </c>
      <c r="D10426" s="5" t="s">
        <v>5915</v>
      </c>
      <c r="E10426" s="43">
        <v>3000</v>
      </c>
      <c r="F10426" s="43"/>
      <c r="G10426" s="48">
        <f t="shared" si="262"/>
        <v>436418.08546533179</v>
      </c>
      <c r="H10426" s="389" t="s">
        <v>9567</v>
      </c>
      <c r="I10426" s="583" t="s">
        <v>12514</v>
      </c>
      <c r="J10426" s="187">
        <v>2937593.7500000005</v>
      </c>
    </row>
    <row r="10427" spans="1:10" x14ac:dyDescent="0.3">
      <c r="A10427" s="45">
        <v>45573</v>
      </c>
      <c r="B10427" s="394" t="s">
        <v>12079</v>
      </c>
      <c r="C10427" s="186" t="s">
        <v>54</v>
      </c>
      <c r="D10427" s="186" t="s">
        <v>6253</v>
      </c>
      <c r="E10427" s="187">
        <v>106831</v>
      </c>
      <c r="F10427" s="43"/>
      <c r="G10427" s="48">
        <f t="shared" si="262"/>
        <v>329587.08546533179</v>
      </c>
      <c r="H10427" s="389" t="s">
        <v>9567</v>
      </c>
      <c r="I10427" s="583" t="s">
        <v>55</v>
      </c>
      <c r="J10427" s="187">
        <f ca="1">SUMIF(C10271:E126357,"salary",E10271:E137368)</f>
        <v>21184476.47215822</v>
      </c>
    </row>
    <row r="10428" spans="1:10" x14ac:dyDescent="0.3">
      <c r="A10428" s="45">
        <v>45573</v>
      </c>
      <c r="B10428" s="396" t="s">
        <v>12079</v>
      </c>
      <c r="C10428" s="5" t="s">
        <v>11174</v>
      </c>
      <c r="D10428" s="5" t="s">
        <v>13267</v>
      </c>
      <c r="E10428" s="43">
        <v>300</v>
      </c>
      <c r="F10428" s="43"/>
      <c r="G10428" s="48">
        <f t="shared" si="262"/>
        <v>329287.08546533179</v>
      </c>
      <c r="H10428" s="389" t="s">
        <v>9567</v>
      </c>
      <c r="I10428" s="583" t="s">
        <v>12233</v>
      </c>
      <c r="J10428" s="187">
        <f ca="1">J10426-J10427</f>
        <v>-18246882.72215822</v>
      </c>
    </row>
    <row r="10429" spans="1:10" x14ac:dyDescent="0.3">
      <c r="A10429" s="45">
        <v>45573</v>
      </c>
      <c r="B10429" s="396" t="s">
        <v>14590</v>
      </c>
      <c r="C10429" s="5" t="s">
        <v>9758</v>
      </c>
      <c r="D10429" s="5" t="s">
        <v>294</v>
      </c>
      <c r="E10429" s="43">
        <v>10000</v>
      </c>
      <c r="F10429" s="43"/>
      <c r="G10429" s="48">
        <f t="shared" si="262"/>
        <v>319287.08546533179</v>
      </c>
      <c r="H10429" s="389" t="s">
        <v>9567</v>
      </c>
      <c r="I10429" s="589"/>
      <c r="J10429" s="590"/>
    </row>
    <row r="10430" spans="1:10" x14ac:dyDescent="0.3">
      <c r="A10430" s="45">
        <v>45573</v>
      </c>
      <c r="B10430" s="394" t="s">
        <v>13138</v>
      </c>
      <c r="C10430" s="186" t="s">
        <v>54</v>
      </c>
      <c r="D10430" s="186" t="s">
        <v>14655</v>
      </c>
      <c r="E10430" s="187">
        <f>96770+55670</f>
        <v>152440</v>
      </c>
      <c r="F10430" s="43"/>
      <c r="G10430" s="48">
        <f t="shared" si="262"/>
        <v>166847.08546533179</v>
      </c>
      <c r="H10430" s="389" t="s">
        <v>9567</v>
      </c>
    </row>
    <row r="10431" spans="1:10" x14ac:dyDescent="0.3">
      <c r="A10431" s="45">
        <v>45573</v>
      </c>
      <c r="B10431" s="394" t="s">
        <v>14590</v>
      </c>
      <c r="C10431" s="186" t="s">
        <v>54</v>
      </c>
      <c r="D10431" s="186" t="s">
        <v>14653</v>
      </c>
      <c r="E10431" s="187">
        <v>151542</v>
      </c>
      <c r="F10431" s="43"/>
      <c r="G10431" s="48">
        <f t="shared" si="262"/>
        <v>15305.085465331795</v>
      </c>
      <c r="H10431" s="389" t="s">
        <v>9567</v>
      </c>
      <c r="J10431" s="52">
        <v>166000</v>
      </c>
    </row>
    <row r="10432" spans="1:10" x14ac:dyDescent="0.3">
      <c r="A10432" s="45">
        <v>45573</v>
      </c>
      <c r="B10432" s="396" t="s">
        <v>12133</v>
      </c>
      <c r="C10432" s="5" t="s">
        <v>11174</v>
      </c>
      <c r="D10432" s="5" t="s">
        <v>14656</v>
      </c>
      <c r="E10432" s="43">
        <v>5000</v>
      </c>
      <c r="F10432" s="43"/>
      <c r="G10432" s="48">
        <f t="shared" si="262"/>
        <v>10305.085465331795</v>
      </c>
      <c r="H10432" s="389" t="s">
        <v>9567</v>
      </c>
      <c r="J10432" s="52">
        <v>130000</v>
      </c>
    </row>
    <row r="10433" spans="1:11" x14ac:dyDescent="0.3">
      <c r="A10433" s="45">
        <v>45574</v>
      </c>
      <c r="B10433" s="565"/>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13188</v>
      </c>
      <c r="C10434" s="186" t="s">
        <v>54</v>
      </c>
      <c r="D10434" s="186" t="s">
        <v>14658</v>
      </c>
      <c r="E10434" s="187">
        <f>21000+10000</f>
        <v>31000</v>
      </c>
      <c r="F10434" s="43"/>
      <c r="G10434" s="48">
        <f t="shared" si="262"/>
        <v>479305.08546533179</v>
      </c>
      <c r="H10434" s="389" t="s">
        <v>9567</v>
      </c>
      <c r="J10434" s="52">
        <v>75000</v>
      </c>
    </row>
    <row r="10435" spans="1:11" x14ac:dyDescent="0.3">
      <c r="A10435" s="45">
        <v>45574</v>
      </c>
      <c r="B10435" s="396" t="s">
        <v>12611</v>
      </c>
      <c r="C10435" s="5" t="s">
        <v>64</v>
      </c>
      <c r="D10435" s="5" t="s">
        <v>14659</v>
      </c>
      <c r="E10435" s="43">
        <v>3800</v>
      </c>
      <c r="F10435" s="43"/>
      <c r="G10435" s="48">
        <f t="shared" si="262"/>
        <v>475505.08546533179</v>
      </c>
      <c r="H10435" s="389" t="s">
        <v>9567</v>
      </c>
      <c r="J10435" s="52">
        <f>SUM(J10431:J10434)</f>
        <v>371000</v>
      </c>
    </row>
    <row r="10436" spans="1:11" x14ac:dyDescent="0.3">
      <c r="A10436" s="45">
        <v>45574</v>
      </c>
      <c r="B10436" s="396" t="s">
        <v>14506</v>
      </c>
      <c r="C10436" s="5" t="s">
        <v>5288</v>
      </c>
      <c r="D10436" s="5" t="s">
        <v>14660</v>
      </c>
      <c r="E10436" s="43">
        <v>8000</v>
      </c>
      <c r="F10436" s="43"/>
      <c r="G10436" s="48">
        <f t="shared" si="262"/>
        <v>467505.08546533179</v>
      </c>
      <c r="H10436" s="389" t="s">
        <v>9567</v>
      </c>
    </row>
    <row r="10437" spans="1:11" x14ac:dyDescent="0.3">
      <c r="A10437" s="45">
        <v>45574</v>
      </c>
      <c r="B10437" s="394" t="s">
        <v>13379</v>
      </c>
      <c r="C10437" s="186" t="s">
        <v>54</v>
      </c>
      <c r="D10437" s="186" t="s">
        <v>14375</v>
      </c>
      <c r="E10437" s="187">
        <v>40000</v>
      </c>
      <c r="F10437" s="43"/>
      <c r="G10437" s="48">
        <f t="shared" si="262"/>
        <v>427505.08546533179</v>
      </c>
      <c r="H10437" s="389" t="s">
        <v>9567</v>
      </c>
    </row>
    <row r="10438" spans="1:11" x14ac:dyDescent="0.3">
      <c r="A10438" s="45">
        <v>45574</v>
      </c>
      <c r="B10438" s="396" t="s">
        <v>25</v>
      </c>
      <c r="C10438" s="5" t="s">
        <v>25</v>
      </c>
      <c r="D10438" s="5" t="s">
        <v>11434</v>
      </c>
      <c r="E10438" s="43">
        <v>4000</v>
      </c>
      <c r="F10438" s="43"/>
      <c r="G10438" s="48">
        <f t="shared" si="262"/>
        <v>423505.08546533179</v>
      </c>
      <c r="H10438" s="389" t="s">
        <v>9567</v>
      </c>
    </row>
    <row r="10439" spans="1:11" x14ac:dyDescent="0.3">
      <c r="A10439" s="45">
        <v>45574</v>
      </c>
      <c r="B10439" s="396" t="s">
        <v>14441</v>
      </c>
      <c r="C10439" s="5" t="s">
        <v>5793</v>
      </c>
      <c r="D10439" s="5" t="s">
        <v>14661</v>
      </c>
      <c r="E10439" s="43">
        <v>500</v>
      </c>
      <c r="F10439" s="43"/>
      <c r="G10439" s="48">
        <f t="shared" si="262"/>
        <v>423005.08546533179</v>
      </c>
      <c r="H10439" s="389" t="s">
        <v>9567</v>
      </c>
    </row>
    <row r="10440" spans="1:11" x14ac:dyDescent="0.3">
      <c r="A10440" s="45">
        <v>45574</v>
      </c>
      <c r="B10440" s="396" t="s">
        <v>13188</v>
      </c>
      <c r="C10440" s="5" t="s">
        <v>11174</v>
      </c>
      <c r="D10440" s="5" t="s">
        <v>14662</v>
      </c>
      <c r="E10440" s="43">
        <v>350</v>
      </c>
      <c r="F10440" s="43"/>
      <c r="G10440" s="48">
        <f t="shared" si="262"/>
        <v>422655.08546533179</v>
      </c>
      <c r="H10440" s="389" t="s">
        <v>9567</v>
      </c>
    </row>
    <row r="10441" spans="1:11" x14ac:dyDescent="0.3">
      <c r="A10441" s="45">
        <v>45574</v>
      </c>
      <c r="B10441" s="396" t="s">
        <v>13188</v>
      </c>
      <c r="C10441" s="5" t="s">
        <v>14463</v>
      </c>
      <c r="D10441" s="5" t="s">
        <v>14663</v>
      </c>
      <c r="E10441" s="43">
        <v>25000</v>
      </c>
      <c r="F10441" s="43"/>
      <c r="G10441" s="48">
        <f t="shared" si="262"/>
        <v>397655.08546533179</v>
      </c>
      <c r="H10441" s="389" t="s">
        <v>9567</v>
      </c>
    </row>
    <row r="10442" spans="1:11" x14ac:dyDescent="0.3">
      <c r="A10442" s="45">
        <v>45574</v>
      </c>
      <c r="B10442" s="396" t="s">
        <v>13833</v>
      </c>
      <c r="C10442" s="5" t="s">
        <v>11174</v>
      </c>
      <c r="D10442" s="5" t="s">
        <v>14664</v>
      </c>
      <c r="E10442" s="43">
        <v>3000</v>
      </c>
      <c r="F10442" s="43"/>
      <c r="G10442" s="48">
        <f t="shared" si="262"/>
        <v>394655.08546533179</v>
      </c>
      <c r="H10442" s="389" t="s">
        <v>9567</v>
      </c>
    </row>
    <row r="10443" spans="1:11" x14ac:dyDescent="0.3">
      <c r="A10443" s="45">
        <v>45574</v>
      </c>
      <c r="B10443" s="396" t="s">
        <v>14441</v>
      </c>
      <c r="C10443" s="5" t="s">
        <v>5793</v>
      </c>
      <c r="D10443" s="5" t="s">
        <v>14563</v>
      </c>
      <c r="E10443" s="43">
        <v>1900</v>
      </c>
      <c r="F10443" s="43"/>
      <c r="G10443" s="48">
        <f t="shared" si="262"/>
        <v>392755.08546533179</v>
      </c>
      <c r="H10443" s="389" t="s">
        <v>9567</v>
      </c>
    </row>
    <row r="10444" spans="1:11" x14ac:dyDescent="0.3">
      <c r="A10444" s="45">
        <v>45574</v>
      </c>
      <c r="B10444" s="396" t="s">
        <v>14590</v>
      </c>
      <c r="C10444" s="5" t="s">
        <v>4550</v>
      </c>
      <c r="D10444" s="5" t="s">
        <v>14666</v>
      </c>
      <c r="E10444" s="43">
        <v>50000</v>
      </c>
      <c r="F10444" s="43"/>
      <c r="G10444" s="48">
        <f t="shared" ref="G10444:G10455" si="263">G10443+F10444-E10444</f>
        <v>342755.08546533179</v>
      </c>
      <c r="H10444" s="389" t="s">
        <v>9567</v>
      </c>
    </row>
    <row r="10445" spans="1:11" x14ac:dyDescent="0.3">
      <c r="A10445" s="45">
        <v>45574</v>
      </c>
      <c r="B10445" s="396" t="s">
        <v>12133</v>
      </c>
      <c r="C10445" s="5" t="s">
        <v>5162</v>
      </c>
      <c r="D10445" s="5" t="s">
        <v>14667</v>
      </c>
      <c r="E10445" s="43">
        <v>15000</v>
      </c>
      <c r="F10445" s="43"/>
      <c r="G10445" s="48">
        <f t="shared" si="263"/>
        <v>327755.08546533179</v>
      </c>
      <c r="H10445" s="389" t="s">
        <v>9567</v>
      </c>
    </row>
    <row r="10446" spans="1:11" x14ac:dyDescent="0.3">
      <c r="A10446" s="45">
        <v>45574</v>
      </c>
      <c r="B10446" s="394" t="s">
        <v>13981</v>
      </c>
      <c r="C10446" s="186" t="s">
        <v>54</v>
      </c>
      <c r="D10446" s="186" t="s">
        <v>11384</v>
      </c>
      <c r="E10446" s="187">
        <v>80750</v>
      </c>
      <c r="F10446" s="43"/>
      <c r="G10446" s="48">
        <f t="shared" si="263"/>
        <v>247005.08546533179</v>
      </c>
      <c r="H10446" s="389" t="s">
        <v>9567</v>
      </c>
    </row>
    <row r="10447" spans="1:11" x14ac:dyDescent="0.3">
      <c r="A10447" s="45">
        <v>45574</v>
      </c>
      <c r="B10447" s="394" t="s">
        <v>12133</v>
      </c>
      <c r="C10447" s="186" t="s">
        <v>54</v>
      </c>
      <c r="D10447" s="186" t="s">
        <v>14668</v>
      </c>
      <c r="E10447" s="187">
        <v>35000</v>
      </c>
      <c r="F10447" s="43"/>
      <c r="G10447" s="48">
        <f t="shared" si="263"/>
        <v>212005.08546533179</v>
      </c>
      <c r="H10447" s="389" t="s">
        <v>9567</v>
      </c>
    </row>
    <row r="10448" spans="1:11" x14ac:dyDescent="0.3">
      <c r="A10448" s="45">
        <v>45574</v>
      </c>
      <c r="B10448" s="396" t="s">
        <v>13379</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14669</v>
      </c>
      <c r="E10449" s="43">
        <v>700</v>
      </c>
      <c r="F10449" s="43"/>
      <c r="G10449" s="48">
        <f t="shared" si="263"/>
        <v>210905.08546533179</v>
      </c>
      <c r="H10449" s="389" t="s">
        <v>9567</v>
      </c>
    </row>
    <row r="10450" spans="1:10" x14ac:dyDescent="0.3">
      <c r="A10450" s="45">
        <v>45575</v>
      </c>
      <c r="B10450" s="396" t="s">
        <v>12133</v>
      </c>
      <c r="C10450" s="5" t="s">
        <v>10695</v>
      </c>
      <c r="D10450" s="5" t="s">
        <v>294</v>
      </c>
      <c r="E10450" s="43">
        <v>30000</v>
      </c>
      <c r="F10450" s="43"/>
      <c r="G10450" s="48">
        <f t="shared" si="263"/>
        <v>180905.08546533179</v>
      </c>
      <c r="H10450" s="389" t="s">
        <v>9567</v>
      </c>
    </row>
    <row r="10451" spans="1:10" x14ac:dyDescent="0.3">
      <c r="A10451" s="45">
        <v>45575</v>
      </c>
      <c r="B10451" s="394" t="s">
        <v>13833</v>
      </c>
      <c r="C10451" s="186" t="s">
        <v>54</v>
      </c>
      <c r="D10451" s="186" t="s">
        <v>14671</v>
      </c>
      <c r="E10451" s="187">
        <v>15000</v>
      </c>
      <c r="F10451" s="43"/>
      <c r="G10451" s="48">
        <f t="shared" si="263"/>
        <v>165905.08546533179</v>
      </c>
      <c r="H10451" s="389" t="s">
        <v>9567</v>
      </c>
    </row>
    <row r="10452" spans="1:10" x14ac:dyDescent="0.3">
      <c r="A10452" s="45">
        <v>45575</v>
      </c>
      <c r="B10452" s="396" t="s">
        <v>14441</v>
      </c>
      <c r="C10452" s="5" t="s">
        <v>5793</v>
      </c>
      <c r="D10452" s="5" t="s">
        <v>14675</v>
      </c>
      <c r="E10452" s="43">
        <v>3500</v>
      </c>
      <c r="F10452" s="43"/>
      <c r="G10452" s="48">
        <f t="shared" si="263"/>
        <v>162405.08546533179</v>
      </c>
      <c r="H10452" s="389" t="s">
        <v>9567</v>
      </c>
    </row>
    <row r="10453" spans="1:10" x14ac:dyDescent="0.3">
      <c r="A10453" s="45">
        <v>45575</v>
      </c>
      <c r="B10453" s="396" t="s">
        <v>13833</v>
      </c>
      <c r="C10453" s="5" t="s">
        <v>11174</v>
      </c>
      <c r="D10453" s="5" t="s">
        <v>14676</v>
      </c>
      <c r="E10453" s="43">
        <v>500</v>
      </c>
      <c r="F10453" s="43"/>
      <c r="G10453" s="48">
        <f t="shared" si="263"/>
        <v>161905.08546533179</v>
      </c>
      <c r="H10453" s="389" t="s">
        <v>9567</v>
      </c>
    </row>
    <row r="10454" spans="1:10" x14ac:dyDescent="0.3">
      <c r="A10454" s="45">
        <v>45575</v>
      </c>
      <c r="B10454" s="396" t="s">
        <v>14441</v>
      </c>
      <c r="C10454" s="5" t="s">
        <v>5793</v>
      </c>
      <c r="D10454" s="5" t="s">
        <v>14677</v>
      </c>
      <c r="E10454" s="43">
        <v>2460</v>
      </c>
      <c r="F10454" s="43"/>
      <c r="G10454" s="48">
        <f t="shared" si="263"/>
        <v>159445.08546533179</v>
      </c>
      <c r="H10454" s="389" t="s">
        <v>9567</v>
      </c>
    </row>
    <row r="10455" spans="1:10" x14ac:dyDescent="0.3">
      <c r="A10455" s="45">
        <v>45575</v>
      </c>
      <c r="B10455" s="396" t="s">
        <v>14685</v>
      </c>
      <c r="C10455" s="5" t="s">
        <v>11174</v>
      </c>
      <c r="D10455" s="5" t="s">
        <v>14678</v>
      </c>
      <c r="E10455" s="43">
        <v>6400</v>
      </c>
      <c r="F10455" s="43"/>
      <c r="G10455" s="48">
        <f t="shared" si="263"/>
        <v>153045.08546533179</v>
      </c>
      <c r="H10455" s="389" t="s">
        <v>9567</v>
      </c>
    </row>
    <row r="10456" spans="1:10" x14ac:dyDescent="0.3">
      <c r="A10456" s="45">
        <v>45575</v>
      </c>
      <c r="B10456" s="396" t="s">
        <v>13379</v>
      </c>
      <c r="C10456" s="5" t="s">
        <v>26</v>
      </c>
      <c r="D10456" s="5" t="s">
        <v>14679</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14626</v>
      </c>
      <c r="E10457" s="43">
        <v>3000</v>
      </c>
      <c r="F10457" s="43"/>
      <c r="G10457" s="48">
        <f t="shared" si="264"/>
        <v>149445.08546533179</v>
      </c>
      <c r="H10457" s="389" t="s">
        <v>9567</v>
      </c>
    </row>
    <row r="10458" spans="1:10" x14ac:dyDescent="0.3">
      <c r="A10458" s="45">
        <v>45576</v>
      </c>
      <c r="B10458" s="396" t="s">
        <v>14590</v>
      </c>
      <c r="C10458" s="5" t="s">
        <v>5793</v>
      </c>
      <c r="D10458" s="5" t="s">
        <v>14680</v>
      </c>
      <c r="E10458" s="43">
        <v>500</v>
      </c>
      <c r="F10458" s="43"/>
      <c r="G10458" s="48">
        <f t="shared" si="264"/>
        <v>148945.08546533179</v>
      </c>
      <c r="H10458" s="389" t="s">
        <v>9567</v>
      </c>
      <c r="J10458" s="52">
        <v>10000</v>
      </c>
    </row>
    <row r="10459" spans="1:10" x14ac:dyDescent="0.3">
      <c r="A10459" s="45">
        <v>45576</v>
      </c>
      <c r="B10459" s="396" t="s">
        <v>14590</v>
      </c>
      <c r="C10459" s="5" t="s">
        <v>5793</v>
      </c>
      <c r="D10459" s="5" t="s">
        <v>14681</v>
      </c>
      <c r="E10459" s="43">
        <v>500</v>
      </c>
      <c r="F10459" s="43"/>
      <c r="G10459" s="48">
        <f t="shared" si="264"/>
        <v>148445.08546533179</v>
      </c>
      <c r="H10459" s="389" t="s">
        <v>9567</v>
      </c>
      <c r="J10459" s="52">
        <v>8460</v>
      </c>
    </row>
    <row r="10460" spans="1:10" x14ac:dyDescent="0.3">
      <c r="A10460" s="45">
        <v>45576</v>
      </c>
      <c r="B10460" s="396" t="s">
        <v>25</v>
      </c>
      <c r="C10460" s="5" t="s">
        <v>25</v>
      </c>
      <c r="D10460" s="5" t="s">
        <v>11434</v>
      </c>
      <c r="E10460" s="43">
        <v>3500</v>
      </c>
      <c r="F10460" s="43"/>
      <c r="G10460" s="48">
        <f t="shared" si="264"/>
        <v>144945.08546533179</v>
      </c>
      <c r="H10460" s="389" t="s">
        <v>9567</v>
      </c>
      <c r="J10460" s="52">
        <f>J10458-J10459</f>
        <v>1540</v>
      </c>
    </row>
    <row r="10461" spans="1:10" x14ac:dyDescent="0.3">
      <c r="A10461" s="45">
        <v>45576</v>
      </c>
      <c r="B10461" s="396" t="s">
        <v>14590</v>
      </c>
      <c r="C10461" s="5" t="s">
        <v>11174</v>
      </c>
      <c r="D10461" s="5" t="s">
        <v>14682</v>
      </c>
      <c r="E10461" s="43">
        <v>1200</v>
      </c>
      <c r="F10461" s="43"/>
      <c r="G10461" s="48">
        <f t="shared" si="264"/>
        <v>143745.08546533179</v>
      </c>
      <c r="H10461" s="389" t="s">
        <v>9567</v>
      </c>
    </row>
    <row r="10462" spans="1:10" x14ac:dyDescent="0.3">
      <c r="A10462" s="45">
        <v>45576</v>
      </c>
      <c r="B10462" s="396" t="s">
        <v>14590</v>
      </c>
      <c r="C10462" s="5" t="s">
        <v>5793</v>
      </c>
      <c r="D10462" s="5" t="s">
        <v>40</v>
      </c>
      <c r="E10462" s="43">
        <v>500</v>
      </c>
      <c r="F10462" s="43"/>
      <c r="G10462" s="48">
        <f t="shared" si="264"/>
        <v>143245.08546533179</v>
      </c>
      <c r="H10462" s="389" t="s">
        <v>9567</v>
      </c>
    </row>
    <row r="10463" spans="1:10" x14ac:dyDescent="0.3">
      <c r="A10463" s="45">
        <v>45576</v>
      </c>
      <c r="B10463" s="396" t="s">
        <v>14685</v>
      </c>
      <c r="C10463" s="5" t="s">
        <v>11174</v>
      </c>
      <c r="D10463" s="5" t="s">
        <v>13685</v>
      </c>
      <c r="E10463" s="43">
        <v>8200</v>
      </c>
      <c r="F10463" s="43"/>
      <c r="G10463" s="48">
        <f t="shared" si="264"/>
        <v>135045.08546533179</v>
      </c>
      <c r="H10463" s="389" t="s">
        <v>9567</v>
      </c>
    </row>
    <row r="10464" spans="1:10" x14ac:dyDescent="0.3">
      <c r="A10464" s="45">
        <v>45576</v>
      </c>
      <c r="B10464" s="396" t="s">
        <v>14685</v>
      </c>
      <c r="C10464" s="5" t="s">
        <v>5793</v>
      </c>
      <c r="D10464" s="5" t="s">
        <v>40</v>
      </c>
      <c r="E10464" s="43">
        <v>2500</v>
      </c>
      <c r="F10464" s="43"/>
      <c r="G10464" s="48">
        <f t="shared" si="264"/>
        <v>132545.08546533179</v>
      </c>
      <c r="H10464" s="389" t="s">
        <v>9567</v>
      </c>
    </row>
    <row r="10465" spans="1:9" x14ac:dyDescent="0.3">
      <c r="A10465" s="45">
        <v>45576</v>
      </c>
      <c r="B10465" s="396" t="s">
        <v>12611</v>
      </c>
      <c r="C10465" s="5" t="s">
        <v>13050</v>
      </c>
      <c r="D10465" s="5" t="s">
        <v>14683</v>
      </c>
      <c r="E10465" s="43">
        <v>10000</v>
      </c>
      <c r="F10465" s="43"/>
      <c r="G10465" s="48">
        <f t="shared" si="264"/>
        <v>122545.08546533179</v>
      </c>
      <c r="H10465" s="389" t="s">
        <v>9567</v>
      </c>
    </row>
    <row r="10466" spans="1:9" x14ac:dyDescent="0.3">
      <c r="A10466" s="45">
        <v>45576</v>
      </c>
      <c r="B10466" s="396" t="s">
        <v>13379</v>
      </c>
      <c r="C10466" s="5" t="s">
        <v>5288</v>
      </c>
      <c r="D10466" s="5" t="s">
        <v>294</v>
      </c>
      <c r="E10466" s="43">
        <v>50000</v>
      </c>
      <c r="F10466" s="43"/>
      <c r="G10466" s="48">
        <f t="shared" si="264"/>
        <v>72545.085465331795</v>
      </c>
      <c r="H10466" s="389" t="s">
        <v>9567</v>
      </c>
    </row>
    <row r="10467" spans="1:9" x14ac:dyDescent="0.3">
      <c r="A10467" s="45">
        <v>45576</v>
      </c>
      <c r="B10467" s="396" t="s">
        <v>14685</v>
      </c>
      <c r="C10467" s="5" t="s">
        <v>14686</v>
      </c>
      <c r="D10467" s="5" t="s">
        <v>14687</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12133</v>
      </c>
      <c r="C10469" s="5" t="s">
        <v>11174</v>
      </c>
      <c r="D10469" s="5" t="s">
        <v>14688</v>
      </c>
      <c r="E10469" s="43">
        <v>37000</v>
      </c>
      <c r="F10469" s="43"/>
      <c r="G10469" s="48">
        <f t="shared" si="264"/>
        <v>6545.0854653317947</v>
      </c>
      <c r="H10469" s="389" t="s">
        <v>9567</v>
      </c>
    </row>
    <row r="10470" spans="1:9" x14ac:dyDescent="0.3">
      <c r="A10470" s="45">
        <v>45577</v>
      </c>
      <c r="B10470" s="396" t="s">
        <v>12133</v>
      </c>
      <c r="C10470" s="5" t="s">
        <v>30</v>
      </c>
      <c r="D10470" s="5" t="s">
        <v>14626</v>
      </c>
      <c r="E10470" s="43">
        <v>1500</v>
      </c>
      <c r="F10470" s="43"/>
      <c r="G10470" s="48">
        <f t="shared" si="264"/>
        <v>5045.0854653317947</v>
      </c>
      <c r="H10470" s="389" t="s">
        <v>9567</v>
      </c>
    </row>
    <row r="10471" spans="1:9" x14ac:dyDescent="0.3">
      <c r="A10471" s="45">
        <v>45577</v>
      </c>
      <c r="B10471" s="396" t="s">
        <v>13188</v>
      </c>
      <c r="C10471" s="5" t="s">
        <v>5793</v>
      </c>
      <c r="D10471" s="5" t="s">
        <v>40</v>
      </c>
      <c r="E10471" s="43">
        <v>1300</v>
      </c>
      <c r="F10471" s="43"/>
      <c r="G10471" s="48">
        <f t="shared" si="264"/>
        <v>3745.0854653317947</v>
      </c>
      <c r="H10471" s="389" t="s">
        <v>9567</v>
      </c>
    </row>
    <row r="10472" spans="1:9" x14ac:dyDescent="0.3">
      <c r="A10472" s="45">
        <v>45579</v>
      </c>
      <c r="B10472" s="396" t="s">
        <v>12611</v>
      </c>
      <c r="C10472" s="5" t="s">
        <v>5793</v>
      </c>
      <c r="D10472" s="5" t="s">
        <v>14690</v>
      </c>
      <c r="E10472" s="43">
        <v>300</v>
      </c>
      <c r="F10472" s="43"/>
      <c r="G10472" s="48">
        <f t="shared" si="264"/>
        <v>3445.0854653317947</v>
      </c>
      <c r="H10472" s="389" t="s">
        <v>9567</v>
      </c>
    </row>
    <row r="10473" spans="1:9" x14ac:dyDescent="0.3">
      <c r="A10473" s="45">
        <v>45579</v>
      </c>
      <c r="B10473" s="396" t="s">
        <v>12133</v>
      </c>
      <c r="C10473" s="5" t="s">
        <v>5793</v>
      </c>
      <c r="D10473" s="5" t="s">
        <v>40</v>
      </c>
      <c r="E10473" s="43">
        <v>3000</v>
      </c>
      <c r="F10473" s="43"/>
      <c r="G10473" s="48">
        <f t="shared" si="264"/>
        <v>445.08546533179469</v>
      </c>
      <c r="H10473" s="389" t="s">
        <v>9567</v>
      </c>
    </row>
    <row r="10474" spans="1:9" x14ac:dyDescent="0.3">
      <c r="A10474" s="45">
        <v>45579</v>
      </c>
      <c r="B10474" s="565"/>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13981</v>
      </c>
      <c r="C10475" s="5" t="s">
        <v>11174</v>
      </c>
      <c r="D10475" s="5" t="s">
        <v>14691</v>
      </c>
      <c r="E10475" s="43">
        <v>500</v>
      </c>
      <c r="F10475" s="43"/>
      <c r="G10475" s="48">
        <f t="shared" si="264"/>
        <v>149945.08546533179</v>
      </c>
      <c r="H10475" s="389" t="s">
        <v>9567</v>
      </c>
      <c r="I10475" s="52">
        <v>2100000</v>
      </c>
    </row>
    <row r="10476" spans="1:9" x14ac:dyDescent="0.3">
      <c r="A10476" s="45">
        <v>45579</v>
      </c>
      <c r="B10476" s="396" t="s">
        <v>13946</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14695</v>
      </c>
      <c r="E10477" s="43">
        <v>10000</v>
      </c>
      <c r="F10477" s="43"/>
      <c r="G10477" s="48">
        <f t="shared" si="264"/>
        <v>119945.08546533179</v>
      </c>
      <c r="H10477" s="389" t="s">
        <v>9567</v>
      </c>
    </row>
    <row r="10478" spans="1:9" x14ac:dyDescent="0.3">
      <c r="A10478" s="45">
        <v>45579</v>
      </c>
      <c r="B10478" s="396" t="s">
        <v>12055</v>
      </c>
      <c r="C10478" s="5" t="s">
        <v>30</v>
      </c>
      <c r="D10478" s="5" t="s">
        <v>14692</v>
      </c>
      <c r="E10478" s="43">
        <v>500</v>
      </c>
      <c r="F10478" s="43"/>
      <c r="G10478" s="48">
        <f t="shared" si="264"/>
        <v>119445.08546533179</v>
      </c>
      <c r="H10478" s="389" t="s">
        <v>9567</v>
      </c>
    </row>
    <row r="10479" spans="1:9" x14ac:dyDescent="0.3">
      <c r="A10479" s="45">
        <v>45579</v>
      </c>
      <c r="B10479" s="396" t="s">
        <v>12055</v>
      </c>
      <c r="C10479" s="5" t="s">
        <v>26</v>
      </c>
      <c r="D10479" s="5" t="s">
        <v>14693</v>
      </c>
      <c r="E10479" s="43">
        <v>1000</v>
      </c>
      <c r="F10479" s="43"/>
      <c r="G10479" s="48">
        <f t="shared" si="264"/>
        <v>118445.08546533179</v>
      </c>
      <c r="H10479" s="389" t="s">
        <v>9567</v>
      </c>
    </row>
    <row r="10480" spans="1:9" x14ac:dyDescent="0.3">
      <c r="A10480" s="45">
        <v>45579</v>
      </c>
      <c r="B10480" s="396" t="s">
        <v>12133</v>
      </c>
      <c r="C10480" s="5" t="s">
        <v>30</v>
      </c>
      <c r="D10480" s="5" t="s">
        <v>14225</v>
      </c>
      <c r="E10480" s="43">
        <v>1000</v>
      </c>
      <c r="F10480" s="43"/>
      <c r="G10480" s="48">
        <f t="shared" si="264"/>
        <v>117445.08546533179</v>
      </c>
      <c r="H10480" s="389" t="s">
        <v>9567</v>
      </c>
    </row>
    <row r="10481" spans="1:11" x14ac:dyDescent="0.3">
      <c r="A10481" s="45">
        <v>45579</v>
      </c>
      <c r="B10481" s="394" t="s">
        <v>12133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11434</v>
      </c>
      <c r="E10482" s="43">
        <v>3000</v>
      </c>
      <c r="F10482" s="43"/>
      <c r="G10482" s="48">
        <f t="shared" si="264"/>
        <v>66945.085465331795</v>
      </c>
      <c r="H10482" s="389" t="s">
        <v>9567</v>
      </c>
    </row>
    <row r="10483" spans="1:11" x14ac:dyDescent="0.3">
      <c r="A10483" s="45">
        <v>45579</v>
      </c>
      <c r="B10483" s="396" t="s">
        <v>14524</v>
      </c>
      <c r="C10483" s="5" t="s">
        <v>5793</v>
      </c>
      <c r="D10483" s="5" t="s">
        <v>14563</v>
      </c>
      <c r="E10483" s="43">
        <v>500</v>
      </c>
      <c r="F10483" s="43"/>
      <c r="G10483" s="48">
        <f t="shared" si="264"/>
        <v>66445.085465331795</v>
      </c>
      <c r="H10483" s="389" t="s">
        <v>9567</v>
      </c>
    </row>
    <row r="10484" spans="1:11" x14ac:dyDescent="0.3">
      <c r="A10484" s="45">
        <v>45579</v>
      </c>
      <c r="B10484" s="396" t="s">
        <v>13379</v>
      </c>
      <c r="C10484" s="5" t="s">
        <v>5793</v>
      </c>
      <c r="D10484" s="5" t="s">
        <v>14563</v>
      </c>
      <c r="E10484" s="43">
        <v>500</v>
      </c>
      <c r="F10484" s="43"/>
      <c r="G10484" s="48">
        <f t="shared" si="264"/>
        <v>65945.085465331795</v>
      </c>
      <c r="H10484" s="389" t="s">
        <v>9567</v>
      </c>
    </row>
    <row r="10485" spans="1:11" x14ac:dyDescent="0.3">
      <c r="A10485" s="45">
        <v>45580</v>
      </c>
      <c r="B10485" s="396" t="s">
        <v>14607</v>
      </c>
      <c r="C10485" s="5" t="s">
        <v>3220</v>
      </c>
      <c r="D10485" s="5" t="s">
        <v>294</v>
      </c>
      <c r="E10485" s="43">
        <v>10000</v>
      </c>
      <c r="F10485" s="43"/>
      <c r="G10485" s="48">
        <f t="shared" si="264"/>
        <v>55945.085465331795</v>
      </c>
      <c r="H10485" s="389" t="s">
        <v>9567</v>
      </c>
    </row>
    <row r="10486" spans="1:11" x14ac:dyDescent="0.3">
      <c r="A10486" s="45">
        <v>45580</v>
      </c>
      <c r="B10486" s="396" t="s">
        <v>13833</v>
      </c>
      <c r="C10486" s="5" t="s">
        <v>30</v>
      </c>
      <c r="D10486" s="5" t="s">
        <v>14626</v>
      </c>
      <c r="E10486" s="43">
        <v>1500</v>
      </c>
      <c r="F10486" s="43"/>
      <c r="G10486" s="48">
        <f t="shared" si="264"/>
        <v>54445.085465331795</v>
      </c>
      <c r="H10486" s="389" t="s">
        <v>9567</v>
      </c>
    </row>
    <row r="10487" spans="1:11" x14ac:dyDescent="0.3">
      <c r="A10487" s="45">
        <v>45580</v>
      </c>
      <c r="B10487" s="396" t="s">
        <v>14685</v>
      </c>
      <c r="C10487" s="5" t="s">
        <v>9758</v>
      </c>
      <c r="D10487" s="5" t="s">
        <v>14699</v>
      </c>
      <c r="E10487" s="43">
        <v>10000</v>
      </c>
      <c r="F10487" s="43"/>
      <c r="G10487" s="48">
        <f t="shared" si="264"/>
        <v>44445.085465331795</v>
      </c>
      <c r="H10487" s="389" t="s">
        <v>9567</v>
      </c>
    </row>
    <row r="10488" spans="1:11" x14ac:dyDescent="0.3">
      <c r="A10488" s="45">
        <v>45580</v>
      </c>
      <c r="B10488" s="396" t="s">
        <v>14701</v>
      </c>
      <c r="C10488" s="5" t="s">
        <v>9758</v>
      </c>
      <c r="D10488" s="5" t="s">
        <v>14699</v>
      </c>
      <c r="E10488" s="43">
        <v>10000</v>
      </c>
      <c r="F10488" s="43"/>
      <c r="G10488" s="48">
        <f t="shared" si="264"/>
        <v>34445.085465331795</v>
      </c>
      <c r="H10488" s="389" t="s">
        <v>9567</v>
      </c>
    </row>
    <row r="10489" spans="1:11" x14ac:dyDescent="0.3">
      <c r="A10489" s="45">
        <v>45580</v>
      </c>
      <c r="B10489" s="396" t="s">
        <v>13379</v>
      </c>
      <c r="C10489" s="5" t="s">
        <v>5793</v>
      </c>
      <c r="D10489" s="5" t="s">
        <v>14078</v>
      </c>
      <c r="E10489" s="43">
        <v>700</v>
      </c>
      <c r="F10489" s="43"/>
      <c r="G10489" s="48">
        <f t="shared" si="264"/>
        <v>33745.085465331795</v>
      </c>
      <c r="H10489" s="389" t="s">
        <v>9567</v>
      </c>
    </row>
    <row r="10490" spans="1:11" x14ac:dyDescent="0.3">
      <c r="A10490" s="45">
        <v>45580</v>
      </c>
      <c r="B10490" s="396" t="s">
        <v>25</v>
      </c>
      <c r="C10490" s="5" t="s">
        <v>25</v>
      </c>
      <c r="D10490" s="5" t="s">
        <v>11434</v>
      </c>
      <c r="E10490" s="43">
        <v>3500</v>
      </c>
      <c r="F10490" s="43"/>
      <c r="G10490" s="48">
        <f t="shared" si="264"/>
        <v>30245.085465331795</v>
      </c>
      <c r="H10490" s="389" t="s">
        <v>9567</v>
      </c>
    </row>
    <row r="10491" spans="1:11" x14ac:dyDescent="0.3">
      <c r="A10491" s="45">
        <v>45580</v>
      </c>
      <c r="B10491" s="396" t="s">
        <v>13379</v>
      </c>
      <c r="C10491" s="5" t="s">
        <v>11174</v>
      </c>
      <c r="D10491" s="5" t="s">
        <v>14402</v>
      </c>
      <c r="E10491" s="43">
        <v>6070</v>
      </c>
      <c r="F10491" s="43"/>
      <c r="G10491" s="48">
        <f t="shared" si="264"/>
        <v>24175.085465331795</v>
      </c>
      <c r="H10491" s="389" t="s">
        <v>9567</v>
      </c>
    </row>
    <row r="10492" spans="1:11" x14ac:dyDescent="0.3">
      <c r="A10492" s="45">
        <v>45580</v>
      </c>
      <c r="B10492" s="396" t="s">
        <v>13833</v>
      </c>
      <c r="C10492" s="5" t="s">
        <v>11174</v>
      </c>
      <c r="D10492" s="5" t="s">
        <v>14402</v>
      </c>
      <c r="E10492" s="43">
        <v>5170</v>
      </c>
      <c r="F10492" s="43"/>
      <c r="G10492" s="48">
        <f t="shared" si="264"/>
        <v>19005.085465331795</v>
      </c>
      <c r="H10492" s="389" t="s">
        <v>9567</v>
      </c>
      <c r="I10492" s="52">
        <f>E10493+E10492+E10491</f>
        <v>15740</v>
      </c>
    </row>
    <row r="10493" spans="1:11" x14ac:dyDescent="0.3">
      <c r="A10493" s="45">
        <v>45580</v>
      </c>
      <c r="B10493" s="396" t="s">
        <v>13379</v>
      </c>
      <c r="C10493" s="5" t="s">
        <v>11174</v>
      </c>
      <c r="D10493" s="5" t="s">
        <v>14697</v>
      </c>
      <c r="E10493" s="43">
        <v>4500</v>
      </c>
      <c r="F10493" s="43"/>
      <c r="G10493" s="48">
        <f t="shared" si="264"/>
        <v>14505.085465331795</v>
      </c>
      <c r="H10493" s="389" t="s">
        <v>9567</v>
      </c>
      <c r="J10493" s="52">
        <v>14375000</v>
      </c>
      <c r="K10493" s="52">
        <v>1875000</v>
      </c>
    </row>
    <row r="10494" spans="1:11" x14ac:dyDescent="0.3">
      <c r="A10494" s="45">
        <v>45580</v>
      </c>
      <c r="B10494" s="396" t="s">
        <v>14685</v>
      </c>
      <c r="C10494" s="5" t="s">
        <v>5793</v>
      </c>
      <c r="D10494" s="5" t="s">
        <v>14563</v>
      </c>
      <c r="E10494" s="43">
        <v>1300</v>
      </c>
      <c r="F10494" s="43"/>
      <c r="G10494" s="48">
        <f t="shared" si="264"/>
        <v>13205.085465331795</v>
      </c>
      <c r="H10494" s="389" t="s">
        <v>9567</v>
      </c>
    </row>
    <row r="10495" spans="1:11" x14ac:dyDescent="0.3">
      <c r="A10495" s="45">
        <v>45580</v>
      </c>
      <c r="B10495" s="396" t="s">
        <v>13902</v>
      </c>
      <c r="C10495" s="5" t="s">
        <v>5793</v>
      </c>
      <c r="D10495" s="5" t="s">
        <v>14704</v>
      </c>
      <c r="E10495" s="43">
        <v>2000</v>
      </c>
      <c r="F10495" s="43"/>
      <c r="G10495" s="48">
        <f t="shared" si="264"/>
        <v>11205.085465331795</v>
      </c>
      <c r="H10495" s="389" t="s">
        <v>9567</v>
      </c>
    </row>
    <row r="10496" spans="1:11" x14ac:dyDescent="0.3">
      <c r="A10496" s="45">
        <v>45581</v>
      </c>
      <c r="B10496" s="565"/>
      <c r="C10496" s="480"/>
      <c r="D10496" s="491" t="s">
        <v>14707</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12611</v>
      </c>
      <c r="C10497" s="5" t="s">
        <v>84</v>
      </c>
      <c r="D10497" s="5" t="s">
        <v>14708</v>
      </c>
      <c r="E10497" s="43">
        <v>3000</v>
      </c>
      <c r="F10497" s="43"/>
      <c r="G10497" s="48">
        <f t="shared" si="264"/>
        <v>28205.085465331795</v>
      </c>
      <c r="H10497" s="389" t="s">
        <v>9567</v>
      </c>
      <c r="I10497" s="52">
        <v>5170</v>
      </c>
    </row>
    <row r="10498" spans="1:11" x14ac:dyDescent="0.3">
      <c r="A10498" s="45">
        <v>45581</v>
      </c>
      <c r="B10498" s="396" t="s">
        <v>12611</v>
      </c>
      <c r="C10498" s="5" t="s">
        <v>84</v>
      </c>
      <c r="D10498" s="5" t="s">
        <v>14709</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14590</v>
      </c>
      <c r="C10499" s="5" t="s">
        <v>26</v>
      </c>
      <c r="D10499" s="5" t="s">
        <v>14712</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11434</v>
      </c>
      <c r="E10500" s="43">
        <v>2500</v>
      </c>
      <c r="F10500" s="43"/>
      <c r="G10500" s="48">
        <f t="shared" si="264"/>
        <v>5705.0854653317947</v>
      </c>
      <c r="H10500" s="389" t="s">
        <v>9567</v>
      </c>
    </row>
    <row r="10501" spans="1:11" x14ac:dyDescent="0.3">
      <c r="A10501" s="45">
        <v>45581</v>
      </c>
      <c r="B10501" s="396" t="s">
        <v>13902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14713</v>
      </c>
      <c r="E10502" s="43">
        <v>1200</v>
      </c>
      <c r="F10502" s="43"/>
      <c r="G10502" s="48">
        <f t="shared" si="264"/>
        <v>2505.0854653317947</v>
      </c>
      <c r="H10502" s="389" t="s">
        <v>9567</v>
      </c>
    </row>
    <row r="10503" spans="1:11" x14ac:dyDescent="0.3">
      <c r="A10503" s="45">
        <v>45581</v>
      </c>
      <c r="B10503" s="396" t="s">
        <v>13902</v>
      </c>
      <c r="C10503" s="5" t="s">
        <v>5793</v>
      </c>
      <c r="D10503" s="5" t="s">
        <v>14714</v>
      </c>
      <c r="E10503" s="43">
        <v>1500</v>
      </c>
      <c r="F10503" s="43"/>
      <c r="G10503" s="48">
        <f t="shared" si="264"/>
        <v>1005.0854653317947</v>
      </c>
      <c r="H10503" s="389" t="s">
        <v>9567</v>
      </c>
    </row>
    <row r="10504" spans="1:11" x14ac:dyDescent="0.3">
      <c r="A10504" s="45">
        <v>45582</v>
      </c>
      <c r="B10504" s="565"/>
      <c r="C10504" s="480"/>
      <c r="D10504" s="491" t="s">
        <v>4106</v>
      </c>
      <c r="E10504" s="480"/>
      <c r="F10504" s="43">
        <v>200000</v>
      </c>
      <c r="G10504" s="48">
        <f t="shared" si="264"/>
        <v>201005.08546533179</v>
      </c>
      <c r="H10504" s="389" t="s">
        <v>9567</v>
      </c>
    </row>
    <row r="10505" spans="1:11" x14ac:dyDescent="0.3">
      <c r="A10505" s="45">
        <v>45582</v>
      </c>
      <c r="B10505" s="396" t="s">
        <v>14031</v>
      </c>
      <c r="C10505" s="5" t="s">
        <v>26</v>
      </c>
      <c r="D10505" s="5" t="s">
        <v>14719</v>
      </c>
      <c r="E10505" s="43">
        <v>10000</v>
      </c>
      <c r="F10505" s="43"/>
      <c r="G10505" s="48">
        <f t="shared" si="264"/>
        <v>191005.08546533179</v>
      </c>
      <c r="H10505" s="389" t="s">
        <v>9567</v>
      </c>
    </row>
    <row r="10506" spans="1:11" x14ac:dyDescent="0.3">
      <c r="A10506" s="45">
        <v>45582</v>
      </c>
      <c r="B10506" s="396" t="s">
        <v>25</v>
      </c>
      <c r="C10506" s="5" t="s">
        <v>25</v>
      </c>
      <c r="D10506" s="5" t="s">
        <v>11434</v>
      </c>
      <c r="E10506" s="43">
        <v>4500</v>
      </c>
      <c r="F10506" s="43"/>
      <c r="G10506" s="48">
        <f t="shared" si="264"/>
        <v>186505.08546533179</v>
      </c>
      <c r="H10506" s="389" t="s">
        <v>9567</v>
      </c>
      <c r="I10506" s="52">
        <v>738</v>
      </c>
      <c r="J10506" s="52">
        <v>172400</v>
      </c>
    </row>
    <row r="10507" spans="1:11" x14ac:dyDescent="0.3">
      <c r="A10507" s="45">
        <v>45582</v>
      </c>
      <c r="B10507" s="396" t="s">
        <v>13902</v>
      </c>
      <c r="C10507" s="5" t="s">
        <v>84</v>
      </c>
      <c r="D10507" s="5" t="s">
        <v>14721</v>
      </c>
      <c r="E10507" s="43">
        <v>20000</v>
      </c>
      <c r="F10507" s="43"/>
      <c r="G10507" s="48">
        <f t="shared" si="264"/>
        <v>166505.08546533179</v>
      </c>
      <c r="H10507" s="389" t="s">
        <v>9567</v>
      </c>
      <c r="I10507" s="52">
        <f>I10528/3.28</f>
        <v>265.5</v>
      </c>
    </row>
    <row r="10508" spans="1:11" x14ac:dyDescent="0.3">
      <c r="A10508" s="45">
        <v>45582</v>
      </c>
      <c r="B10508" s="396" t="s">
        <v>14590</v>
      </c>
      <c r="C10508" s="5" t="s">
        <v>5793</v>
      </c>
      <c r="D10508" s="5" t="s">
        <v>14563</v>
      </c>
      <c r="E10508" s="43">
        <v>1500</v>
      </c>
      <c r="F10508" s="43"/>
      <c r="G10508" s="48">
        <f t="shared" si="264"/>
        <v>165005.08546533179</v>
      </c>
      <c r="H10508" s="389" t="s">
        <v>9567</v>
      </c>
    </row>
    <row r="10509" spans="1:11" x14ac:dyDescent="0.3">
      <c r="A10509" s="45">
        <v>45582</v>
      </c>
      <c r="B10509" s="396" t="s">
        <v>13902</v>
      </c>
      <c r="C10509" s="5" t="s">
        <v>5793</v>
      </c>
      <c r="D10509" s="5" t="s">
        <v>40</v>
      </c>
      <c r="E10509" s="43">
        <v>1500</v>
      </c>
      <c r="F10509" s="43"/>
      <c r="G10509" s="48">
        <f t="shared" si="264"/>
        <v>163505.08546533179</v>
      </c>
      <c r="H10509" s="389" t="s">
        <v>9567</v>
      </c>
    </row>
    <row r="10510" spans="1:11" x14ac:dyDescent="0.3">
      <c r="A10510" s="45">
        <v>45582</v>
      </c>
      <c r="B10510" s="396" t="s">
        <v>13833</v>
      </c>
      <c r="C10510" s="5" t="s">
        <v>11174</v>
      </c>
      <c r="D10510" s="5" t="s">
        <v>14724</v>
      </c>
      <c r="E10510" s="43">
        <v>1000</v>
      </c>
      <c r="F10510" s="43"/>
      <c r="G10510" s="48">
        <f t="shared" si="264"/>
        <v>162505.08546533179</v>
      </c>
      <c r="H10510" s="389" t="s">
        <v>9567</v>
      </c>
    </row>
    <row r="10511" spans="1:11" x14ac:dyDescent="0.3">
      <c r="A10511" s="45">
        <v>45582</v>
      </c>
      <c r="B10511" s="396" t="s">
        <v>25</v>
      </c>
      <c r="C10511" s="5" t="s">
        <v>26</v>
      </c>
      <c r="D10511" s="5" t="s">
        <v>14730</v>
      </c>
      <c r="E10511" s="43">
        <v>570</v>
      </c>
      <c r="F10511" s="43"/>
      <c r="G10511" s="48">
        <f t="shared" si="264"/>
        <v>161935.08546533179</v>
      </c>
      <c r="H10511" s="389" t="s">
        <v>9567</v>
      </c>
      <c r="I10511" s="502" t="s">
        <v>14715</v>
      </c>
      <c r="J10511" s="52">
        <v>268</v>
      </c>
    </row>
    <row r="10512" spans="1:11" x14ac:dyDescent="0.3">
      <c r="A10512" s="45">
        <v>45582</v>
      </c>
      <c r="B10512" s="396" t="s">
        <v>14685</v>
      </c>
      <c r="C10512" s="5" t="s">
        <v>26</v>
      </c>
      <c r="D10512" s="5" t="s">
        <v>14725</v>
      </c>
      <c r="E10512" s="43">
        <v>1100</v>
      </c>
      <c r="F10512" s="43"/>
      <c r="G10512" s="48">
        <f t="shared" si="264"/>
        <v>160835.08546533179</v>
      </c>
      <c r="H10512" s="389" t="s">
        <v>9567</v>
      </c>
      <c r="I10512" s="502" t="s">
        <v>14716</v>
      </c>
      <c r="J10512" s="52">
        <v>357</v>
      </c>
    </row>
    <row r="10513" spans="1:10" x14ac:dyDescent="0.3">
      <c r="A10513" s="45">
        <v>45583</v>
      </c>
      <c r="B10513" s="396" t="s">
        <v>13321</v>
      </c>
      <c r="C10513" s="5" t="s">
        <v>84</v>
      </c>
      <c r="D10513" s="5" t="s">
        <v>14747</v>
      </c>
      <c r="E10513" s="43">
        <v>10000</v>
      </c>
      <c r="F10513" s="43"/>
      <c r="G10513" s="48">
        <f t="shared" si="264"/>
        <v>150835.08546533179</v>
      </c>
      <c r="H10513" s="389" t="s">
        <v>9567</v>
      </c>
      <c r="I10513" s="502" t="s">
        <v>14717</v>
      </c>
    </row>
    <row r="10514" spans="1:10" x14ac:dyDescent="0.3">
      <c r="A10514" s="45">
        <v>45583</v>
      </c>
      <c r="B10514" s="396" t="s">
        <v>13188</v>
      </c>
      <c r="C10514" s="5" t="s">
        <v>14726</v>
      </c>
      <c r="D10514" s="5" t="s">
        <v>10189</v>
      </c>
      <c r="E10514" s="43">
        <v>50000</v>
      </c>
      <c r="F10514" s="43"/>
      <c r="G10514" s="48">
        <f t="shared" si="264"/>
        <v>100835.08546533179</v>
      </c>
      <c r="H10514" s="389" t="s">
        <v>9567</v>
      </c>
      <c r="I10514" s="502" t="s">
        <v>14718</v>
      </c>
    </row>
    <row r="10515" spans="1:10" x14ac:dyDescent="0.3">
      <c r="A10515" s="45">
        <v>45583</v>
      </c>
      <c r="B10515" s="396" t="s">
        <v>13188</v>
      </c>
      <c r="C10515" s="5" t="s">
        <v>11174</v>
      </c>
      <c r="D10515" s="5" t="s">
        <v>14736</v>
      </c>
      <c r="E10515" s="43">
        <v>9950</v>
      </c>
      <c r="F10515" s="43"/>
      <c r="G10515" s="48">
        <f t="shared" si="264"/>
        <v>90885.085465331795</v>
      </c>
      <c r="H10515" s="389" t="s">
        <v>9567</v>
      </c>
    </row>
    <row r="10516" spans="1:10" x14ac:dyDescent="0.3">
      <c r="A10516" s="45">
        <v>45583</v>
      </c>
      <c r="B10516" s="396" t="s">
        <v>12133</v>
      </c>
      <c r="C10516" s="5" t="s">
        <v>11174</v>
      </c>
      <c r="D10516" s="5" t="s">
        <v>14737</v>
      </c>
      <c r="E10516" s="43">
        <f>6580+4400+4050+350+3050</f>
        <v>18430</v>
      </c>
      <c r="F10516" s="43"/>
      <c r="G10516" s="48">
        <f t="shared" si="264"/>
        <v>72455.085465331795</v>
      </c>
      <c r="H10516" s="389" t="s">
        <v>9567</v>
      </c>
    </row>
    <row r="10517" spans="1:10" x14ac:dyDescent="0.3">
      <c r="A10517" s="45">
        <v>45583</v>
      </c>
      <c r="B10517" s="396" t="s">
        <v>14524</v>
      </c>
      <c r="C10517" s="5" t="s">
        <v>11174</v>
      </c>
      <c r="D10517" s="5" t="s">
        <v>14729</v>
      </c>
      <c r="E10517" s="43">
        <v>1200</v>
      </c>
      <c r="F10517" s="43"/>
      <c r="G10517" s="48">
        <f t="shared" si="264"/>
        <v>71255.085465331795</v>
      </c>
      <c r="H10517" s="389" t="s">
        <v>9567</v>
      </c>
    </row>
    <row r="10518" spans="1:10" x14ac:dyDescent="0.3">
      <c r="A10518" s="45">
        <v>45583</v>
      </c>
      <c r="B10518" s="396" t="s">
        <v>13188</v>
      </c>
      <c r="C10518" s="5" t="s">
        <v>30</v>
      </c>
      <c r="D10518" s="5" t="s">
        <v>14126</v>
      </c>
      <c r="E10518" s="43">
        <v>1000</v>
      </c>
      <c r="F10518" s="43"/>
      <c r="G10518" s="48">
        <f t="shared" ref="G10518:G10581" si="265">G10517+F10518-E10518</f>
        <v>70255.085465331795</v>
      </c>
      <c r="H10518" s="389" t="s">
        <v>9567</v>
      </c>
    </row>
    <row r="10519" spans="1:10" x14ac:dyDescent="0.3">
      <c r="A10519" s="45">
        <v>45583</v>
      </c>
      <c r="B10519" s="396" t="s">
        <v>14524</v>
      </c>
      <c r="C10519" s="5" t="s">
        <v>5793</v>
      </c>
      <c r="D10519" s="5" t="s">
        <v>40</v>
      </c>
      <c r="E10519" s="43">
        <v>2000</v>
      </c>
      <c r="F10519" s="43"/>
      <c r="G10519" s="48">
        <f t="shared" si="265"/>
        <v>68255.085465331795</v>
      </c>
      <c r="H10519" s="389" t="s">
        <v>9567</v>
      </c>
    </row>
    <row r="10520" spans="1:10" x14ac:dyDescent="0.3">
      <c r="A10520" s="45">
        <v>45583</v>
      </c>
      <c r="B10520" s="396" t="s">
        <v>13188</v>
      </c>
      <c r="C10520" s="5" t="s">
        <v>30</v>
      </c>
      <c r="D10520" s="5" t="s">
        <v>13456</v>
      </c>
      <c r="E10520" s="43">
        <v>500</v>
      </c>
      <c r="F10520" s="43"/>
      <c r="G10520" s="48">
        <f t="shared" si="265"/>
        <v>67755.085465331795</v>
      </c>
      <c r="H10520" s="389" t="s">
        <v>9567</v>
      </c>
    </row>
    <row r="10521" spans="1:10" x14ac:dyDescent="0.3">
      <c r="A10521" s="45">
        <v>45583</v>
      </c>
      <c r="B10521" s="396" t="s">
        <v>12133</v>
      </c>
      <c r="C10521" s="5" t="s">
        <v>5793</v>
      </c>
      <c r="D10521" s="5" t="s">
        <v>40</v>
      </c>
      <c r="E10521" s="43">
        <v>4000</v>
      </c>
      <c r="F10521" s="43"/>
      <c r="G10521" s="48">
        <f t="shared" si="265"/>
        <v>63755.085465331795</v>
      </c>
      <c r="H10521" s="389" t="s">
        <v>9567</v>
      </c>
    </row>
    <row r="10522" spans="1:10" x14ac:dyDescent="0.3">
      <c r="A10522" s="45">
        <v>45584</v>
      </c>
      <c r="B10522" s="396" t="s">
        <v>14310</v>
      </c>
      <c r="C10522" s="5" t="s">
        <v>54</v>
      </c>
      <c r="D10522" s="5" t="s">
        <v>14731</v>
      </c>
      <c r="E10522" s="43">
        <v>29200</v>
      </c>
      <c r="F10522" s="43"/>
      <c r="G10522" s="48">
        <f t="shared" si="265"/>
        <v>34555.085465331795</v>
      </c>
      <c r="H10522" s="389" t="s">
        <v>9567</v>
      </c>
    </row>
    <row r="10523" spans="1:10" x14ac:dyDescent="0.3">
      <c r="A10523" s="45">
        <v>45584</v>
      </c>
      <c r="B10523" s="396" t="s">
        <v>12080</v>
      </c>
      <c r="C10523" s="5" t="s">
        <v>84</v>
      </c>
      <c r="D10523" s="5" t="s">
        <v>14834</v>
      </c>
      <c r="E10523" s="43">
        <v>10000</v>
      </c>
      <c r="F10523" s="43"/>
      <c r="G10523" s="48">
        <f t="shared" si="265"/>
        <v>24555.085465331795</v>
      </c>
      <c r="H10523" s="389" t="s">
        <v>9567</v>
      </c>
    </row>
    <row r="10524" spans="1:10" x14ac:dyDescent="0.3">
      <c r="A10524" s="45">
        <v>45584</v>
      </c>
      <c r="B10524" s="396" t="s">
        <v>13902</v>
      </c>
      <c r="C10524" s="5" t="s">
        <v>26</v>
      </c>
      <c r="D10524" s="5" t="s">
        <v>14734</v>
      </c>
      <c r="E10524" s="43">
        <v>1200</v>
      </c>
      <c r="F10524" s="43"/>
      <c r="G10524" s="48">
        <f t="shared" si="265"/>
        <v>23355.085465331795</v>
      </c>
      <c r="H10524" s="389" t="s">
        <v>9567</v>
      </c>
      <c r="I10524" s="52">
        <v>9050</v>
      </c>
    </row>
    <row r="10525" spans="1:10" x14ac:dyDescent="0.3">
      <c r="A10525" s="45">
        <v>45584</v>
      </c>
      <c r="B10525" s="396" t="s">
        <v>13188</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11434</v>
      </c>
      <c r="E10526" s="43">
        <v>4000</v>
      </c>
      <c r="F10526" s="43"/>
      <c r="G10526" s="48">
        <f t="shared" si="265"/>
        <v>18855.085465331795</v>
      </c>
      <c r="H10526" s="389" t="s">
        <v>9567</v>
      </c>
      <c r="I10526" s="52">
        <v>6580</v>
      </c>
    </row>
    <row r="10527" spans="1:10" x14ac:dyDescent="0.3">
      <c r="A10527" s="45">
        <v>45584</v>
      </c>
      <c r="B10527" s="396" t="s">
        <v>12133</v>
      </c>
      <c r="C10527" s="5" t="s">
        <v>54</v>
      </c>
      <c r="D10527" s="5" t="s">
        <v>14735</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14685</v>
      </c>
      <c r="C10529" s="5" t="s">
        <v>11174</v>
      </c>
      <c r="D10529" s="5" t="s">
        <v>14738</v>
      </c>
      <c r="E10529" s="43">
        <v>4400</v>
      </c>
      <c r="F10529" s="43"/>
      <c r="G10529" s="48">
        <f t="shared" si="265"/>
        <v>5375.0854653317947</v>
      </c>
      <c r="H10529" s="389" t="s">
        <v>9567</v>
      </c>
      <c r="I10529" s="52">
        <v>4050</v>
      </c>
    </row>
    <row r="10530" spans="1:10" x14ac:dyDescent="0.3">
      <c r="A10530" s="45">
        <v>45586</v>
      </c>
      <c r="B10530" s="396" t="s">
        <v>14524</v>
      </c>
      <c r="C10530" s="5" t="s">
        <v>11174</v>
      </c>
      <c r="D10530" s="5" t="s">
        <v>14741</v>
      </c>
      <c r="E10530" s="43">
        <v>250</v>
      </c>
      <c r="F10530" s="43"/>
      <c r="G10530" s="48">
        <f t="shared" si="265"/>
        <v>5125.0854653317947</v>
      </c>
      <c r="H10530" s="389" t="s">
        <v>9567</v>
      </c>
      <c r="I10530" s="52">
        <v>3050</v>
      </c>
    </row>
    <row r="10531" spans="1:10" x14ac:dyDescent="0.3">
      <c r="A10531" s="45">
        <v>45586</v>
      </c>
      <c r="B10531" s="565"/>
      <c r="C10531" s="480"/>
      <c r="D10531" s="491" t="s">
        <v>4106</v>
      </c>
      <c r="E10531" s="480"/>
      <c r="F10531" s="43">
        <v>200000</v>
      </c>
      <c r="G10531" s="48">
        <f t="shared" si="265"/>
        <v>205125.08546533179</v>
      </c>
      <c r="H10531" s="389" t="s">
        <v>9567</v>
      </c>
      <c r="I10531" s="52">
        <v>350</v>
      </c>
    </row>
    <row r="10532" spans="1:10" x14ac:dyDescent="0.3">
      <c r="A10532" s="45">
        <v>45586</v>
      </c>
      <c r="B10532" s="396" t="s">
        <v>13379</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14739</v>
      </c>
      <c r="E10533" s="43">
        <v>25000</v>
      </c>
      <c r="F10533" s="43"/>
      <c r="G10533" s="48">
        <f t="shared" si="265"/>
        <v>177125.08546533179</v>
      </c>
      <c r="H10533" s="389" t="s">
        <v>9567</v>
      </c>
      <c r="I10533" s="52">
        <v>1000</v>
      </c>
    </row>
    <row r="10534" spans="1:10" x14ac:dyDescent="0.3">
      <c r="A10534" s="45">
        <v>45586</v>
      </c>
      <c r="B10534" s="396" t="s">
        <v>14701</v>
      </c>
      <c r="C10534" s="5" t="s">
        <v>10112</v>
      </c>
      <c r="D10534" s="5" t="s">
        <v>14740</v>
      </c>
      <c r="E10534" s="43">
        <v>30000</v>
      </c>
      <c r="F10534" s="43"/>
      <c r="G10534" s="48">
        <f t="shared" si="265"/>
        <v>147125.08546533179</v>
      </c>
      <c r="H10534" s="389" t="s">
        <v>9567</v>
      </c>
      <c r="I10534" s="52">
        <v>500</v>
      </c>
    </row>
    <row r="10535" spans="1:10" x14ac:dyDescent="0.3">
      <c r="A10535" s="45">
        <v>45586</v>
      </c>
      <c r="B10535" s="396" t="s">
        <v>13833</v>
      </c>
      <c r="C10535" s="5" t="s">
        <v>11174</v>
      </c>
      <c r="D10535" s="5" t="s">
        <v>13267</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14742</v>
      </c>
      <c r="E10536" s="43">
        <v>6000</v>
      </c>
      <c r="F10536" s="43"/>
      <c r="G10536" s="48">
        <f t="shared" si="265"/>
        <v>140125.08546533179</v>
      </c>
      <c r="H10536" s="389" t="s">
        <v>9567</v>
      </c>
    </row>
    <row r="10537" spans="1:10" x14ac:dyDescent="0.3">
      <c r="A10537" s="45">
        <v>45586</v>
      </c>
      <c r="B10537" s="396" t="s">
        <v>25</v>
      </c>
      <c r="C10537" s="5" t="s">
        <v>25</v>
      </c>
      <c r="D10537" s="5" t="s">
        <v>11434</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12230</v>
      </c>
      <c r="C10539" s="5" t="s">
        <v>1074</v>
      </c>
      <c r="D10539" s="5" t="s">
        <v>6280</v>
      </c>
      <c r="E10539" s="43">
        <v>3170</v>
      </c>
      <c r="F10539" s="43"/>
      <c r="G10539" s="48">
        <f t="shared" si="265"/>
        <v>122555.08546533179</v>
      </c>
      <c r="H10539" s="389" t="s">
        <v>9567</v>
      </c>
      <c r="I10539" s="52">
        <v>3500</v>
      </c>
      <c r="J10539" s="52" t="s">
        <v>14732</v>
      </c>
    </row>
    <row r="10540" spans="1:10" x14ac:dyDescent="0.3">
      <c r="A10540" s="45">
        <v>45586</v>
      </c>
      <c r="B10540" s="396" t="s">
        <v>13188</v>
      </c>
      <c r="C10540" s="5" t="s">
        <v>5793</v>
      </c>
      <c r="D10540" s="5" t="s">
        <v>14029</v>
      </c>
      <c r="E10540" s="43">
        <v>2000</v>
      </c>
      <c r="F10540" s="43"/>
      <c r="G10540" s="48">
        <f t="shared" si="265"/>
        <v>120555.08546533179</v>
      </c>
      <c r="H10540" s="389" t="s">
        <v>9567</v>
      </c>
      <c r="I10540" s="52">
        <v>1500</v>
      </c>
      <c r="J10540" s="52" t="s">
        <v>14733</v>
      </c>
    </row>
    <row r="10541" spans="1:10" x14ac:dyDescent="0.3">
      <c r="A10541" s="45">
        <v>45586</v>
      </c>
      <c r="B10541" s="396" t="s">
        <v>13188</v>
      </c>
      <c r="C10541" s="5" t="s">
        <v>30</v>
      </c>
      <c r="D10541" s="5" t="s">
        <v>14225</v>
      </c>
      <c r="E10541" s="43">
        <v>1500</v>
      </c>
      <c r="F10541" s="43"/>
      <c r="G10541" s="48">
        <f t="shared" si="265"/>
        <v>119055.08546533179</v>
      </c>
      <c r="H10541" s="389" t="s">
        <v>9567</v>
      </c>
      <c r="I10541" s="52">
        <v>800</v>
      </c>
      <c r="J10541" s="52" t="s">
        <v>14733</v>
      </c>
    </row>
    <row r="10542" spans="1:10" x14ac:dyDescent="0.3">
      <c r="A10542" s="45">
        <v>45586</v>
      </c>
      <c r="B10542" s="396" t="s">
        <v>13902</v>
      </c>
      <c r="C10542" s="5" t="s">
        <v>26</v>
      </c>
      <c r="D10542" s="5" t="s">
        <v>14744</v>
      </c>
      <c r="E10542" s="43">
        <v>1000</v>
      </c>
      <c r="F10542" s="43"/>
      <c r="G10542" s="48">
        <f t="shared" si="265"/>
        <v>118055.08546533179</v>
      </c>
      <c r="H10542" s="389" t="s">
        <v>9567</v>
      </c>
      <c r="I10542" s="52">
        <v>100</v>
      </c>
    </row>
    <row r="10543" spans="1:10" x14ac:dyDescent="0.3">
      <c r="A10543" s="45">
        <v>45587</v>
      </c>
      <c r="B10543" s="396" t="s">
        <v>13981</v>
      </c>
      <c r="C10543" s="5" t="s">
        <v>11174</v>
      </c>
      <c r="D10543" s="5" t="s">
        <v>14745</v>
      </c>
      <c r="E10543" s="43">
        <v>18000</v>
      </c>
      <c r="F10543" s="43"/>
      <c r="G10543" s="48">
        <f t="shared" si="265"/>
        <v>100055.08546533179</v>
      </c>
      <c r="H10543" s="389" t="s">
        <v>9567</v>
      </c>
      <c r="I10543" s="52">
        <f>SUM(I10537:I10542)</f>
        <v>6500</v>
      </c>
    </row>
    <row r="10544" spans="1:10" x14ac:dyDescent="0.3">
      <c r="A10544" s="45">
        <v>45587</v>
      </c>
      <c r="B10544" s="396" t="s">
        <v>13902</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14590</v>
      </c>
      <c r="C10545" s="5" t="s">
        <v>4550</v>
      </c>
      <c r="D10545" s="5" t="s">
        <v>14746</v>
      </c>
      <c r="E10545" s="43">
        <v>30000</v>
      </c>
      <c r="F10545" s="43"/>
      <c r="G10545" s="48">
        <f t="shared" si="265"/>
        <v>65055.085465331795</v>
      </c>
      <c r="H10545" s="389" t="s">
        <v>9567</v>
      </c>
    </row>
    <row r="10546" spans="1:8" x14ac:dyDescent="0.3">
      <c r="A10546" s="45">
        <v>45587</v>
      </c>
      <c r="B10546" s="396" t="s">
        <v>14685</v>
      </c>
      <c r="C10546" s="5" t="s">
        <v>11174</v>
      </c>
      <c r="D10546" s="5" t="s">
        <v>14748</v>
      </c>
      <c r="E10546" s="43">
        <v>1300</v>
      </c>
      <c r="F10546" s="43"/>
      <c r="G10546" s="48">
        <f t="shared" si="265"/>
        <v>63755.085465331795</v>
      </c>
      <c r="H10546" s="389" t="s">
        <v>9567</v>
      </c>
    </row>
    <row r="10547" spans="1:8" x14ac:dyDescent="0.3">
      <c r="A10547" s="45">
        <v>45587</v>
      </c>
      <c r="B10547" s="396" t="s">
        <v>14685</v>
      </c>
      <c r="C10547" s="5" t="s">
        <v>11174</v>
      </c>
      <c r="D10547" s="5" t="s">
        <v>14749</v>
      </c>
      <c r="E10547" s="43">
        <v>9380</v>
      </c>
      <c r="F10547" s="43"/>
      <c r="G10547" s="48">
        <f t="shared" si="265"/>
        <v>54375.085465331795</v>
      </c>
      <c r="H10547" s="389" t="s">
        <v>9567</v>
      </c>
    </row>
    <row r="10548" spans="1:8" x14ac:dyDescent="0.3">
      <c r="A10548" s="45">
        <v>45587</v>
      </c>
      <c r="B10548" s="396" t="s">
        <v>14685</v>
      </c>
      <c r="C10548" s="5" t="s">
        <v>10474</v>
      </c>
      <c r="D10548" s="5" t="s">
        <v>3910</v>
      </c>
      <c r="E10548" s="43">
        <v>5000</v>
      </c>
      <c r="F10548" s="43"/>
      <c r="G10548" s="48">
        <f t="shared" si="265"/>
        <v>49375.085465331795</v>
      </c>
      <c r="H10548" s="389" t="s">
        <v>9567</v>
      </c>
    </row>
    <row r="10549" spans="1:8" x14ac:dyDescent="0.3">
      <c r="A10549" s="45">
        <v>45587</v>
      </c>
      <c r="B10549" s="396" t="s">
        <v>14685</v>
      </c>
      <c r="C10549" s="5" t="s">
        <v>5793</v>
      </c>
      <c r="D10549" s="5" t="s">
        <v>40</v>
      </c>
      <c r="E10549" s="43">
        <v>1000</v>
      </c>
      <c r="F10549" s="43"/>
      <c r="G10549" s="48">
        <f t="shared" si="265"/>
        <v>48375.085465331795</v>
      </c>
      <c r="H10549" s="389" t="s">
        <v>9567</v>
      </c>
    </row>
    <row r="10550" spans="1:8" x14ac:dyDescent="0.3">
      <c r="A10550" s="45">
        <v>45587</v>
      </c>
      <c r="B10550" s="396" t="s">
        <v>14751</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11434</v>
      </c>
      <c r="E10551" s="43">
        <v>2000</v>
      </c>
      <c r="F10551" s="43"/>
      <c r="G10551" s="48">
        <f t="shared" si="265"/>
        <v>36375.085465331795</v>
      </c>
      <c r="H10551" s="389" t="s">
        <v>9567</v>
      </c>
    </row>
    <row r="10552" spans="1:8" x14ac:dyDescent="0.3">
      <c r="A10552" s="45">
        <v>45587</v>
      </c>
      <c r="B10552" s="396" t="s">
        <v>14701</v>
      </c>
      <c r="C10552" s="5" t="s">
        <v>10112</v>
      </c>
      <c r="D10552" s="5" t="s">
        <v>14752</v>
      </c>
      <c r="E10552" s="43">
        <v>30000</v>
      </c>
      <c r="F10552" s="43"/>
      <c r="G10552" s="48">
        <f t="shared" si="265"/>
        <v>6375.0854653317947</v>
      </c>
      <c r="H10552" s="389" t="s">
        <v>9567</v>
      </c>
    </row>
    <row r="10553" spans="1:8" x14ac:dyDescent="0.3">
      <c r="A10553" s="45">
        <v>45587</v>
      </c>
      <c r="B10553" s="396" t="s">
        <v>14685</v>
      </c>
      <c r="C10553" s="5" t="s">
        <v>5793</v>
      </c>
      <c r="D10553" s="5" t="s">
        <v>14754</v>
      </c>
      <c r="E10553" s="43">
        <v>420</v>
      </c>
      <c r="F10553" s="43"/>
      <c r="G10553" s="48">
        <f t="shared" si="265"/>
        <v>5955.0854653317947</v>
      </c>
      <c r="H10553" s="389" t="s">
        <v>9567</v>
      </c>
    </row>
    <row r="10554" spans="1:8" x14ac:dyDescent="0.3">
      <c r="A10554" s="45">
        <v>45587</v>
      </c>
      <c r="B10554" s="396" t="s">
        <v>12133</v>
      </c>
      <c r="C10554" s="5" t="s">
        <v>5793</v>
      </c>
      <c r="D10554" s="5" t="s">
        <v>14753</v>
      </c>
      <c r="E10554" s="43">
        <v>3000</v>
      </c>
      <c r="F10554" s="43"/>
      <c r="G10554" s="48">
        <f t="shared" si="265"/>
        <v>2955.0854653317947</v>
      </c>
      <c r="H10554" s="389" t="s">
        <v>9567</v>
      </c>
    </row>
    <row r="10555" spans="1:8" x14ac:dyDescent="0.3">
      <c r="A10555" s="45">
        <v>45588</v>
      </c>
      <c r="B10555" s="565"/>
      <c r="C10555" s="480"/>
      <c r="D10555" s="491" t="s">
        <v>14134</v>
      </c>
      <c r="E10555" s="480"/>
      <c r="F10555" s="43">
        <v>10000</v>
      </c>
      <c r="G10555" s="48">
        <f t="shared" si="265"/>
        <v>12955.085465331795</v>
      </c>
      <c r="H10555" s="389" t="s">
        <v>9567</v>
      </c>
    </row>
    <row r="10556" spans="1:8" x14ac:dyDescent="0.3">
      <c r="A10556" s="45">
        <v>45588</v>
      </c>
      <c r="B10556" s="396" t="s">
        <v>25</v>
      </c>
      <c r="C10556" s="5" t="s">
        <v>25</v>
      </c>
      <c r="D10556" s="5" t="s">
        <v>11434</v>
      </c>
      <c r="E10556" s="43">
        <v>3500</v>
      </c>
      <c r="F10556" s="43"/>
      <c r="G10556" s="48">
        <f t="shared" si="265"/>
        <v>9455.0854653317947</v>
      </c>
      <c r="H10556" s="389" t="s">
        <v>9567</v>
      </c>
    </row>
    <row r="10557" spans="1:8" x14ac:dyDescent="0.3">
      <c r="A10557" s="45">
        <v>45588</v>
      </c>
      <c r="B10557" s="396" t="s">
        <v>14685</v>
      </c>
      <c r="C10557" s="5" t="s">
        <v>5793</v>
      </c>
      <c r="D10557" s="5" t="s">
        <v>14762</v>
      </c>
      <c r="E10557" s="43">
        <v>950</v>
      </c>
      <c r="F10557" s="43"/>
      <c r="G10557" s="48">
        <f t="shared" si="265"/>
        <v>8505.0854653317947</v>
      </c>
      <c r="H10557" s="389" t="s">
        <v>9567</v>
      </c>
    </row>
    <row r="10558" spans="1:8" x14ac:dyDescent="0.3">
      <c r="A10558" s="45">
        <v>45588</v>
      </c>
      <c r="B10558" s="396" t="s">
        <v>12133</v>
      </c>
      <c r="C10558" s="5" t="s">
        <v>5793</v>
      </c>
      <c r="D10558" s="5" t="s">
        <v>14388</v>
      </c>
      <c r="E10558" s="43">
        <v>4000</v>
      </c>
      <c r="F10558" s="43"/>
      <c r="G10558" s="48">
        <f t="shared" si="265"/>
        <v>4505.0854653317947</v>
      </c>
      <c r="H10558" s="389" t="s">
        <v>9567</v>
      </c>
    </row>
    <row r="10559" spans="1:8" x14ac:dyDescent="0.3">
      <c r="A10559" s="45">
        <v>45588</v>
      </c>
      <c r="B10559" s="396" t="s">
        <v>14685</v>
      </c>
      <c r="C10559" s="5" t="s">
        <v>5793</v>
      </c>
      <c r="D10559" s="5" t="s">
        <v>14388</v>
      </c>
      <c r="E10559" s="43">
        <v>4000</v>
      </c>
      <c r="F10559" s="43"/>
      <c r="G10559" s="48">
        <f t="shared" si="265"/>
        <v>505.08546533179469</v>
      </c>
      <c r="H10559" s="389" t="s">
        <v>9567</v>
      </c>
    </row>
    <row r="10560" spans="1:8" x14ac:dyDescent="0.3">
      <c r="A10560" s="45">
        <v>45589</v>
      </c>
      <c r="B10560" s="565"/>
      <c r="C10560" s="480"/>
      <c r="D10560" s="491" t="s">
        <v>11014</v>
      </c>
      <c r="E10560" s="480"/>
      <c r="F10560" s="43">
        <v>50000</v>
      </c>
      <c r="G10560" s="48">
        <f t="shared" si="265"/>
        <v>50505.085465331795</v>
      </c>
      <c r="H10560" s="389" t="s">
        <v>9567</v>
      </c>
    </row>
    <row r="10561" spans="1:9" x14ac:dyDescent="0.3">
      <c r="A10561" s="45">
        <v>45589</v>
      </c>
      <c r="B10561" s="396" t="s">
        <v>14685</v>
      </c>
      <c r="C10561" s="5" t="s">
        <v>5793</v>
      </c>
      <c r="D10561" s="5" t="s">
        <v>14762</v>
      </c>
      <c r="E10561" s="43">
        <v>800</v>
      </c>
      <c r="F10561" s="43"/>
      <c r="G10561" s="48">
        <f t="shared" si="265"/>
        <v>49705.085465331795</v>
      </c>
      <c r="H10561" s="389" t="s">
        <v>9567</v>
      </c>
    </row>
    <row r="10562" spans="1:9" x14ac:dyDescent="0.3">
      <c r="A10562" s="45">
        <v>45589</v>
      </c>
      <c r="B10562" s="396" t="s">
        <v>14701</v>
      </c>
      <c r="C10562" s="5" t="s">
        <v>10112</v>
      </c>
      <c r="D10562" s="5" t="s">
        <v>14752</v>
      </c>
      <c r="E10562" s="43">
        <v>15000</v>
      </c>
      <c r="F10562" s="43"/>
      <c r="G10562" s="48">
        <f t="shared" si="265"/>
        <v>34705.085465331795</v>
      </c>
      <c r="H10562" s="389" t="s">
        <v>9567</v>
      </c>
    </row>
    <row r="10563" spans="1:9" x14ac:dyDescent="0.3">
      <c r="A10563" s="45">
        <v>45589</v>
      </c>
      <c r="B10563" s="396" t="s">
        <v>13188</v>
      </c>
      <c r="C10563" s="5" t="s">
        <v>11174</v>
      </c>
      <c r="D10563" s="5" t="s">
        <v>14770</v>
      </c>
      <c r="E10563" s="43">
        <v>9000</v>
      </c>
      <c r="F10563" s="43"/>
      <c r="G10563" s="48">
        <f t="shared" si="265"/>
        <v>25705.085465331795</v>
      </c>
      <c r="H10563" s="389" t="s">
        <v>9567</v>
      </c>
    </row>
    <row r="10564" spans="1:9" x14ac:dyDescent="0.3">
      <c r="A10564" s="45">
        <v>45589</v>
      </c>
      <c r="B10564" s="396" t="s">
        <v>13902</v>
      </c>
      <c r="C10564" s="5" t="s">
        <v>11174</v>
      </c>
      <c r="D10564" s="5" t="s">
        <v>14771</v>
      </c>
      <c r="E10564" s="43">
        <v>5000</v>
      </c>
      <c r="F10564" s="43"/>
      <c r="G10564" s="48">
        <f t="shared" si="265"/>
        <v>20705.085465331795</v>
      </c>
      <c r="H10564" s="389" t="s">
        <v>9567</v>
      </c>
    </row>
    <row r="10565" spans="1:9" x14ac:dyDescent="0.3">
      <c r="A10565" s="45">
        <v>45589</v>
      </c>
      <c r="B10565" s="396" t="s">
        <v>12046</v>
      </c>
      <c r="C10565" s="5" t="s">
        <v>5793</v>
      </c>
      <c r="D10565" s="5" t="s">
        <v>14078</v>
      </c>
      <c r="E10565" s="43">
        <v>500</v>
      </c>
      <c r="F10565" s="43"/>
      <c r="G10565" s="48">
        <f t="shared" si="265"/>
        <v>20205.085465331795</v>
      </c>
      <c r="H10565" s="389" t="s">
        <v>9567</v>
      </c>
    </row>
    <row r="10566" spans="1:9" x14ac:dyDescent="0.3">
      <c r="A10566" s="45">
        <v>45589</v>
      </c>
      <c r="B10566" s="396" t="s">
        <v>12046</v>
      </c>
      <c r="C10566" s="5" t="s">
        <v>30</v>
      </c>
      <c r="D10566" s="5" t="s">
        <v>14626</v>
      </c>
      <c r="E10566" s="43">
        <v>2000</v>
      </c>
      <c r="F10566" s="43"/>
      <c r="G10566" s="48">
        <f t="shared" si="265"/>
        <v>18205.085465331795</v>
      </c>
      <c r="H10566" s="389" t="s">
        <v>9567</v>
      </c>
      <c r="I10566" s="52">
        <v>10000</v>
      </c>
    </row>
    <row r="10567" spans="1:9" x14ac:dyDescent="0.3">
      <c r="A10567" s="45">
        <v>45589</v>
      </c>
      <c r="B10567" s="394" t="s">
        <v>12133</v>
      </c>
      <c r="C10567" s="186" t="s">
        <v>54</v>
      </c>
      <c r="D10567" s="186" t="s">
        <v>14763</v>
      </c>
      <c r="E10567" s="187">
        <v>5000</v>
      </c>
      <c r="F10567" s="43"/>
      <c r="G10567" s="48">
        <f t="shared" si="265"/>
        <v>13205.085465331795</v>
      </c>
      <c r="H10567" s="389" t="s">
        <v>9567</v>
      </c>
      <c r="I10567" s="52">
        <v>5000</v>
      </c>
    </row>
    <row r="10568" spans="1:9" x14ac:dyDescent="0.3">
      <c r="A10568" s="45">
        <v>45589</v>
      </c>
      <c r="B10568" s="396" t="s">
        <v>12133</v>
      </c>
      <c r="C10568" s="5" t="s">
        <v>5162</v>
      </c>
      <c r="D10568" s="5" t="s">
        <v>14800</v>
      </c>
      <c r="E10568" s="43">
        <v>500</v>
      </c>
      <c r="F10568" s="43"/>
      <c r="G10568" s="48">
        <f t="shared" si="265"/>
        <v>12705.085465331795</v>
      </c>
      <c r="H10568" s="389" t="s">
        <v>9567</v>
      </c>
    </row>
    <row r="10569" spans="1:9" x14ac:dyDescent="0.3">
      <c r="A10569" s="45">
        <v>45590</v>
      </c>
      <c r="B10569" s="565"/>
      <c r="C10569" s="480"/>
      <c r="D10569" s="491" t="s">
        <v>4106</v>
      </c>
      <c r="E10569" s="480"/>
      <c r="F10569" s="43">
        <v>200000</v>
      </c>
      <c r="G10569" s="48">
        <f t="shared" ref="G10569" si="266">G10568+F10569-E10569</f>
        <v>212705.08546533179</v>
      </c>
      <c r="H10569" s="389" t="s">
        <v>9567</v>
      </c>
    </row>
    <row r="10570" spans="1:9" x14ac:dyDescent="0.3">
      <c r="A10570" s="45">
        <v>45590</v>
      </c>
      <c r="B10570" s="396" t="s">
        <v>13902</v>
      </c>
      <c r="C10570" s="5" t="s">
        <v>11174</v>
      </c>
      <c r="D10570" s="5" t="s">
        <v>14764</v>
      </c>
      <c r="E10570" s="43">
        <v>13900</v>
      </c>
      <c r="F10570" s="43"/>
      <c r="G10570" s="48">
        <f t="shared" si="265"/>
        <v>198805.08546533179</v>
      </c>
      <c r="H10570" s="389" t="s">
        <v>9567</v>
      </c>
      <c r="I10570" s="52">
        <v>7000</v>
      </c>
    </row>
    <row r="10571" spans="1:9" x14ac:dyDescent="0.3">
      <c r="A10571" s="45">
        <v>45590</v>
      </c>
      <c r="B10571" s="396" t="s">
        <v>25</v>
      </c>
      <c r="C10571" s="5" t="s">
        <v>25</v>
      </c>
      <c r="D10571" s="5" t="s">
        <v>11434</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14766</v>
      </c>
      <c r="E10572" s="43">
        <v>1000</v>
      </c>
      <c r="F10572" s="43"/>
      <c r="G10572" s="48">
        <f t="shared" si="265"/>
        <v>193305.08546533179</v>
      </c>
      <c r="H10572" s="389" t="s">
        <v>9567</v>
      </c>
    </row>
    <row r="10573" spans="1:9" x14ac:dyDescent="0.3">
      <c r="A10573" s="45">
        <v>45590</v>
      </c>
      <c r="B10573" s="396" t="s">
        <v>14590</v>
      </c>
      <c r="C10573" s="5" t="s">
        <v>11174</v>
      </c>
      <c r="D10573" s="5" t="s">
        <v>14767</v>
      </c>
      <c r="E10573" s="43">
        <v>4800</v>
      </c>
      <c r="F10573" s="43"/>
      <c r="G10573" s="48">
        <f t="shared" si="265"/>
        <v>188505.08546533179</v>
      </c>
      <c r="H10573" s="389" t="s">
        <v>9567</v>
      </c>
    </row>
    <row r="10574" spans="1:9" x14ac:dyDescent="0.3">
      <c r="A10574" s="45">
        <v>45590</v>
      </c>
      <c r="B10574" s="396" t="s">
        <v>14701</v>
      </c>
      <c r="C10574" s="5" t="s">
        <v>11174</v>
      </c>
      <c r="D10574" s="5" t="s">
        <v>14768</v>
      </c>
      <c r="E10574" s="43">
        <v>10000</v>
      </c>
      <c r="F10574" s="43"/>
      <c r="G10574" s="48">
        <f t="shared" si="265"/>
        <v>178505.08546533179</v>
      </c>
      <c r="H10574" s="389" t="s">
        <v>9567</v>
      </c>
    </row>
    <row r="10575" spans="1:9" x14ac:dyDescent="0.3">
      <c r="A10575" s="45">
        <v>45590</v>
      </c>
      <c r="B10575" s="396" t="s">
        <v>14701</v>
      </c>
      <c r="C10575" s="5" t="s">
        <v>84</v>
      </c>
      <c r="D10575" s="5" t="s">
        <v>14794</v>
      </c>
      <c r="E10575" s="43">
        <v>2000</v>
      </c>
      <c r="F10575" s="43"/>
      <c r="G10575" s="48">
        <f t="shared" si="265"/>
        <v>176505.08546533179</v>
      </c>
      <c r="H10575" s="389" t="s">
        <v>9567</v>
      </c>
    </row>
    <row r="10576" spans="1:9" x14ac:dyDescent="0.3">
      <c r="A10576" s="45">
        <v>45590</v>
      </c>
      <c r="B10576" s="396" t="s">
        <v>13188</v>
      </c>
      <c r="C10576" s="5" t="s">
        <v>11174</v>
      </c>
      <c r="D10576" s="5" t="s">
        <v>14769</v>
      </c>
      <c r="E10576" s="43">
        <v>2060</v>
      </c>
      <c r="F10576" s="43"/>
      <c r="G10576" s="48">
        <f t="shared" si="265"/>
        <v>174445.08546533179</v>
      </c>
      <c r="H10576" s="389" t="s">
        <v>9567</v>
      </c>
    </row>
    <row r="10577" spans="1:8" x14ac:dyDescent="0.3">
      <c r="A10577" s="45">
        <v>45590</v>
      </c>
      <c r="B10577" s="396" t="s">
        <v>13188</v>
      </c>
      <c r="C10577" s="5" t="s">
        <v>5793</v>
      </c>
      <c r="D10577" s="5" t="s">
        <v>8924</v>
      </c>
      <c r="E10577" s="43">
        <v>500</v>
      </c>
      <c r="F10577" s="43"/>
      <c r="G10577" s="48">
        <f t="shared" si="265"/>
        <v>173945.08546533179</v>
      </c>
      <c r="H10577" s="389" t="s">
        <v>9567</v>
      </c>
    </row>
    <row r="10578" spans="1:8" x14ac:dyDescent="0.3">
      <c r="A10578" s="45">
        <v>45590</v>
      </c>
      <c r="B10578" s="396" t="s">
        <v>13188</v>
      </c>
      <c r="C10578" s="5" t="s">
        <v>26</v>
      </c>
      <c r="D10578" s="5" t="s">
        <v>14744</v>
      </c>
      <c r="E10578" s="43">
        <v>1000</v>
      </c>
      <c r="F10578" s="43"/>
      <c r="G10578" s="48">
        <f t="shared" si="265"/>
        <v>172945.08546533179</v>
      </c>
      <c r="H10578" s="389" t="s">
        <v>9567</v>
      </c>
    </row>
    <row r="10579" spans="1:8" x14ac:dyDescent="0.3">
      <c r="A10579" s="45">
        <v>45590</v>
      </c>
      <c r="B10579" s="396" t="s">
        <v>12133</v>
      </c>
      <c r="C10579" s="5" t="s">
        <v>30</v>
      </c>
      <c r="D10579" s="5" t="s">
        <v>14626</v>
      </c>
      <c r="E10579" s="43">
        <v>2000</v>
      </c>
      <c r="F10579" s="43"/>
      <c r="G10579" s="48">
        <f t="shared" si="265"/>
        <v>170945.08546533179</v>
      </c>
      <c r="H10579" s="389" t="s">
        <v>9567</v>
      </c>
    </row>
    <row r="10580" spans="1:8" x14ac:dyDescent="0.3">
      <c r="A10580" s="45">
        <v>45590</v>
      </c>
      <c r="B10580" s="396" t="s">
        <v>14590</v>
      </c>
      <c r="C10580" s="5" t="s">
        <v>5793</v>
      </c>
      <c r="D10580" s="5" t="s">
        <v>40</v>
      </c>
      <c r="E10580" s="43">
        <v>1600</v>
      </c>
      <c r="F10580" s="43"/>
      <c r="G10580" s="48">
        <f t="shared" si="265"/>
        <v>169345.08546533179</v>
      </c>
      <c r="H10580" s="389" t="s">
        <v>9567</v>
      </c>
    </row>
    <row r="10581" spans="1:8" x14ac:dyDescent="0.3">
      <c r="A10581" s="45">
        <v>45590</v>
      </c>
      <c r="B10581" s="396" t="s">
        <v>13902</v>
      </c>
      <c r="C10581" s="5" t="s">
        <v>5793</v>
      </c>
      <c r="D10581" s="5" t="s">
        <v>40</v>
      </c>
      <c r="E10581" s="43">
        <v>1600</v>
      </c>
      <c r="F10581" s="43"/>
      <c r="G10581" s="48">
        <f t="shared" si="265"/>
        <v>167745.08546533179</v>
      </c>
      <c r="H10581" s="389" t="s">
        <v>9567</v>
      </c>
    </row>
    <row r="10582" spans="1:8" x14ac:dyDescent="0.3">
      <c r="A10582" s="45">
        <v>45591</v>
      </c>
      <c r="B10582" s="396" t="s">
        <v>12133</v>
      </c>
      <c r="C10582" s="5" t="s">
        <v>84</v>
      </c>
      <c r="D10582" s="5" t="s">
        <v>14774</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11434</v>
      </c>
      <c r="E10584" s="43">
        <v>3000</v>
      </c>
      <c r="F10584" s="43"/>
      <c r="G10584" s="48">
        <f t="shared" si="267"/>
        <v>139745.08546533179</v>
      </c>
      <c r="H10584" s="389" t="s">
        <v>9567</v>
      </c>
    </row>
    <row r="10585" spans="1:8" x14ac:dyDescent="0.3">
      <c r="A10585" s="45">
        <v>45591</v>
      </c>
      <c r="B10585" s="396" t="s">
        <v>14248</v>
      </c>
      <c r="C10585" s="5" t="s">
        <v>11174</v>
      </c>
      <c r="D10585" s="5" t="s">
        <v>14778</v>
      </c>
      <c r="E10585" s="43">
        <v>6600</v>
      </c>
      <c r="F10585" s="43"/>
      <c r="G10585" s="48">
        <f t="shared" ref="G10585:G10596" si="268">G10584+F10585-E10585</f>
        <v>133145.08546533179</v>
      </c>
      <c r="H10585" s="389" t="s">
        <v>9567</v>
      </c>
    </row>
    <row r="10586" spans="1:8" x14ac:dyDescent="0.3">
      <c r="A10586" s="45">
        <v>45591</v>
      </c>
      <c r="B10586" s="396" t="s">
        <v>14775</v>
      </c>
      <c r="C10586" s="5" t="s">
        <v>5518</v>
      </c>
      <c r="D10586" s="5" t="s">
        <v>14776</v>
      </c>
      <c r="E10586" s="43">
        <v>4000</v>
      </c>
      <c r="F10586" s="43"/>
      <c r="G10586" s="48">
        <f t="shared" si="268"/>
        <v>129145.08546533179</v>
      </c>
      <c r="H10586" s="389" t="s">
        <v>9567</v>
      </c>
    </row>
    <row r="10587" spans="1:8" x14ac:dyDescent="0.3">
      <c r="A10587" s="45">
        <v>45591</v>
      </c>
      <c r="B10587" s="396" t="s">
        <v>14775</v>
      </c>
      <c r="C10587" s="5" t="s">
        <v>26</v>
      </c>
      <c r="D10587" s="5" t="s">
        <v>14777</v>
      </c>
      <c r="E10587" s="43">
        <v>1000</v>
      </c>
      <c r="F10587" s="43"/>
      <c r="G10587" s="48">
        <f t="shared" si="268"/>
        <v>128145.08546533179</v>
      </c>
      <c r="H10587" s="389" t="s">
        <v>9567</v>
      </c>
    </row>
    <row r="10588" spans="1:8" x14ac:dyDescent="0.3">
      <c r="A10588" s="45">
        <v>45591</v>
      </c>
      <c r="B10588" s="396" t="s">
        <v>14685</v>
      </c>
      <c r="C10588" s="5" t="s">
        <v>5793</v>
      </c>
      <c r="D10588" s="5" t="s">
        <v>14388</v>
      </c>
      <c r="E10588" s="43">
        <v>3800</v>
      </c>
      <c r="F10588" s="43"/>
      <c r="G10588" s="48">
        <f t="shared" si="268"/>
        <v>124345.08546533179</v>
      </c>
      <c r="H10588" s="389" t="s">
        <v>9567</v>
      </c>
    </row>
    <row r="10589" spans="1:8" x14ac:dyDescent="0.3">
      <c r="A10589" s="45">
        <v>45591</v>
      </c>
      <c r="B10589" s="396" t="s">
        <v>14590</v>
      </c>
      <c r="C10589" s="5" t="s">
        <v>11174</v>
      </c>
      <c r="D10589" s="5" t="s">
        <v>13267</v>
      </c>
      <c r="E10589" s="43">
        <v>4350</v>
      </c>
      <c r="F10589" s="43"/>
      <c r="G10589" s="48">
        <f t="shared" si="268"/>
        <v>119995.08546533179</v>
      </c>
      <c r="H10589" s="389" t="s">
        <v>9567</v>
      </c>
    </row>
    <row r="10590" spans="1:8" x14ac:dyDescent="0.3">
      <c r="A10590" s="45">
        <v>45591</v>
      </c>
      <c r="B10590" s="396" t="s">
        <v>12133</v>
      </c>
      <c r="C10590" s="5" t="s">
        <v>14321</v>
      </c>
      <c r="D10590" s="5" t="s">
        <v>14779</v>
      </c>
      <c r="E10590" s="43">
        <v>8740</v>
      </c>
      <c r="F10590" s="43"/>
      <c r="G10590" s="48">
        <f t="shared" si="268"/>
        <v>111255.08546533179</v>
      </c>
      <c r="H10590" s="389" t="s">
        <v>9567</v>
      </c>
    </row>
    <row r="10591" spans="1:8" x14ac:dyDescent="0.3">
      <c r="A10591" s="45">
        <v>45591</v>
      </c>
      <c r="B10591" s="396" t="s">
        <v>14701</v>
      </c>
      <c r="C10591" s="5" t="s">
        <v>10112</v>
      </c>
      <c r="D10591" s="5" t="s">
        <v>14780</v>
      </c>
      <c r="E10591" s="43">
        <v>25000</v>
      </c>
      <c r="F10591" s="43"/>
      <c r="G10591" s="48">
        <f t="shared" si="268"/>
        <v>86255.085465331795</v>
      </c>
      <c r="H10591" s="389" t="s">
        <v>9567</v>
      </c>
    </row>
    <row r="10592" spans="1:8" x14ac:dyDescent="0.3">
      <c r="A10592" s="45">
        <v>45591</v>
      </c>
      <c r="B10592" s="396" t="s">
        <v>14685</v>
      </c>
      <c r="C10592" s="5" t="s">
        <v>5793</v>
      </c>
      <c r="D10592" s="5" t="s">
        <v>14754</v>
      </c>
      <c r="E10592" s="43">
        <v>1600</v>
      </c>
      <c r="F10592" s="43"/>
      <c r="G10592" s="48">
        <f t="shared" si="268"/>
        <v>84655.085465331795</v>
      </c>
      <c r="H10592" s="389" t="s">
        <v>9567</v>
      </c>
    </row>
    <row r="10593" spans="1:8" x14ac:dyDescent="0.3">
      <c r="A10593" s="45">
        <v>45591</v>
      </c>
      <c r="B10593" s="396" t="s">
        <v>12133</v>
      </c>
      <c r="C10593" s="5" t="s">
        <v>5162</v>
      </c>
      <c r="D10593" s="5" t="s">
        <v>14781</v>
      </c>
      <c r="E10593" s="43">
        <v>15000</v>
      </c>
      <c r="F10593" s="43"/>
      <c r="G10593" s="48">
        <f t="shared" si="268"/>
        <v>69655.085465331795</v>
      </c>
      <c r="H10593" s="389" t="s">
        <v>9567</v>
      </c>
    </row>
    <row r="10594" spans="1:8" x14ac:dyDescent="0.3">
      <c r="A10594" s="45">
        <v>45593</v>
      </c>
      <c r="B10594" s="396" t="s">
        <v>12133</v>
      </c>
      <c r="C10594" s="5" t="s">
        <v>30</v>
      </c>
      <c r="D10594" s="5" t="s">
        <v>14782</v>
      </c>
      <c r="E10594" s="43">
        <v>2000</v>
      </c>
      <c r="F10594" s="43"/>
      <c r="G10594" s="48">
        <f t="shared" si="268"/>
        <v>67655.085465331795</v>
      </c>
      <c r="H10594" s="389" t="s">
        <v>9567</v>
      </c>
    </row>
    <row r="10595" spans="1:8" x14ac:dyDescent="0.3">
      <c r="A10595" s="45">
        <v>45593</v>
      </c>
      <c r="B10595" s="396" t="s">
        <v>12133</v>
      </c>
      <c r="C10595" s="5" t="s">
        <v>5793</v>
      </c>
      <c r="D10595" s="5" t="s">
        <v>14783</v>
      </c>
      <c r="E10595" s="43">
        <v>3000</v>
      </c>
      <c r="F10595" s="43"/>
      <c r="G10595" s="48">
        <f t="shared" si="268"/>
        <v>64655.085465331795</v>
      </c>
      <c r="H10595" s="389" t="s">
        <v>9567</v>
      </c>
    </row>
    <row r="10596" spans="1:8" x14ac:dyDescent="0.3">
      <c r="A10596" s="45">
        <v>45593</v>
      </c>
      <c r="B10596" s="396" t="s">
        <v>14701</v>
      </c>
      <c r="C10596" s="5" t="s">
        <v>5288</v>
      </c>
      <c r="D10596" s="5" t="s">
        <v>14784</v>
      </c>
      <c r="E10596" s="43">
        <v>20000</v>
      </c>
      <c r="F10596" s="43"/>
      <c r="G10596" s="48">
        <f t="shared" si="268"/>
        <v>44655.085465331795</v>
      </c>
      <c r="H10596" s="389" t="s">
        <v>9567</v>
      </c>
    </row>
    <row r="10597" spans="1:8" x14ac:dyDescent="0.3">
      <c r="A10597" s="45">
        <v>45593</v>
      </c>
      <c r="B10597" s="396" t="s">
        <v>25</v>
      </c>
      <c r="C10597" s="5" t="s">
        <v>25</v>
      </c>
      <c r="D10597" s="5" t="s">
        <v>11434</v>
      </c>
      <c r="E10597" s="43">
        <v>3000</v>
      </c>
      <c r="F10597" s="43"/>
      <c r="G10597" s="48">
        <f t="shared" ref="G10597:G10657" si="269">G10596+F10597-E10597</f>
        <v>41655.085465331795</v>
      </c>
      <c r="H10597" s="389" t="s">
        <v>9567</v>
      </c>
    </row>
    <row r="10598" spans="1:8" x14ac:dyDescent="0.3">
      <c r="A10598" s="45">
        <v>45593</v>
      </c>
      <c r="B10598" s="396" t="s">
        <v>13709</v>
      </c>
      <c r="C10598" s="5" t="s">
        <v>84</v>
      </c>
      <c r="D10598" s="5" t="s">
        <v>14786</v>
      </c>
      <c r="E10598" s="43">
        <v>3000</v>
      </c>
      <c r="F10598" s="43"/>
      <c r="G10598" s="48">
        <f t="shared" si="269"/>
        <v>38655.085465331795</v>
      </c>
      <c r="H10598" s="389" t="s">
        <v>9567</v>
      </c>
    </row>
    <row r="10599" spans="1:8" x14ac:dyDescent="0.3">
      <c r="A10599" s="45">
        <v>45593</v>
      </c>
      <c r="B10599" s="396" t="s">
        <v>13902</v>
      </c>
      <c r="C10599" s="5" t="s">
        <v>5793</v>
      </c>
      <c r="D10599" s="5" t="s">
        <v>14787</v>
      </c>
      <c r="E10599" s="43">
        <v>3500</v>
      </c>
      <c r="F10599" s="43"/>
      <c r="G10599" s="48">
        <f t="shared" si="269"/>
        <v>35155.085465331795</v>
      </c>
      <c r="H10599" s="389" t="s">
        <v>9567</v>
      </c>
    </row>
    <row r="10600" spans="1:8" x14ac:dyDescent="0.3">
      <c r="A10600" s="45">
        <v>45593</v>
      </c>
      <c r="B10600" s="565"/>
      <c r="C10600" s="480"/>
      <c r="D10600" s="491" t="s">
        <v>14646</v>
      </c>
      <c r="E10600" s="480"/>
      <c r="F10600" s="43">
        <v>1000000</v>
      </c>
      <c r="G10600" s="48">
        <f t="shared" si="269"/>
        <v>1035155.0854653318</v>
      </c>
      <c r="H10600" s="389" t="s">
        <v>9567</v>
      </c>
    </row>
    <row r="10601" spans="1:8" x14ac:dyDescent="0.3">
      <c r="A10601" s="45">
        <v>45593</v>
      </c>
      <c r="B10601" s="396" t="s">
        <v>10447</v>
      </c>
      <c r="C10601" s="5" t="s">
        <v>14</v>
      </c>
      <c r="D10601" s="5" t="s">
        <v>14788</v>
      </c>
      <c r="E10601" s="43">
        <v>700000</v>
      </c>
      <c r="F10601" s="43"/>
      <c r="G10601" s="48">
        <f t="shared" si="269"/>
        <v>335155.08546533179</v>
      </c>
      <c r="H10601" s="389" t="s">
        <v>9567</v>
      </c>
    </row>
    <row r="10602" spans="1:8" x14ac:dyDescent="0.3">
      <c r="A10602" s="45">
        <v>45593</v>
      </c>
      <c r="B10602" s="396" t="s">
        <v>14685</v>
      </c>
      <c r="C10602" s="5" t="s">
        <v>5793</v>
      </c>
      <c r="D10602" s="5" t="s">
        <v>8924</v>
      </c>
      <c r="E10602" s="43">
        <v>360</v>
      </c>
      <c r="F10602" s="43"/>
      <c r="G10602" s="48">
        <f t="shared" si="269"/>
        <v>334795.08546533179</v>
      </c>
      <c r="H10602" s="389" t="s">
        <v>9567</v>
      </c>
    </row>
    <row r="10603" spans="1:8" x14ac:dyDescent="0.3">
      <c r="A10603" s="45">
        <v>45593</v>
      </c>
      <c r="B10603" s="396" t="s">
        <v>13902</v>
      </c>
      <c r="C10603" s="5" t="s">
        <v>5793</v>
      </c>
      <c r="D10603" s="5" t="s">
        <v>14789</v>
      </c>
      <c r="E10603" s="43">
        <v>800</v>
      </c>
      <c r="F10603" s="43"/>
      <c r="G10603" s="48">
        <f t="shared" si="269"/>
        <v>333995.08546533179</v>
      </c>
      <c r="H10603" s="389" t="s">
        <v>9567</v>
      </c>
    </row>
    <row r="10604" spans="1:8" x14ac:dyDescent="0.3">
      <c r="A10604" s="45">
        <v>45594</v>
      </c>
      <c r="B10604" s="396" t="s">
        <v>13321</v>
      </c>
      <c r="C10604" s="5" t="s">
        <v>57</v>
      </c>
      <c r="D10604" s="5" t="s">
        <v>14790</v>
      </c>
      <c r="E10604" s="43">
        <v>15000</v>
      </c>
      <c r="F10604" s="43"/>
      <c r="G10604" s="48">
        <f t="shared" si="269"/>
        <v>318995.08546533179</v>
      </c>
      <c r="H10604" s="389" t="s">
        <v>9567</v>
      </c>
    </row>
    <row r="10605" spans="1:8" x14ac:dyDescent="0.3">
      <c r="A10605" s="45">
        <v>45594</v>
      </c>
      <c r="B10605" s="396" t="s">
        <v>12230</v>
      </c>
      <c r="C10605" s="5" t="s">
        <v>1074</v>
      </c>
      <c r="D10605" s="5" t="s">
        <v>13624</v>
      </c>
      <c r="E10605" s="43">
        <f>3290+67438</f>
        <v>70728</v>
      </c>
      <c r="F10605" s="43"/>
      <c r="G10605" s="48">
        <f t="shared" si="269"/>
        <v>248267.08546533179</v>
      </c>
      <c r="H10605" s="389" t="s">
        <v>9567</v>
      </c>
    </row>
    <row r="10606" spans="1:8" x14ac:dyDescent="0.3">
      <c r="A10606" s="45">
        <v>45594</v>
      </c>
      <c r="B10606" s="396" t="s">
        <v>25</v>
      </c>
      <c r="C10606" s="5" t="s">
        <v>1074</v>
      </c>
      <c r="D10606" s="5" t="s">
        <v>13624</v>
      </c>
      <c r="E10606" s="43">
        <f>24715+55988</f>
        <v>80703</v>
      </c>
      <c r="F10606" s="43"/>
      <c r="G10606" s="48">
        <f t="shared" si="269"/>
        <v>167564.08546533179</v>
      </c>
      <c r="H10606" s="389" t="s">
        <v>9567</v>
      </c>
    </row>
    <row r="10607" spans="1:8" x14ac:dyDescent="0.3">
      <c r="A10607" s="45">
        <v>45594</v>
      </c>
      <c r="B10607" s="396" t="s">
        <v>12230</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13902</v>
      </c>
      <c r="C10609" s="5" t="s">
        <v>5793</v>
      </c>
      <c r="D10609" s="5" t="s">
        <v>40</v>
      </c>
      <c r="E10609" s="43">
        <v>600</v>
      </c>
      <c r="F10609" s="43"/>
      <c r="G10609" s="48">
        <f t="shared" si="269"/>
        <v>165084.08546533179</v>
      </c>
      <c r="H10609" s="389" t="s">
        <v>9567</v>
      </c>
    </row>
    <row r="10610" spans="1:8" x14ac:dyDescent="0.3">
      <c r="A10610" s="45">
        <v>45594</v>
      </c>
      <c r="B10610" s="396" t="s">
        <v>14248</v>
      </c>
      <c r="C10610" s="5" t="s">
        <v>11174</v>
      </c>
      <c r="D10610" s="5" t="s">
        <v>14797</v>
      </c>
      <c r="E10610" s="43">
        <v>2150</v>
      </c>
      <c r="F10610" s="43"/>
      <c r="G10610" s="48">
        <f t="shared" si="269"/>
        <v>162934.08546533179</v>
      </c>
      <c r="H10610" s="389" t="s">
        <v>9567</v>
      </c>
    </row>
    <row r="10611" spans="1:8" x14ac:dyDescent="0.3">
      <c r="A10611" s="45">
        <v>45594</v>
      </c>
      <c r="B10611" s="396" t="s">
        <v>13902</v>
      </c>
      <c r="C10611" s="5" t="s">
        <v>30</v>
      </c>
      <c r="D10611" s="5" t="s">
        <v>14782</v>
      </c>
      <c r="E10611" s="43">
        <v>1500</v>
      </c>
      <c r="F10611" s="43"/>
      <c r="G10611" s="48">
        <f t="shared" si="269"/>
        <v>161434.08546533179</v>
      </c>
      <c r="H10611" s="389" t="s">
        <v>9567</v>
      </c>
    </row>
    <row r="10612" spans="1:8" x14ac:dyDescent="0.3">
      <c r="A10612" s="45">
        <v>45594</v>
      </c>
      <c r="B10612" s="396" t="s">
        <v>13981</v>
      </c>
      <c r="C10612" s="5" t="s">
        <v>11174</v>
      </c>
      <c r="D10612" s="5" t="s">
        <v>14792</v>
      </c>
      <c r="E10612" s="43">
        <v>43000</v>
      </c>
      <c r="F10612" s="43"/>
      <c r="G10612" s="48">
        <f t="shared" si="269"/>
        <v>118434.08546533179</v>
      </c>
      <c r="H10612" s="389" t="s">
        <v>9567</v>
      </c>
    </row>
    <row r="10613" spans="1:8" x14ac:dyDescent="0.3">
      <c r="A10613" s="45">
        <v>45594</v>
      </c>
      <c r="B10613" s="396"/>
      <c r="C10613" s="5" t="s">
        <v>84</v>
      </c>
      <c r="D10613" s="5" t="s">
        <v>14793</v>
      </c>
      <c r="E10613" s="43">
        <v>30000</v>
      </c>
      <c r="F10613" s="43"/>
      <c r="G10613" s="48">
        <f t="shared" si="269"/>
        <v>88434.085465331795</v>
      </c>
      <c r="H10613" s="389" t="s">
        <v>9567</v>
      </c>
    </row>
    <row r="10614" spans="1:8" x14ac:dyDescent="0.3">
      <c r="A10614" s="45">
        <v>45594</v>
      </c>
      <c r="B10614" s="396" t="s">
        <v>12133</v>
      </c>
      <c r="C10614" s="5" t="s">
        <v>5793</v>
      </c>
      <c r="D10614" s="5" t="s">
        <v>14388</v>
      </c>
      <c r="E10614" s="43">
        <v>1500</v>
      </c>
      <c r="F10614" s="43"/>
      <c r="G10614" s="48">
        <f t="shared" si="269"/>
        <v>86934.085465331795</v>
      </c>
      <c r="H10614" s="389" t="s">
        <v>9567</v>
      </c>
    </row>
    <row r="10615" spans="1:8" x14ac:dyDescent="0.3">
      <c r="A10615" s="45">
        <v>45594</v>
      </c>
      <c r="B10615" s="396" t="s">
        <v>14310</v>
      </c>
      <c r="C10615" s="5" t="s">
        <v>5793</v>
      </c>
      <c r="D10615" s="5" t="s">
        <v>14795</v>
      </c>
      <c r="E10615" s="43">
        <v>14930</v>
      </c>
      <c r="F10615" s="43"/>
      <c r="G10615" s="48">
        <f t="shared" si="269"/>
        <v>72004.085465331795</v>
      </c>
      <c r="H10615" s="389" t="s">
        <v>9567</v>
      </c>
    </row>
    <row r="10616" spans="1:8" x14ac:dyDescent="0.3">
      <c r="A10616" s="45">
        <v>45594</v>
      </c>
      <c r="B10616" s="396" t="s">
        <v>14524</v>
      </c>
      <c r="C10616" s="5" t="s">
        <v>5793</v>
      </c>
      <c r="D10616" s="5" t="s">
        <v>40</v>
      </c>
      <c r="E10616" s="43">
        <v>1500</v>
      </c>
      <c r="F10616" s="43"/>
      <c r="G10616" s="48">
        <f t="shared" si="269"/>
        <v>70504.085465331795</v>
      </c>
      <c r="H10616" s="389" t="s">
        <v>9567</v>
      </c>
    </row>
    <row r="10617" spans="1:8" x14ac:dyDescent="0.3">
      <c r="A10617" s="45">
        <v>45594</v>
      </c>
      <c r="B10617" s="396" t="s">
        <v>14685</v>
      </c>
      <c r="C10617" s="5" t="s">
        <v>5793</v>
      </c>
      <c r="D10617" s="5" t="s">
        <v>40</v>
      </c>
      <c r="E10617" s="43">
        <v>1500</v>
      </c>
      <c r="F10617" s="43"/>
      <c r="G10617" s="48">
        <f t="shared" si="269"/>
        <v>69004.085465331795</v>
      </c>
      <c r="H10617" s="389" t="s">
        <v>9567</v>
      </c>
    </row>
    <row r="10618" spans="1:8" x14ac:dyDescent="0.3">
      <c r="A10618" s="45">
        <v>45594</v>
      </c>
      <c r="B10618" s="396" t="s">
        <v>14248</v>
      </c>
      <c r="C10618" s="5" t="s">
        <v>5793</v>
      </c>
      <c r="D10618" s="5" t="s">
        <v>40</v>
      </c>
      <c r="E10618" s="43">
        <v>1000</v>
      </c>
      <c r="F10618" s="43"/>
      <c r="G10618" s="48">
        <f t="shared" si="269"/>
        <v>68004.085465331795</v>
      </c>
      <c r="H10618" s="389" t="s">
        <v>9567</v>
      </c>
    </row>
    <row r="10619" spans="1:8" x14ac:dyDescent="0.3">
      <c r="A10619" s="45">
        <v>45594</v>
      </c>
      <c r="B10619" s="396" t="s">
        <v>13188</v>
      </c>
      <c r="C10619" s="5" t="s">
        <v>5793</v>
      </c>
      <c r="D10619" s="5" t="s">
        <v>14796</v>
      </c>
      <c r="E10619" s="43">
        <v>3950</v>
      </c>
      <c r="F10619" s="43"/>
      <c r="G10619" s="48">
        <f t="shared" si="269"/>
        <v>64054.085465331795</v>
      </c>
      <c r="H10619" s="389" t="s">
        <v>9567</v>
      </c>
    </row>
    <row r="10620" spans="1:8" x14ac:dyDescent="0.3">
      <c r="A10620" s="45">
        <v>45594</v>
      </c>
      <c r="B10620" s="396" t="s">
        <v>25</v>
      </c>
      <c r="C10620" s="5" t="s">
        <v>25</v>
      </c>
      <c r="D10620" s="5" t="s">
        <v>11434</v>
      </c>
      <c r="E10620" s="43">
        <v>3000</v>
      </c>
      <c r="F10620" s="43"/>
      <c r="G10620" s="48">
        <f t="shared" si="269"/>
        <v>61054.085465331795</v>
      </c>
      <c r="H10620" s="389" t="s">
        <v>9567</v>
      </c>
    </row>
    <row r="10621" spans="1:8" x14ac:dyDescent="0.3">
      <c r="A10621" s="45">
        <v>45594</v>
      </c>
      <c r="B10621" s="396" t="s">
        <v>13379</v>
      </c>
      <c r="C10621" s="5" t="s">
        <v>11174</v>
      </c>
      <c r="D10621" s="5" t="s">
        <v>14798</v>
      </c>
      <c r="E10621" s="43">
        <v>5000</v>
      </c>
      <c r="F10621" s="43"/>
      <c r="G10621" s="48">
        <f t="shared" si="269"/>
        <v>56054.085465331795</v>
      </c>
      <c r="H10621" s="389" t="s">
        <v>9567</v>
      </c>
    </row>
    <row r="10622" spans="1:8" x14ac:dyDescent="0.3">
      <c r="A10622" s="45">
        <v>45594</v>
      </c>
      <c r="B10622" s="396" t="s">
        <v>12133</v>
      </c>
      <c r="C10622" s="5" t="s">
        <v>5793</v>
      </c>
      <c r="D10622" s="5" t="s">
        <v>10722</v>
      </c>
      <c r="E10622" s="43">
        <v>260</v>
      </c>
      <c r="F10622" s="43"/>
      <c r="G10622" s="48">
        <f t="shared" si="269"/>
        <v>55794.085465331795</v>
      </c>
      <c r="H10622" s="389" t="s">
        <v>9567</v>
      </c>
    </row>
    <row r="10623" spans="1:8" x14ac:dyDescent="0.3">
      <c r="A10623" s="45">
        <v>45594</v>
      </c>
      <c r="B10623" s="396" t="s">
        <v>13902</v>
      </c>
      <c r="C10623" s="5" t="s">
        <v>11174</v>
      </c>
      <c r="D10623" s="5" t="s">
        <v>14799</v>
      </c>
      <c r="E10623" s="43">
        <v>5000</v>
      </c>
      <c r="F10623" s="43"/>
      <c r="G10623" s="48">
        <f t="shared" si="269"/>
        <v>50794.085465331795</v>
      </c>
      <c r="H10623" s="389" t="s">
        <v>9567</v>
      </c>
    </row>
    <row r="10624" spans="1:8" x14ac:dyDescent="0.3">
      <c r="A10624" s="45">
        <v>45595</v>
      </c>
      <c r="B10624" s="396" t="s">
        <v>12133</v>
      </c>
      <c r="C10624" s="5" t="s">
        <v>5793</v>
      </c>
      <c r="D10624" s="5" t="s">
        <v>40</v>
      </c>
      <c r="E10624" s="43">
        <v>1500</v>
      </c>
      <c r="F10624" s="43"/>
      <c r="G10624" s="48">
        <f t="shared" si="269"/>
        <v>49294.085465331795</v>
      </c>
      <c r="H10624" s="389" t="s">
        <v>9567</v>
      </c>
    </row>
    <row r="10625" spans="1:10" x14ac:dyDescent="0.3">
      <c r="A10625" s="45">
        <v>45595</v>
      </c>
      <c r="B10625" s="396" t="s">
        <v>12133</v>
      </c>
      <c r="C10625" s="5" t="s">
        <v>5793</v>
      </c>
      <c r="D10625" s="5" t="s">
        <v>8924</v>
      </c>
      <c r="E10625" s="43">
        <v>400</v>
      </c>
      <c r="F10625" s="43"/>
      <c r="G10625" s="48">
        <f t="shared" si="269"/>
        <v>48894.085465331795</v>
      </c>
      <c r="H10625" s="389" t="s">
        <v>9567</v>
      </c>
    </row>
    <row r="10626" spans="1:10" x14ac:dyDescent="0.3">
      <c r="A10626" s="45">
        <v>45595</v>
      </c>
      <c r="B10626" s="396" t="s">
        <v>14685</v>
      </c>
      <c r="C10626" s="5" t="s">
        <v>5793</v>
      </c>
      <c r="D10626" s="5" t="s">
        <v>40</v>
      </c>
      <c r="E10626" s="43">
        <v>1200</v>
      </c>
      <c r="F10626" s="43"/>
      <c r="G10626" s="48">
        <f t="shared" si="269"/>
        <v>47694.085465331795</v>
      </c>
      <c r="H10626" s="389" t="s">
        <v>9567</v>
      </c>
    </row>
    <row r="10627" spans="1:10" x14ac:dyDescent="0.3">
      <c r="A10627" s="45">
        <v>45595</v>
      </c>
      <c r="B10627" s="396" t="s">
        <v>13188</v>
      </c>
      <c r="C10627" s="5" t="s">
        <v>5793</v>
      </c>
      <c r="D10627" s="5" t="s">
        <v>40</v>
      </c>
      <c r="E10627" s="43">
        <v>2800</v>
      </c>
      <c r="F10627" s="43"/>
      <c r="G10627" s="48">
        <f t="shared" si="269"/>
        <v>44894.085465331795</v>
      </c>
      <c r="H10627" s="389" t="s">
        <v>9567</v>
      </c>
    </row>
    <row r="10628" spans="1:10" x14ac:dyDescent="0.3">
      <c r="A10628" s="45">
        <v>45595</v>
      </c>
      <c r="B10628" s="396" t="s">
        <v>14685</v>
      </c>
      <c r="C10628" s="5" t="s">
        <v>5793</v>
      </c>
      <c r="D10628" s="5" t="s">
        <v>40</v>
      </c>
      <c r="E10628" s="43">
        <v>4000</v>
      </c>
      <c r="F10628" s="43"/>
      <c r="G10628" s="48">
        <f t="shared" si="269"/>
        <v>40894.085465331795</v>
      </c>
      <c r="H10628" s="389" t="s">
        <v>9567</v>
      </c>
    </row>
    <row r="10629" spans="1:10" x14ac:dyDescent="0.3">
      <c r="A10629" s="45">
        <v>45595</v>
      </c>
      <c r="B10629" s="396" t="s">
        <v>13188</v>
      </c>
      <c r="C10629" s="5" t="s">
        <v>5793</v>
      </c>
      <c r="D10629" s="5" t="s">
        <v>40</v>
      </c>
      <c r="E10629" s="43">
        <v>700</v>
      </c>
      <c r="F10629" s="43"/>
      <c r="G10629" s="48">
        <f t="shared" si="269"/>
        <v>40194.085465331795</v>
      </c>
      <c r="H10629" s="389" t="s">
        <v>9567</v>
      </c>
    </row>
    <row r="10630" spans="1:10" x14ac:dyDescent="0.3">
      <c r="A10630" s="45">
        <v>45595</v>
      </c>
      <c r="B10630" s="396" t="s">
        <v>13902</v>
      </c>
      <c r="C10630" s="5" t="s">
        <v>30</v>
      </c>
      <c r="D10630" s="5" t="s">
        <v>14782</v>
      </c>
      <c r="E10630" s="43">
        <v>1000</v>
      </c>
      <c r="F10630" s="43"/>
      <c r="G10630" s="48">
        <f t="shared" si="269"/>
        <v>39194.085465331795</v>
      </c>
      <c r="H10630" s="389" t="s">
        <v>9567</v>
      </c>
    </row>
    <row r="10631" spans="1:10" x14ac:dyDescent="0.3">
      <c r="A10631" s="45">
        <v>45595</v>
      </c>
      <c r="B10631" s="396" t="s">
        <v>25</v>
      </c>
      <c r="C10631" s="5" t="s">
        <v>25</v>
      </c>
      <c r="D10631" s="5" t="s">
        <v>11434</v>
      </c>
      <c r="E10631" s="43">
        <v>3000</v>
      </c>
      <c r="F10631" s="43"/>
      <c r="G10631" s="48">
        <f t="shared" si="269"/>
        <v>36194.085465331795</v>
      </c>
      <c r="H10631" s="389" t="s">
        <v>9567</v>
      </c>
      <c r="J10631" s="52">
        <v>400</v>
      </c>
    </row>
    <row r="10632" spans="1:10" x14ac:dyDescent="0.3">
      <c r="A10632" s="45">
        <v>45596</v>
      </c>
      <c r="B10632" s="396" t="s">
        <v>13902</v>
      </c>
      <c r="C10632" s="5" t="s">
        <v>30</v>
      </c>
      <c r="D10632" s="5" t="s">
        <v>14804</v>
      </c>
      <c r="E10632" s="43">
        <v>1000</v>
      </c>
      <c r="F10632" s="43"/>
      <c r="G10632" s="48">
        <f t="shared" si="269"/>
        <v>35194.085465331795</v>
      </c>
      <c r="H10632" s="389" t="s">
        <v>9567</v>
      </c>
      <c r="J10632" s="52">
        <v>7200</v>
      </c>
    </row>
    <row r="10633" spans="1:10" x14ac:dyDescent="0.3">
      <c r="A10633" s="45">
        <v>45596</v>
      </c>
      <c r="B10633" s="396" t="s">
        <v>13902</v>
      </c>
      <c r="C10633" s="5" t="s">
        <v>5793</v>
      </c>
      <c r="D10633" s="5" t="s">
        <v>40</v>
      </c>
      <c r="E10633" s="43">
        <v>700</v>
      </c>
      <c r="F10633" s="43"/>
      <c r="G10633" s="48">
        <f t="shared" si="269"/>
        <v>34494.085465331795</v>
      </c>
      <c r="H10633" s="389" t="s">
        <v>9567</v>
      </c>
      <c r="J10633" s="52">
        <v>21600</v>
      </c>
    </row>
    <row r="10634" spans="1:10" x14ac:dyDescent="0.3">
      <c r="A10634" s="45">
        <v>45596</v>
      </c>
      <c r="B10634" s="396" t="s">
        <v>14685</v>
      </c>
      <c r="C10634" s="5" t="s">
        <v>13425</v>
      </c>
      <c r="D10634" s="5" t="s">
        <v>40</v>
      </c>
      <c r="E10634" s="43">
        <v>400</v>
      </c>
      <c r="F10634" s="43"/>
      <c r="G10634" s="48">
        <f t="shared" si="269"/>
        <v>34094.085465331795</v>
      </c>
      <c r="H10634" s="389" t="s">
        <v>9567</v>
      </c>
      <c r="J10634" s="52">
        <v>350</v>
      </c>
    </row>
    <row r="10635" spans="1:10" x14ac:dyDescent="0.3">
      <c r="A10635" s="45">
        <v>45596</v>
      </c>
      <c r="B10635" s="396" t="s">
        <v>13902</v>
      </c>
      <c r="C10635" s="5" t="s">
        <v>11174</v>
      </c>
      <c r="D10635" s="5" t="s">
        <v>14805</v>
      </c>
      <c r="E10635" s="43">
        <v>7200</v>
      </c>
      <c r="F10635" s="43"/>
      <c r="G10635" s="48">
        <f t="shared" si="269"/>
        <v>26894.085465331795</v>
      </c>
      <c r="H10635" s="389" t="s">
        <v>9567</v>
      </c>
      <c r="J10635" s="52">
        <v>250</v>
      </c>
    </row>
    <row r="10636" spans="1:10" x14ac:dyDescent="0.3">
      <c r="A10636" s="45">
        <v>45596</v>
      </c>
      <c r="B10636" s="396" t="s">
        <v>14685</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14685</v>
      </c>
      <c r="C10637" s="5" t="s">
        <v>30</v>
      </c>
      <c r="D10637" s="5" t="s">
        <v>14803</v>
      </c>
      <c r="E10637" s="43">
        <v>500</v>
      </c>
      <c r="F10637" s="43"/>
      <c r="G10637" s="48">
        <f t="shared" si="269"/>
        <v>4794.0854653317947</v>
      </c>
      <c r="H10637" s="389" t="s">
        <v>9567</v>
      </c>
      <c r="J10637" s="52">
        <v>1000</v>
      </c>
    </row>
    <row r="10638" spans="1:10" x14ac:dyDescent="0.3">
      <c r="A10638" s="45">
        <v>45596</v>
      </c>
      <c r="B10638" s="396" t="s">
        <v>13902</v>
      </c>
      <c r="C10638" s="5" t="s">
        <v>30</v>
      </c>
      <c r="D10638" s="5" t="s">
        <v>14782</v>
      </c>
      <c r="E10638" s="43">
        <v>1000</v>
      </c>
      <c r="F10638" s="43"/>
      <c r="G10638" s="241">
        <f t="shared" si="269"/>
        <v>3794.0854653317947</v>
      </c>
      <c r="H10638" s="389" t="s">
        <v>9567</v>
      </c>
      <c r="J10638" s="52">
        <v>1000</v>
      </c>
    </row>
    <row r="10639" spans="1:10" x14ac:dyDescent="0.3">
      <c r="A10639" s="45">
        <v>45596</v>
      </c>
      <c r="B10639" s="396" t="s">
        <v>13902</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5"/>
      <c r="C10640" s="480"/>
      <c r="D10640" s="491" t="s">
        <v>14646</v>
      </c>
      <c r="E10640" s="480"/>
      <c r="F10640" s="43">
        <v>100000</v>
      </c>
      <c r="G10640" s="48">
        <f t="shared" si="269"/>
        <v>102994.08546533179</v>
      </c>
      <c r="H10640" s="389" t="s">
        <v>9567</v>
      </c>
      <c r="J10640" s="52">
        <v>33100</v>
      </c>
    </row>
    <row r="10641" spans="1:14" x14ac:dyDescent="0.3">
      <c r="A10641" s="45">
        <v>45596</v>
      </c>
      <c r="B10641" s="396" t="s">
        <v>13902</v>
      </c>
      <c r="C10641" s="5" t="s">
        <v>11174</v>
      </c>
      <c r="D10641" s="5" t="s">
        <v>13267</v>
      </c>
      <c r="E10641" s="43">
        <v>4000</v>
      </c>
      <c r="F10641" s="43"/>
      <c r="G10641" s="48">
        <f t="shared" si="269"/>
        <v>98994.085465331795</v>
      </c>
      <c r="H10641" s="389" t="s">
        <v>9567</v>
      </c>
      <c r="J10641" s="52">
        <f>J10640-J10639</f>
        <v>1050</v>
      </c>
    </row>
    <row r="10642" spans="1:14" x14ac:dyDescent="0.3">
      <c r="A10642" s="45">
        <v>45596</v>
      </c>
      <c r="B10642" s="396" t="s">
        <v>13902</v>
      </c>
      <c r="C10642" s="5" t="s">
        <v>11174</v>
      </c>
      <c r="D10642" s="5" t="s">
        <v>14836</v>
      </c>
      <c r="E10642" s="43">
        <v>29000</v>
      </c>
      <c r="F10642" s="43"/>
      <c r="G10642" s="48">
        <f t="shared" si="269"/>
        <v>69994.085465331795</v>
      </c>
      <c r="H10642" s="389" t="s">
        <v>9567</v>
      </c>
    </row>
    <row r="10643" spans="1:14" x14ac:dyDescent="0.3">
      <c r="A10643" s="45">
        <v>45596</v>
      </c>
      <c r="B10643" s="396" t="s">
        <v>14248</v>
      </c>
      <c r="C10643" s="5" t="s">
        <v>14321</v>
      </c>
      <c r="D10643" s="5" t="s">
        <v>14806</v>
      </c>
      <c r="E10643" s="43">
        <v>43200</v>
      </c>
      <c r="F10643" s="43"/>
      <c r="G10643" s="48">
        <f t="shared" si="269"/>
        <v>26794.085465331795</v>
      </c>
      <c r="H10643" s="389" t="s">
        <v>9567</v>
      </c>
    </row>
    <row r="10644" spans="1:14" s="387" customFormat="1" ht="37.5" x14ac:dyDescent="0.3">
      <c r="A10644" s="45">
        <v>45596</v>
      </c>
      <c r="B10644" s="320" t="s">
        <v>13981</v>
      </c>
      <c r="C10644" s="44" t="s">
        <v>14807</v>
      </c>
      <c r="D10644" s="124" t="s">
        <v>14808</v>
      </c>
      <c r="E10644" s="28">
        <v>10000</v>
      </c>
      <c r="F10644" s="28"/>
      <c r="G10644" s="48">
        <f t="shared" si="269"/>
        <v>16794.085465331795</v>
      </c>
      <c r="H10644" s="389" t="s">
        <v>9567</v>
      </c>
      <c r="I10644" s="155"/>
      <c r="J10644" s="155"/>
      <c r="K10644" s="155"/>
      <c r="N10644" s="155"/>
    </row>
    <row r="10645" spans="1:14" x14ac:dyDescent="0.3">
      <c r="A10645" s="45">
        <v>45596</v>
      </c>
      <c r="B10645" s="396" t="s">
        <v>13902</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11434</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13379</v>
      </c>
      <c r="C10648" s="5" t="s">
        <v>11174</v>
      </c>
      <c r="D10648" s="5" t="s">
        <v>14810</v>
      </c>
      <c r="E10648" s="43">
        <v>200</v>
      </c>
      <c r="F10648" s="43"/>
      <c r="G10648" s="48">
        <f t="shared" si="269"/>
        <v>6194.0854653317947</v>
      </c>
      <c r="H10648" s="389" t="s">
        <v>9567</v>
      </c>
    </row>
    <row r="10649" spans="1:14" x14ac:dyDescent="0.3">
      <c r="A10649" s="45">
        <v>45597</v>
      </c>
      <c r="B10649" s="565"/>
      <c r="C10649" s="480"/>
      <c r="D10649" s="491" t="s">
        <v>14812</v>
      </c>
      <c r="E10649" s="480"/>
      <c r="F10649" s="43">
        <v>100000</v>
      </c>
      <c r="G10649" s="48">
        <f t="shared" si="269"/>
        <v>106194.08546533179</v>
      </c>
      <c r="H10649" s="389" t="s">
        <v>9567</v>
      </c>
    </row>
    <row r="10650" spans="1:14" x14ac:dyDescent="0.3">
      <c r="A10650" s="45">
        <v>45597</v>
      </c>
      <c r="B10650" s="396" t="s">
        <v>13902</v>
      </c>
      <c r="C10650" s="5" t="s">
        <v>5793</v>
      </c>
      <c r="D10650" s="5" t="s">
        <v>14563</v>
      </c>
      <c r="E10650" s="43">
        <v>1600</v>
      </c>
      <c r="F10650" s="43"/>
      <c r="G10650" s="48">
        <f t="shared" si="269"/>
        <v>104594.08546533179</v>
      </c>
      <c r="H10650" s="389" t="s">
        <v>9567</v>
      </c>
    </row>
    <row r="10651" spans="1:14" x14ac:dyDescent="0.3">
      <c r="A10651" s="45">
        <v>45597</v>
      </c>
      <c r="B10651" s="396" t="s">
        <v>14590</v>
      </c>
      <c r="C10651" s="5" t="s">
        <v>5793</v>
      </c>
      <c r="D10651" s="5" t="s">
        <v>14754</v>
      </c>
      <c r="E10651" s="43">
        <v>1500</v>
      </c>
      <c r="F10651" s="43"/>
      <c r="G10651" s="48">
        <f t="shared" si="269"/>
        <v>103094.08546533179</v>
      </c>
      <c r="H10651" s="389" t="s">
        <v>9567</v>
      </c>
    </row>
    <row r="10652" spans="1:14" x14ac:dyDescent="0.3">
      <c r="A10652" s="45">
        <v>45597</v>
      </c>
      <c r="B10652" s="396" t="s">
        <v>14685</v>
      </c>
      <c r="C10652" s="5" t="s">
        <v>5793</v>
      </c>
      <c r="D10652" s="5" t="s">
        <v>14388</v>
      </c>
      <c r="E10652" s="43">
        <v>4000</v>
      </c>
      <c r="F10652" s="43"/>
      <c r="G10652" s="48">
        <f t="shared" si="269"/>
        <v>99094.085465331795</v>
      </c>
      <c r="H10652" s="389" t="s">
        <v>9567</v>
      </c>
    </row>
    <row r="10653" spans="1:14" x14ac:dyDescent="0.3">
      <c r="A10653" s="45">
        <v>45597</v>
      </c>
      <c r="B10653" s="396" t="s">
        <v>14685</v>
      </c>
      <c r="C10653" s="5" t="s">
        <v>11174</v>
      </c>
      <c r="D10653" s="5" t="s">
        <v>14814</v>
      </c>
      <c r="E10653" s="43">
        <v>18000</v>
      </c>
      <c r="F10653" s="43"/>
      <c r="G10653" s="48">
        <f t="shared" si="269"/>
        <v>81094.085465331795</v>
      </c>
      <c r="H10653" s="389" t="s">
        <v>9567</v>
      </c>
    </row>
    <row r="10654" spans="1:14" x14ac:dyDescent="0.3">
      <c r="A10654" s="45">
        <v>45597</v>
      </c>
      <c r="B10654" s="396" t="s">
        <v>14685</v>
      </c>
      <c r="C10654" s="5" t="s">
        <v>11174</v>
      </c>
      <c r="D10654" s="5" t="s">
        <v>14815</v>
      </c>
      <c r="E10654" s="43">
        <v>1625</v>
      </c>
      <c r="F10654" s="43"/>
      <c r="G10654" s="48">
        <f t="shared" si="269"/>
        <v>79469.085465331795</v>
      </c>
      <c r="H10654" s="389" t="s">
        <v>9567</v>
      </c>
      <c r="J10654" s="52">
        <v>375</v>
      </c>
    </row>
    <row r="10655" spans="1:14" x14ac:dyDescent="0.3">
      <c r="A10655" s="45">
        <v>45597</v>
      </c>
      <c r="B10655" s="396" t="s">
        <v>13902</v>
      </c>
      <c r="C10655" s="5" t="s">
        <v>30</v>
      </c>
      <c r="D10655" s="5" t="s">
        <v>14813</v>
      </c>
      <c r="E10655" s="43">
        <v>400</v>
      </c>
      <c r="F10655" s="43"/>
      <c r="G10655" s="48">
        <f t="shared" si="269"/>
        <v>79069.085465331795</v>
      </c>
      <c r="H10655" s="389" t="s">
        <v>9567</v>
      </c>
      <c r="J10655" s="52">
        <v>800</v>
      </c>
    </row>
    <row r="10656" spans="1:14" x14ac:dyDescent="0.3">
      <c r="A10656" s="45">
        <v>45597</v>
      </c>
      <c r="B10656" s="396" t="s">
        <v>14248</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13902</v>
      </c>
      <c r="C10657" s="5" t="s">
        <v>14816</v>
      </c>
      <c r="D10657" s="5" t="s">
        <v>14068</v>
      </c>
      <c r="E10657" s="43">
        <v>1000</v>
      </c>
      <c r="F10657" s="43"/>
      <c r="G10657" s="48">
        <f t="shared" si="269"/>
        <v>77269.085465331795</v>
      </c>
      <c r="H10657" s="389" t="s">
        <v>9567</v>
      </c>
      <c r="J10657" s="52">
        <v>650</v>
      </c>
    </row>
    <row r="10658" spans="1:10" x14ac:dyDescent="0.3">
      <c r="A10658" s="45">
        <v>45597</v>
      </c>
      <c r="B10658" s="396" t="s">
        <v>13709</v>
      </c>
      <c r="C10658" s="5" t="s">
        <v>26</v>
      </c>
      <c r="D10658" s="5" t="s">
        <v>14817</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14818</v>
      </c>
      <c r="E10659" s="43">
        <v>2000</v>
      </c>
      <c r="F10659" s="43"/>
      <c r="G10659" s="48">
        <f t="shared" si="270"/>
        <v>74619.085465331795</v>
      </c>
      <c r="H10659" s="389" t="s">
        <v>9567</v>
      </c>
    </row>
    <row r="10660" spans="1:10" x14ac:dyDescent="0.3">
      <c r="A10660" s="45">
        <v>45597</v>
      </c>
      <c r="B10660" s="565"/>
      <c r="C10660" s="480"/>
      <c r="D10660" s="491" t="s">
        <v>14646</v>
      </c>
      <c r="E10660" s="480"/>
      <c r="F10660" s="43">
        <v>450000</v>
      </c>
      <c r="G10660" s="48">
        <f t="shared" si="270"/>
        <v>524619.08546533179</v>
      </c>
      <c r="H10660" s="389" t="s">
        <v>9567</v>
      </c>
    </row>
    <row r="10661" spans="1:10" x14ac:dyDescent="0.3">
      <c r="A10661" s="45">
        <v>45597</v>
      </c>
      <c r="B10661" s="396"/>
      <c r="C10661" s="5" t="s">
        <v>14</v>
      </c>
      <c r="D10661" s="5" t="s">
        <v>14788</v>
      </c>
      <c r="E10661" s="43">
        <v>300000</v>
      </c>
      <c r="F10661" s="43"/>
      <c r="G10661" s="48">
        <f t="shared" si="270"/>
        <v>224619.08546533179</v>
      </c>
      <c r="H10661" s="389" t="s">
        <v>9567</v>
      </c>
    </row>
    <row r="10662" spans="1:10" x14ac:dyDescent="0.3">
      <c r="A10662" s="45">
        <v>45597</v>
      </c>
      <c r="B10662" s="396" t="s">
        <v>12133</v>
      </c>
      <c r="C10662" s="5" t="s">
        <v>5162</v>
      </c>
      <c r="D10662" s="5" t="s">
        <v>3910</v>
      </c>
      <c r="E10662" s="43">
        <v>5000</v>
      </c>
      <c r="F10662" s="43"/>
      <c r="G10662" s="48">
        <f t="shared" si="270"/>
        <v>219619.08546533179</v>
      </c>
      <c r="H10662" s="389" t="s">
        <v>9567</v>
      </c>
    </row>
    <row r="10663" spans="1:10" x14ac:dyDescent="0.3">
      <c r="A10663" s="45">
        <v>45597</v>
      </c>
      <c r="B10663" s="396" t="s">
        <v>14310</v>
      </c>
      <c r="C10663" s="5" t="s">
        <v>11174</v>
      </c>
      <c r="D10663" s="5" t="s">
        <v>14821</v>
      </c>
      <c r="E10663" s="43">
        <v>5000</v>
      </c>
      <c r="F10663" s="43"/>
      <c r="G10663" s="48">
        <f t="shared" si="270"/>
        <v>214619.08546533179</v>
      </c>
      <c r="H10663" s="389" t="s">
        <v>9567</v>
      </c>
    </row>
    <row r="10664" spans="1:10" x14ac:dyDescent="0.3">
      <c r="A10664" s="45">
        <v>45597</v>
      </c>
      <c r="B10664" s="396" t="s">
        <v>12133</v>
      </c>
      <c r="C10664" s="5" t="s">
        <v>11174</v>
      </c>
      <c r="D10664" s="5" t="s">
        <v>14827</v>
      </c>
      <c r="E10664" s="43">
        <v>25000</v>
      </c>
      <c r="F10664" s="43"/>
      <c r="G10664" s="48">
        <f t="shared" si="270"/>
        <v>189619.08546533179</v>
      </c>
      <c r="H10664" s="389" t="s">
        <v>9567</v>
      </c>
    </row>
    <row r="10665" spans="1:10" x14ac:dyDescent="0.3">
      <c r="A10665" s="45">
        <v>45597</v>
      </c>
      <c r="B10665" s="396" t="s">
        <v>14701</v>
      </c>
      <c r="C10665" s="5" t="s">
        <v>84</v>
      </c>
      <c r="D10665" s="5" t="s">
        <v>14820</v>
      </c>
      <c r="E10665" s="43">
        <v>15000</v>
      </c>
      <c r="F10665" s="43"/>
      <c r="G10665" s="48">
        <f t="shared" si="270"/>
        <v>174619.08546533179</v>
      </c>
      <c r="H10665" s="389" t="s">
        <v>9567</v>
      </c>
    </row>
    <row r="10666" spans="1:10" x14ac:dyDescent="0.3">
      <c r="A10666" s="45">
        <v>45597</v>
      </c>
      <c r="B10666" s="396" t="s">
        <v>14701</v>
      </c>
      <c r="C10666" s="5" t="s">
        <v>84</v>
      </c>
      <c r="D10666" s="5" t="s">
        <v>14822</v>
      </c>
      <c r="E10666" s="43">
        <v>15000</v>
      </c>
      <c r="F10666" s="43"/>
      <c r="G10666" s="48">
        <f t="shared" si="270"/>
        <v>159619.08546533179</v>
      </c>
      <c r="H10666" s="389" t="s">
        <v>9567</v>
      </c>
    </row>
    <row r="10667" spans="1:10" x14ac:dyDescent="0.3">
      <c r="A10667" s="45">
        <v>45598</v>
      </c>
      <c r="B10667" s="396" t="s">
        <v>13902</v>
      </c>
      <c r="C10667" s="5" t="s">
        <v>11174</v>
      </c>
      <c r="D10667" s="5" t="s">
        <v>13685</v>
      </c>
      <c r="E10667" s="43">
        <v>5200</v>
      </c>
      <c r="F10667" s="43"/>
      <c r="G10667" s="48">
        <f t="shared" si="270"/>
        <v>154419.08546533179</v>
      </c>
      <c r="H10667" s="389" t="s">
        <v>9567</v>
      </c>
    </row>
    <row r="10668" spans="1:10" x14ac:dyDescent="0.3">
      <c r="A10668" s="45">
        <v>45598</v>
      </c>
      <c r="B10668" s="394" t="s">
        <v>13902</v>
      </c>
      <c r="C10668" s="186" t="s">
        <v>54</v>
      </c>
      <c r="D10668" s="186" t="s">
        <v>14828</v>
      </c>
      <c r="E10668" s="187">
        <v>27650</v>
      </c>
      <c r="F10668" s="43"/>
      <c r="G10668" s="48">
        <f t="shared" si="270"/>
        <v>126769.08546533179</v>
      </c>
      <c r="H10668" s="389" t="s">
        <v>9567</v>
      </c>
    </row>
    <row r="10669" spans="1:10" x14ac:dyDescent="0.3">
      <c r="A10669" s="45">
        <v>45598</v>
      </c>
      <c r="B10669" s="396" t="s">
        <v>13188</v>
      </c>
      <c r="C10669" s="5" t="s">
        <v>5793</v>
      </c>
      <c r="D10669" s="5" t="s">
        <v>14829</v>
      </c>
      <c r="E10669" s="43">
        <v>3000</v>
      </c>
      <c r="F10669" s="43"/>
      <c r="G10669" s="48">
        <f t="shared" si="270"/>
        <v>123769.08546533179</v>
      </c>
      <c r="H10669" s="389" t="s">
        <v>9567</v>
      </c>
    </row>
    <row r="10670" spans="1:10" x14ac:dyDescent="0.3">
      <c r="A10670" s="45">
        <v>45598</v>
      </c>
      <c r="B10670" s="394" t="s">
        <v>25</v>
      </c>
      <c r="C10670" s="186" t="s">
        <v>54</v>
      </c>
      <c r="D10670" s="186" t="s">
        <v>14830</v>
      </c>
      <c r="E10670" s="187">
        <v>21000</v>
      </c>
      <c r="F10670" s="43"/>
      <c r="G10670" s="48">
        <f t="shared" si="270"/>
        <v>102769.08546533179</v>
      </c>
      <c r="H10670" s="389" t="s">
        <v>9567</v>
      </c>
    </row>
    <row r="10671" spans="1:10" x14ac:dyDescent="0.3">
      <c r="A10671" s="45">
        <v>45598</v>
      </c>
      <c r="B10671" s="394" t="s">
        <v>25</v>
      </c>
      <c r="C10671" s="186" t="s">
        <v>54</v>
      </c>
      <c r="D10671" s="186" t="s">
        <v>12946</v>
      </c>
      <c r="E10671" s="187">
        <v>6000</v>
      </c>
      <c r="F10671" s="43"/>
      <c r="G10671" s="48">
        <f t="shared" si="270"/>
        <v>96769.085465331795</v>
      </c>
      <c r="H10671" s="389" t="s">
        <v>9567</v>
      </c>
    </row>
    <row r="10672" spans="1:10" x14ac:dyDescent="0.3">
      <c r="A10672" s="45">
        <v>45598</v>
      </c>
      <c r="B10672" s="396" t="s">
        <v>25</v>
      </c>
      <c r="C10672" s="5" t="s">
        <v>26</v>
      </c>
      <c r="D10672" s="5" t="s">
        <v>14831</v>
      </c>
      <c r="E10672" s="43">
        <v>2500</v>
      </c>
      <c r="F10672" s="43"/>
      <c r="G10672" s="48">
        <f t="shared" si="270"/>
        <v>94269.085465331795</v>
      </c>
      <c r="H10672" s="389" t="s">
        <v>9567</v>
      </c>
    </row>
    <row r="10673" spans="1:8" x14ac:dyDescent="0.3">
      <c r="A10673" s="45">
        <v>45600</v>
      </c>
      <c r="B10673" s="396" t="s">
        <v>12046</v>
      </c>
      <c r="C10673" s="5" t="s">
        <v>5793</v>
      </c>
      <c r="D10673" s="5" t="s">
        <v>3332</v>
      </c>
      <c r="E10673" s="43">
        <v>1000</v>
      </c>
      <c r="F10673" s="43"/>
      <c r="G10673" s="48">
        <f t="shared" si="270"/>
        <v>93269.085465331795</v>
      </c>
      <c r="H10673" s="389" t="s">
        <v>9567</v>
      </c>
    </row>
    <row r="10674" spans="1:8" x14ac:dyDescent="0.3">
      <c r="A10674" s="45">
        <v>45600</v>
      </c>
      <c r="B10674" s="396" t="s">
        <v>12046</v>
      </c>
      <c r="C10674" s="5" t="s">
        <v>11174</v>
      </c>
      <c r="D10674" s="5" t="s">
        <v>14832</v>
      </c>
      <c r="E10674" s="43">
        <v>2475</v>
      </c>
      <c r="F10674" s="43"/>
      <c r="G10674" s="48">
        <f t="shared" si="270"/>
        <v>90794.085465331795</v>
      </c>
      <c r="H10674" s="389" t="s">
        <v>9567</v>
      </c>
    </row>
    <row r="10675" spans="1:8" x14ac:dyDescent="0.3">
      <c r="A10675" s="45">
        <v>45600</v>
      </c>
      <c r="B10675" s="396" t="s">
        <v>12046</v>
      </c>
      <c r="C10675" s="5" t="s">
        <v>30</v>
      </c>
      <c r="D10675" s="5" t="s">
        <v>14833</v>
      </c>
      <c r="E10675" s="43">
        <v>1000</v>
      </c>
      <c r="F10675" s="43"/>
      <c r="G10675" s="48">
        <f t="shared" si="270"/>
        <v>89794.085465331795</v>
      </c>
      <c r="H10675" s="389" t="s">
        <v>9567</v>
      </c>
    </row>
    <row r="10676" spans="1:8" x14ac:dyDescent="0.3">
      <c r="A10676" s="45">
        <v>45600</v>
      </c>
      <c r="B10676" s="396" t="s">
        <v>12046</v>
      </c>
      <c r="C10676" s="5" t="s">
        <v>5793</v>
      </c>
      <c r="D10676" s="5" t="s">
        <v>14835</v>
      </c>
      <c r="E10676" s="43">
        <v>1000</v>
      </c>
      <c r="F10676" s="43"/>
      <c r="G10676" s="48">
        <f t="shared" si="270"/>
        <v>88794.085465331795</v>
      </c>
      <c r="H10676" s="389" t="s">
        <v>9567</v>
      </c>
    </row>
    <row r="10677" spans="1:8" x14ac:dyDescent="0.3">
      <c r="A10677" s="45">
        <v>45600</v>
      </c>
      <c r="B10677" s="396" t="s">
        <v>25</v>
      </c>
      <c r="C10677" s="5" t="s">
        <v>26</v>
      </c>
      <c r="D10677" s="5" t="s">
        <v>14818</v>
      </c>
      <c r="E10677" s="43">
        <v>3000</v>
      </c>
      <c r="F10677" s="43"/>
      <c r="G10677" s="48">
        <f t="shared" si="270"/>
        <v>85794.085465331795</v>
      </c>
      <c r="H10677" s="389" t="s">
        <v>9567</v>
      </c>
    </row>
    <row r="10678" spans="1:8" x14ac:dyDescent="0.3">
      <c r="A10678" s="45">
        <v>45600</v>
      </c>
      <c r="B10678" s="396" t="s">
        <v>12611</v>
      </c>
      <c r="C10678" s="5" t="s">
        <v>5793</v>
      </c>
      <c r="D10678" s="5" t="s">
        <v>8924</v>
      </c>
      <c r="E10678" s="43">
        <v>300</v>
      </c>
      <c r="F10678" s="43"/>
      <c r="G10678" s="48">
        <f t="shared" si="270"/>
        <v>85494.085465331795</v>
      </c>
      <c r="H10678" s="389" t="s">
        <v>9567</v>
      </c>
    </row>
    <row r="10679" spans="1:8" x14ac:dyDescent="0.3">
      <c r="A10679" s="45">
        <v>45600</v>
      </c>
      <c r="B10679" s="396" t="s">
        <v>14775</v>
      </c>
      <c r="C10679" s="5" t="s">
        <v>5518</v>
      </c>
      <c r="D10679" s="5" t="s">
        <v>14839</v>
      </c>
      <c r="E10679" s="43">
        <v>6000</v>
      </c>
      <c r="F10679" s="43"/>
      <c r="G10679" s="48">
        <f t="shared" si="270"/>
        <v>79494.085465331795</v>
      </c>
      <c r="H10679" s="389" t="s">
        <v>9567</v>
      </c>
    </row>
    <row r="10680" spans="1:8" x14ac:dyDescent="0.3">
      <c r="A10680" s="45">
        <v>45600</v>
      </c>
      <c r="B10680" s="396" t="s">
        <v>14775</v>
      </c>
      <c r="C10680" s="5" t="s">
        <v>11174</v>
      </c>
      <c r="D10680" s="5" t="s">
        <v>14838</v>
      </c>
      <c r="E10680" s="43">
        <v>500</v>
      </c>
      <c r="F10680" s="43"/>
      <c r="G10680" s="48">
        <f t="shared" si="270"/>
        <v>78994.085465331795</v>
      </c>
      <c r="H10680" s="389" t="s">
        <v>9567</v>
      </c>
    </row>
    <row r="10681" spans="1:8" x14ac:dyDescent="0.3">
      <c r="A10681" s="45">
        <v>45600</v>
      </c>
      <c r="B10681" s="396" t="s">
        <v>13902</v>
      </c>
      <c r="C10681" s="5" t="s">
        <v>11174</v>
      </c>
      <c r="D10681" s="5" t="s">
        <v>14837</v>
      </c>
      <c r="E10681" s="43">
        <v>7200</v>
      </c>
      <c r="F10681" s="43"/>
      <c r="G10681" s="48">
        <f t="shared" si="270"/>
        <v>71794.085465331795</v>
      </c>
      <c r="H10681" s="389" t="s">
        <v>9567</v>
      </c>
    </row>
    <row r="10682" spans="1:8" x14ac:dyDescent="0.3">
      <c r="A10682" s="45">
        <v>45600</v>
      </c>
      <c r="B10682" s="396" t="s">
        <v>14590</v>
      </c>
      <c r="C10682" s="5" t="s">
        <v>11174</v>
      </c>
      <c r="D10682" s="5" t="s">
        <v>14840</v>
      </c>
      <c r="E10682" s="43">
        <v>5800</v>
      </c>
      <c r="F10682" s="43"/>
      <c r="G10682" s="48">
        <f t="shared" si="270"/>
        <v>65994.085465331795</v>
      </c>
      <c r="H10682" s="389" t="s">
        <v>9567</v>
      </c>
    </row>
    <row r="10683" spans="1:8" x14ac:dyDescent="0.3">
      <c r="A10683" s="45">
        <v>45600</v>
      </c>
      <c r="B10683" s="396" t="s">
        <v>13902</v>
      </c>
      <c r="C10683" s="5" t="s">
        <v>5793</v>
      </c>
      <c r="D10683" s="5" t="s">
        <v>14841</v>
      </c>
      <c r="E10683" s="43">
        <v>3000</v>
      </c>
      <c r="F10683" s="43"/>
      <c r="G10683" s="48">
        <f t="shared" si="270"/>
        <v>62994.085465331795</v>
      </c>
      <c r="H10683" s="389" t="s">
        <v>9567</v>
      </c>
    </row>
    <row r="10684" spans="1:8" x14ac:dyDescent="0.3">
      <c r="A10684" s="45">
        <v>45600</v>
      </c>
      <c r="B10684" s="396" t="s">
        <v>14685</v>
      </c>
      <c r="C10684" s="5" t="s">
        <v>5793</v>
      </c>
      <c r="D10684" s="5" t="s">
        <v>40</v>
      </c>
      <c r="E10684" s="43">
        <v>800</v>
      </c>
      <c r="F10684" s="43"/>
      <c r="G10684" s="48">
        <f t="shared" si="270"/>
        <v>62194.085465331795</v>
      </c>
      <c r="H10684" s="389" t="s">
        <v>9567</v>
      </c>
    </row>
    <row r="10685" spans="1:8" x14ac:dyDescent="0.3">
      <c r="A10685" s="45">
        <v>45600</v>
      </c>
      <c r="B10685" s="396" t="s">
        <v>13138</v>
      </c>
      <c r="C10685" s="5" t="s">
        <v>14842</v>
      </c>
      <c r="D10685" s="5" t="s">
        <v>14843</v>
      </c>
      <c r="E10685" s="43">
        <v>25000</v>
      </c>
      <c r="F10685" s="43"/>
      <c r="G10685" s="48">
        <f t="shared" si="270"/>
        <v>37194.085465331795</v>
      </c>
      <c r="H10685" s="389" t="s">
        <v>9567</v>
      </c>
    </row>
    <row r="10686" spans="1:8" x14ac:dyDescent="0.3">
      <c r="A10686" s="45">
        <v>45600</v>
      </c>
      <c r="B10686" s="396" t="s">
        <v>12046</v>
      </c>
      <c r="C10686" s="5" t="s">
        <v>5793</v>
      </c>
      <c r="D10686" s="5" t="s">
        <v>40</v>
      </c>
      <c r="E10686" s="43">
        <v>3500</v>
      </c>
      <c r="F10686" s="43"/>
      <c r="G10686" s="48">
        <f t="shared" si="270"/>
        <v>33694.085465331795</v>
      </c>
      <c r="H10686" s="389" t="s">
        <v>9567</v>
      </c>
    </row>
    <row r="10687" spans="1:8" x14ac:dyDescent="0.3">
      <c r="A10687" s="45">
        <v>45600</v>
      </c>
      <c r="B10687" s="396" t="s">
        <v>14685</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14844</v>
      </c>
      <c r="E10688" s="43">
        <v>3360</v>
      </c>
      <c r="F10688" s="43"/>
      <c r="G10688" s="48">
        <f t="shared" si="270"/>
        <v>27534.085465331795</v>
      </c>
      <c r="H10688" s="389" t="s">
        <v>9567</v>
      </c>
    </row>
    <row r="10689" spans="1:8" x14ac:dyDescent="0.3">
      <c r="A10689" s="45">
        <v>45601</v>
      </c>
      <c r="B10689" s="396" t="s">
        <v>12055</v>
      </c>
      <c r="C10689" s="5" t="s">
        <v>30</v>
      </c>
      <c r="D10689" s="5" t="s">
        <v>14845</v>
      </c>
      <c r="E10689" s="43">
        <v>500</v>
      </c>
      <c r="F10689" s="43"/>
      <c r="G10689" s="48">
        <f t="shared" si="270"/>
        <v>27034.085465331795</v>
      </c>
      <c r="H10689" s="389" t="s">
        <v>9567</v>
      </c>
    </row>
    <row r="10690" spans="1:8" x14ac:dyDescent="0.3">
      <c r="A10690" s="45">
        <v>45601</v>
      </c>
      <c r="B10690" s="396" t="s">
        <v>14524</v>
      </c>
      <c r="C10690" s="5" t="s">
        <v>11174</v>
      </c>
      <c r="D10690" s="5" t="s">
        <v>14851</v>
      </c>
      <c r="E10690" s="43">
        <v>3300</v>
      </c>
      <c r="F10690" s="43"/>
      <c r="G10690" s="48">
        <f t="shared" si="270"/>
        <v>23734.085465331795</v>
      </c>
      <c r="H10690" s="389" t="s">
        <v>9567</v>
      </c>
    </row>
    <row r="10691" spans="1:8" x14ac:dyDescent="0.3">
      <c r="A10691" s="45">
        <v>45601</v>
      </c>
      <c r="B10691" s="396" t="s">
        <v>11505</v>
      </c>
      <c r="C10691" s="5" t="s">
        <v>11174</v>
      </c>
      <c r="D10691" s="5" t="s">
        <v>11400</v>
      </c>
      <c r="E10691" s="43">
        <v>2625</v>
      </c>
      <c r="F10691" s="43"/>
      <c r="G10691" s="48">
        <f t="shared" si="270"/>
        <v>21109.085465331795</v>
      </c>
      <c r="H10691" s="389" t="s">
        <v>9567</v>
      </c>
    </row>
    <row r="10692" spans="1:8" x14ac:dyDescent="0.3">
      <c r="A10692" s="45">
        <v>45601</v>
      </c>
      <c r="B10692" s="396" t="s">
        <v>12046</v>
      </c>
      <c r="C10692" s="5" t="s">
        <v>5162</v>
      </c>
      <c r="D10692" s="5" t="s">
        <v>14850</v>
      </c>
      <c r="E10692" s="43">
        <v>2000</v>
      </c>
      <c r="F10692" s="43"/>
      <c r="G10692" s="48">
        <f t="shared" si="270"/>
        <v>19109.085465331795</v>
      </c>
      <c r="H10692" s="389" t="s">
        <v>9567</v>
      </c>
    </row>
    <row r="10693" spans="1:8" x14ac:dyDescent="0.3">
      <c r="A10693" s="45">
        <v>45601</v>
      </c>
      <c r="B10693" s="565"/>
      <c r="C10693" s="480"/>
      <c r="D10693" s="491" t="s">
        <v>14646</v>
      </c>
      <c r="E10693" s="480"/>
      <c r="F10693" s="43">
        <v>995420</v>
      </c>
      <c r="G10693" s="48">
        <f t="shared" si="270"/>
        <v>1014529.0854653318</v>
      </c>
      <c r="H10693" s="389" t="s">
        <v>9567</v>
      </c>
    </row>
    <row r="10694" spans="1:8" x14ac:dyDescent="0.3">
      <c r="A10694" s="45">
        <v>45601</v>
      </c>
      <c r="B10694" s="396"/>
      <c r="C10694" s="5" t="s">
        <v>5162</v>
      </c>
      <c r="D10694" s="5" t="s">
        <v>14846</v>
      </c>
      <c r="E10694" s="43">
        <v>1000</v>
      </c>
      <c r="F10694" s="43"/>
      <c r="G10694" s="48">
        <f t="shared" si="270"/>
        <v>1013529.0854653318</v>
      </c>
      <c r="H10694" s="389" t="s">
        <v>9567</v>
      </c>
    </row>
    <row r="10695" spans="1:8" x14ac:dyDescent="0.3">
      <c r="A10695" s="45">
        <v>45601</v>
      </c>
      <c r="B10695" s="396" t="s">
        <v>10447</v>
      </c>
      <c r="C10695" s="5" t="s">
        <v>14</v>
      </c>
      <c r="D10695" s="5" t="s">
        <v>14788</v>
      </c>
      <c r="E10695" s="43">
        <v>500000</v>
      </c>
      <c r="F10695" s="43"/>
      <c r="G10695" s="48">
        <f t="shared" si="270"/>
        <v>513529.08546533179</v>
      </c>
      <c r="H10695" s="389" t="s">
        <v>9567</v>
      </c>
    </row>
    <row r="10696" spans="1:8" x14ac:dyDescent="0.3">
      <c r="A10696" s="45">
        <v>45601</v>
      </c>
      <c r="B10696" s="396" t="s">
        <v>25</v>
      </c>
      <c r="C10696" s="5" t="s">
        <v>26</v>
      </c>
      <c r="D10696" s="5" t="s">
        <v>14818</v>
      </c>
      <c r="E10696" s="43">
        <v>3000</v>
      </c>
      <c r="F10696" s="43"/>
      <c r="G10696" s="48">
        <f t="shared" si="270"/>
        <v>510529.08546533179</v>
      </c>
      <c r="H10696" s="389" t="s">
        <v>9567</v>
      </c>
    </row>
    <row r="10697" spans="1:8" x14ac:dyDescent="0.3">
      <c r="A10697" s="45">
        <v>45601</v>
      </c>
      <c r="B10697" s="394" t="s">
        <v>12080</v>
      </c>
      <c r="C10697" s="186" t="s">
        <v>54</v>
      </c>
      <c r="D10697" s="186" t="s">
        <v>12746</v>
      </c>
      <c r="E10697" s="187">
        <f>210333+3000</f>
        <v>213333</v>
      </c>
      <c r="F10697" s="43"/>
      <c r="G10697" s="48">
        <f t="shared" si="270"/>
        <v>297196.08546533179</v>
      </c>
      <c r="H10697" s="389" t="s">
        <v>9567</v>
      </c>
    </row>
    <row r="10698" spans="1:8" x14ac:dyDescent="0.3">
      <c r="A10698" s="45">
        <v>45601</v>
      </c>
      <c r="B10698" s="396" t="s">
        <v>12080</v>
      </c>
      <c r="C10698" s="5" t="s">
        <v>11174</v>
      </c>
      <c r="D10698" s="5" t="s">
        <v>14847</v>
      </c>
      <c r="E10698" s="43">
        <v>5000</v>
      </c>
      <c r="F10698" s="43"/>
      <c r="G10698" s="48">
        <f t="shared" si="270"/>
        <v>292196.08546533179</v>
      </c>
      <c r="H10698" s="389" t="s">
        <v>9567</v>
      </c>
    </row>
    <row r="10699" spans="1:8" x14ac:dyDescent="0.3">
      <c r="A10699" s="45">
        <v>45601</v>
      </c>
      <c r="B10699" s="396" t="s">
        <v>12080</v>
      </c>
      <c r="C10699" s="5" t="s">
        <v>26</v>
      </c>
      <c r="D10699" s="5" t="s">
        <v>5915</v>
      </c>
      <c r="E10699" s="43">
        <v>3000</v>
      </c>
      <c r="F10699" s="43"/>
      <c r="G10699" s="48">
        <f t="shared" si="270"/>
        <v>289196.08546533179</v>
      </c>
      <c r="H10699" s="389" t="s">
        <v>9567</v>
      </c>
    </row>
    <row r="10700" spans="1:8" x14ac:dyDescent="0.3">
      <c r="A10700" s="45">
        <v>45601</v>
      </c>
      <c r="B10700" s="396" t="s">
        <v>12230</v>
      </c>
      <c r="C10700" s="5" t="s">
        <v>14848</v>
      </c>
      <c r="D10700" s="5" t="s">
        <v>2435</v>
      </c>
      <c r="E10700" s="43">
        <v>1200</v>
      </c>
      <c r="F10700" s="43"/>
      <c r="G10700" s="48">
        <f t="shared" si="270"/>
        <v>287996.08546533179</v>
      </c>
      <c r="H10700" s="389" t="s">
        <v>9567</v>
      </c>
    </row>
    <row r="10701" spans="1:8" x14ac:dyDescent="0.3">
      <c r="A10701" s="45">
        <v>45601</v>
      </c>
      <c r="B10701" s="394" t="s">
        <v>12055</v>
      </c>
      <c r="C10701" s="186" t="s">
        <v>54</v>
      </c>
      <c r="D10701" s="186" t="s">
        <v>6236</v>
      </c>
      <c r="E10701" s="187">
        <v>139294.3548387097</v>
      </c>
      <c r="F10701" s="43"/>
      <c r="G10701" s="48">
        <f t="shared" si="270"/>
        <v>148701.7306266221</v>
      </c>
      <c r="H10701" s="389" t="s">
        <v>9567</v>
      </c>
    </row>
    <row r="10702" spans="1:8" x14ac:dyDescent="0.3">
      <c r="A10702" s="45">
        <v>45601</v>
      </c>
      <c r="B10702" s="396" t="s">
        <v>14524</v>
      </c>
      <c r="C10702" s="5" t="s">
        <v>5793</v>
      </c>
      <c r="D10702" s="5" t="s">
        <v>40</v>
      </c>
      <c r="E10702" s="43">
        <v>800</v>
      </c>
      <c r="F10702" s="43"/>
      <c r="G10702" s="48">
        <f t="shared" si="270"/>
        <v>147901.7306266221</v>
      </c>
      <c r="H10702" s="389" t="s">
        <v>9567</v>
      </c>
    </row>
    <row r="10703" spans="1:8" x14ac:dyDescent="0.3">
      <c r="A10703" s="45">
        <v>45601</v>
      </c>
      <c r="B10703" s="396" t="s">
        <v>13188</v>
      </c>
      <c r="C10703" s="5" t="s">
        <v>11174</v>
      </c>
      <c r="D10703" s="5" t="s">
        <v>14849</v>
      </c>
      <c r="E10703" s="43">
        <v>33000</v>
      </c>
      <c r="F10703" s="43"/>
      <c r="G10703" s="48">
        <f t="shared" si="270"/>
        <v>114901.7306266221</v>
      </c>
      <c r="H10703" s="389" t="s">
        <v>9567</v>
      </c>
    </row>
    <row r="10704" spans="1:8" x14ac:dyDescent="0.3">
      <c r="A10704" s="45">
        <v>45601</v>
      </c>
      <c r="B10704" s="394" t="s">
        <v>13902</v>
      </c>
      <c r="C10704" s="186" t="s">
        <v>54</v>
      </c>
      <c r="D10704" s="186" t="s">
        <v>6245</v>
      </c>
      <c r="E10704" s="187">
        <v>100500</v>
      </c>
      <c r="F10704" s="43"/>
      <c r="G10704" s="48">
        <f t="shared" si="270"/>
        <v>14401.730626622098</v>
      </c>
      <c r="H10704" s="389" t="s">
        <v>9567</v>
      </c>
    </row>
    <row r="10705" spans="1:8" x14ac:dyDescent="0.3">
      <c r="A10705" s="45">
        <v>45602</v>
      </c>
      <c r="B10705" s="565"/>
      <c r="C10705" s="480"/>
      <c r="D10705" s="491" t="s">
        <v>14852</v>
      </c>
      <c r="E10705" s="480"/>
      <c r="F10705" s="43">
        <v>500000</v>
      </c>
      <c r="G10705" s="48">
        <f t="shared" si="270"/>
        <v>514401.7306266221</v>
      </c>
      <c r="H10705" s="389" t="s">
        <v>9567</v>
      </c>
    </row>
    <row r="10706" spans="1:8" x14ac:dyDescent="0.3">
      <c r="A10706" s="45">
        <v>45602</v>
      </c>
      <c r="B10706" s="396" t="s">
        <v>13902</v>
      </c>
      <c r="C10706" s="5" t="s">
        <v>30</v>
      </c>
      <c r="D10706" s="5" t="s">
        <v>14782</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13902</v>
      </c>
      <c r="C10708" s="5" t="s">
        <v>11174</v>
      </c>
      <c r="D10708" s="5" t="s">
        <v>14858</v>
      </c>
      <c r="E10708" s="43">
        <v>5150</v>
      </c>
      <c r="F10708" s="43"/>
      <c r="G10708" s="48">
        <f t="shared" si="270"/>
        <v>507551.7306266221</v>
      </c>
      <c r="H10708" s="389" t="s">
        <v>9567</v>
      </c>
    </row>
    <row r="10709" spans="1:8" x14ac:dyDescent="0.3">
      <c r="A10709" s="45">
        <v>45601</v>
      </c>
      <c r="B10709" s="396" t="s">
        <v>14524</v>
      </c>
      <c r="C10709" s="5" t="s">
        <v>11174</v>
      </c>
      <c r="D10709" s="5" t="s">
        <v>14859</v>
      </c>
      <c r="E10709" s="43">
        <v>3550</v>
      </c>
      <c r="F10709" s="43"/>
      <c r="G10709" s="48">
        <f t="shared" si="270"/>
        <v>504001.7306266221</v>
      </c>
      <c r="H10709" s="389" t="s">
        <v>9567</v>
      </c>
    </row>
    <row r="10710" spans="1:8" x14ac:dyDescent="0.3">
      <c r="A10710" s="45">
        <v>45601</v>
      </c>
      <c r="B10710" s="396" t="s">
        <v>12133</v>
      </c>
      <c r="C10710" s="5" t="s">
        <v>11174</v>
      </c>
      <c r="D10710" s="5" t="s">
        <v>14860</v>
      </c>
      <c r="E10710" s="43">
        <v>1500</v>
      </c>
      <c r="F10710" s="43"/>
      <c r="G10710" s="48">
        <f t="shared" si="270"/>
        <v>502501.7306266221</v>
      </c>
      <c r="H10710" s="389" t="s">
        <v>9567</v>
      </c>
    </row>
    <row r="10711" spans="1:8" x14ac:dyDescent="0.3">
      <c r="A10711" s="45">
        <v>45601</v>
      </c>
      <c r="B10711" s="396" t="s">
        <v>14310</v>
      </c>
      <c r="C10711" s="5" t="s">
        <v>5793</v>
      </c>
      <c r="D10711" s="5" t="s">
        <v>14861</v>
      </c>
      <c r="E10711" s="43">
        <v>470</v>
      </c>
      <c r="F10711" s="43"/>
      <c r="G10711" s="48">
        <f t="shared" si="270"/>
        <v>502031.7306266221</v>
      </c>
      <c r="H10711" s="389" t="s">
        <v>9567</v>
      </c>
    </row>
    <row r="10712" spans="1:8" x14ac:dyDescent="0.3">
      <c r="A10712" s="45">
        <v>45601</v>
      </c>
      <c r="B10712" s="396" t="s">
        <v>14862</v>
      </c>
      <c r="C10712" s="5" t="s">
        <v>5793</v>
      </c>
      <c r="D10712" s="5" t="s">
        <v>40</v>
      </c>
      <c r="E10712" s="43">
        <v>1050</v>
      </c>
      <c r="F10712" s="43"/>
      <c r="G10712" s="48">
        <f t="shared" si="270"/>
        <v>500981.7306266221</v>
      </c>
      <c r="H10712" s="389" t="s">
        <v>9567</v>
      </c>
    </row>
    <row r="10713" spans="1:8" x14ac:dyDescent="0.3">
      <c r="A10713" s="45">
        <v>45602</v>
      </c>
      <c r="B10713" s="396" t="s">
        <v>13321</v>
      </c>
      <c r="C10713" s="5" t="s">
        <v>11174</v>
      </c>
      <c r="D10713" s="5" t="s">
        <v>14853</v>
      </c>
      <c r="E10713" s="43">
        <v>3000</v>
      </c>
      <c r="F10713" s="43"/>
      <c r="G10713" s="48">
        <f t="shared" si="270"/>
        <v>497981.7306266221</v>
      </c>
      <c r="H10713" s="389" t="s">
        <v>9567</v>
      </c>
    </row>
    <row r="10714" spans="1:8" x14ac:dyDescent="0.3">
      <c r="A10714" s="45">
        <v>45602</v>
      </c>
      <c r="B10714" s="394" t="s">
        <v>13321</v>
      </c>
      <c r="C10714" s="186" t="s">
        <v>54</v>
      </c>
      <c r="D10714" s="186" t="s">
        <v>14855</v>
      </c>
      <c r="E10714" s="187">
        <v>93960</v>
      </c>
      <c r="F10714" s="43"/>
      <c r="G10714" s="48">
        <f t="shared" si="270"/>
        <v>404021.7306266221</v>
      </c>
      <c r="H10714" s="389" t="s">
        <v>9567</v>
      </c>
    </row>
    <row r="10715" spans="1:8" x14ac:dyDescent="0.3">
      <c r="A10715" s="45">
        <v>45602</v>
      </c>
      <c r="B10715" s="396" t="s">
        <v>13321</v>
      </c>
      <c r="C10715" s="5" t="s">
        <v>30</v>
      </c>
      <c r="D10715" s="5" t="s">
        <v>14854</v>
      </c>
      <c r="E10715" s="43">
        <v>1200</v>
      </c>
      <c r="F10715" s="43"/>
      <c r="G10715" s="48">
        <f t="shared" si="270"/>
        <v>402821.7306266221</v>
      </c>
      <c r="H10715" s="389" t="s">
        <v>9567</v>
      </c>
    </row>
    <row r="10716" spans="1:8" x14ac:dyDescent="0.3">
      <c r="A10716" s="45">
        <v>45602</v>
      </c>
      <c r="B10716" s="396" t="s">
        <v>10319</v>
      </c>
      <c r="C10716" s="5" t="s">
        <v>11174</v>
      </c>
      <c r="D10716" s="5" t="s">
        <v>14856</v>
      </c>
      <c r="E10716" s="43">
        <v>25000</v>
      </c>
      <c r="F10716" s="43"/>
      <c r="G10716" s="48">
        <f t="shared" si="270"/>
        <v>377821.7306266221</v>
      </c>
      <c r="H10716" s="389" t="s">
        <v>9567</v>
      </c>
    </row>
    <row r="10717" spans="1:8" x14ac:dyDescent="0.3">
      <c r="A10717" s="45">
        <v>45602</v>
      </c>
      <c r="B10717" s="396" t="s">
        <v>12133</v>
      </c>
      <c r="C10717" s="5" t="s">
        <v>5793</v>
      </c>
      <c r="D10717" s="5" t="s">
        <v>40</v>
      </c>
      <c r="E10717" s="43">
        <v>1900</v>
      </c>
      <c r="F10717" s="43"/>
      <c r="G10717" s="48">
        <f t="shared" si="270"/>
        <v>375921.7306266221</v>
      </c>
      <c r="H10717" s="389" t="s">
        <v>9567</v>
      </c>
    </row>
    <row r="10718" spans="1:8" x14ac:dyDescent="0.3">
      <c r="A10718" s="45">
        <v>45602</v>
      </c>
      <c r="B10718" s="396" t="s">
        <v>14685</v>
      </c>
      <c r="C10718" s="5" t="s">
        <v>11174</v>
      </c>
      <c r="D10718" s="5" t="s">
        <v>13685</v>
      </c>
      <c r="E10718" s="43">
        <v>15500</v>
      </c>
      <c r="F10718" s="43"/>
      <c r="G10718" s="48">
        <f t="shared" si="270"/>
        <v>360421.7306266221</v>
      </c>
      <c r="H10718" s="389" t="s">
        <v>9567</v>
      </c>
    </row>
    <row r="10719" spans="1:8" x14ac:dyDescent="0.3">
      <c r="A10719" s="45">
        <v>45602</v>
      </c>
      <c r="B10719" s="396" t="s">
        <v>13188</v>
      </c>
      <c r="C10719" s="5" t="s">
        <v>11174</v>
      </c>
      <c r="D10719" s="5" t="s">
        <v>14857</v>
      </c>
      <c r="E10719" s="43">
        <v>1150</v>
      </c>
      <c r="F10719" s="43"/>
      <c r="G10719" s="48">
        <f t="shared" si="270"/>
        <v>359271.7306266221</v>
      </c>
      <c r="H10719" s="389" t="s">
        <v>9567</v>
      </c>
    </row>
    <row r="10720" spans="1:8" x14ac:dyDescent="0.3">
      <c r="A10720" s="45">
        <v>45602</v>
      </c>
      <c r="B10720" s="396" t="s">
        <v>13902</v>
      </c>
      <c r="C10720" s="5" t="s">
        <v>5793</v>
      </c>
      <c r="D10720" s="5" t="s">
        <v>40</v>
      </c>
      <c r="E10720" s="43">
        <v>1500</v>
      </c>
      <c r="F10720" s="43"/>
      <c r="G10720" s="48">
        <f t="shared" si="270"/>
        <v>357771.7306266221</v>
      </c>
      <c r="H10720" s="389" t="s">
        <v>9567</v>
      </c>
    </row>
    <row r="10721" spans="1:9" x14ac:dyDescent="0.3">
      <c r="A10721" s="45">
        <v>45602</v>
      </c>
      <c r="B10721" s="396" t="s">
        <v>14775</v>
      </c>
      <c r="C10721" s="5" t="s">
        <v>10474</v>
      </c>
      <c r="D10721" s="5" t="s">
        <v>14863</v>
      </c>
      <c r="E10721" s="43">
        <v>40000</v>
      </c>
      <c r="F10721" s="43"/>
      <c r="G10721" s="48">
        <f t="shared" si="270"/>
        <v>317771.7306266221</v>
      </c>
      <c r="H10721" s="389" t="s">
        <v>9567</v>
      </c>
    </row>
    <row r="10722" spans="1:9" x14ac:dyDescent="0.3">
      <c r="A10722" s="45">
        <v>45602</v>
      </c>
      <c r="B10722" s="394" t="s">
        <v>25</v>
      </c>
      <c r="C10722" s="186" t="s">
        <v>54</v>
      </c>
      <c r="D10722" s="186" t="s">
        <v>14865</v>
      </c>
      <c r="E10722" s="187">
        <v>141100</v>
      </c>
      <c r="F10722" s="43"/>
      <c r="G10722" s="48">
        <f t="shared" si="270"/>
        <v>176671.7306266221</v>
      </c>
      <c r="H10722" s="389" t="s">
        <v>9567</v>
      </c>
    </row>
    <row r="10723" spans="1:9" x14ac:dyDescent="0.3">
      <c r="A10723" s="45">
        <v>45602</v>
      </c>
      <c r="B10723" s="396" t="s">
        <v>14248</v>
      </c>
      <c r="C10723" s="5" t="s">
        <v>9287</v>
      </c>
      <c r="D10723" s="5" t="s">
        <v>294</v>
      </c>
      <c r="E10723" s="43">
        <v>25000</v>
      </c>
      <c r="F10723" s="43"/>
      <c r="G10723" s="48">
        <f t="shared" si="270"/>
        <v>151671.7306266221</v>
      </c>
      <c r="H10723" s="389" t="s">
        <v>9567</v>
      </c>
    </row>
    <row r="10724" spans="1:9" x14ac:dyDescent="0.3">
      <c r="A10724" s="45">
        <v>45602</v>
      </c>
      <c r="B10724" s="394" t="s">
        <v>14882</v>
      </c>
      <c r="C10724" s="186" t="s">
        <v>54</v>
      </c>
      <c r="D10724" s="186" t="s">
        <v>14864</v>
      </c>
      <c r="E10724" s="187">
        <v>103291.93548387097</v>
      </c>
      <c r="F10724" s="43"/>
      <c r="G10724" s="48">
        <f t="shared" si="270"/>
        <v>48379.795142751129</v>
      </c>
      <c r="H10724" s="389" t="s">
        <v>9567</v>
      </c>
    </row>
    <row r="10725" spans="1:9" x14ac:dyDescent="0.3">
      <c r="A10725" s="45">
        <v>45602</v>
      </c>
      <c r="B10725" s="394" t="s">
        <v>13902</v>
      </c>
      <c r="C10725" s="186" t="s">
        <v>54</v>
      </c>
      <c r="D10725" s="186" t="s">
        <v>6243</v>
      </c>
      <c r="E10725" s="187">
        <v>43400</v>
      </c>
      <c r="F10725" s="43"/>
      <c r="G10725" s="48">
        <f t="shared" si="270"/>
        <v>4979.7951427511289</v>
      </c>
      <c r="H10725" s="389" t="s">
        <v>9567</v>
      </c>
    </row>
    <row r="10726" spans="1:9" x14ac:dyDescent="0.3">
      <c r="A10726" s="45">
        <v>45602</v>
      </c>
      <c r="B10726" s="396" t="s">
        <v>12611</v>
      </c>
      <c r="C10726" s="5" t="s">
        <v>84</v>
      </c>
      <c r="D10726" s="5" t="s">
        <v>14866</v>
      </c>
      <c r="E10726" s="43">
        <v>500</v>
      </c>
      <c r="F10726" s="43"/>
      <c r="G10726" s="48">
        <f t="shared" si="270"/>
        <v>4479.7951427511289</v>
      </c>
      <c r="H10726" s="389" t="s">
        <v>9567</v>
      </c>
    </row>
    <row r="10727" spans="1:9" x14ac:dyDescent="0.3">
      <c r="A10727" s="45">
        <v>45602</v>
      </c>
      <c r="B10727" s="396" t="s">
        <v>25</v>
      </c>
      <c r="C10727" s="5" t="s">
        <v>26</v>
      </c>
      <c r="D10727" s="5" t="s">
        <v>14871</v>
      </c>
      <c r="E10727" s="43">
        <v>500</v>
      </c>
      <c r="F10727" s="43"/>
      <c r="G10727" s="48">
        <f t="shared" si="270"/>
        <v>3979.7951427511289</v>
      </c>
      <c r="H10727" s="389" t="s">
        <v>9567</v>
      </c>
    </row>
    <row r="10728" spans="1:9" x14ac:dyDescent="0.3">
      <c r="A10728" s="45">
        <v>45602</v>
      </c>
      <c r="B10728" s="565"/>
      <c r="C10728" s="480"/>
      <c r="D10728" s="491" t="s">
        <v>14872</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11434</v>
      </c>
      <c r="E10730" s="43">
        <v>2000</v>
      </c>
      <c r="F10730" s="43"/>
      <c r="G10730" s="48">
        <f t="shared" si="270"/>
        <v>251303.79514275113</v>
      </c>
      <c r="H10730" s="389" t="s">
        <v>9567</v>
      </c>
    </row>
    <row r="10731" spans="1:9" x14ac:dyDescent="0.3">
      <c r="A10731" s="45">
        <v>45603</v>
      </c>
      <c r="B10731" s="396" t="s">
        <v>12046</v>
      </c>
      <c r="C10731" s="5" t="s">
        <v>5162</v>
      </c>
      <c r="D10731" s="5" t="s">
        <v>14873</v>
      </c>
      <c r="E10731" s="43">
        <v>7000</v>
      </c>
      <c r="F10731" s="43"/>
      <c r="G10731" s="48">
        <f t="shared" ref="G10731:G10793" si="271">G10730+F10731-E10731</f>
        <v>244303.79514275113</v>
      </c>
      <c r="H10731" s="389" t="s">
        <v>9567</v>
      </c>
    </row>
    <row r="10732" spans="1:9" x14ac:dyDescent="0.3">
      <c r="A10732" s="45">
        <v>45603</v>
      </c>
      <c r="B10732" s="396" t="s">
        <v>14685</v>
      </c>
      <c r="C10732" s="5" t="s">
        <v>11174</v>
      </c>
      <c r="D10732" s="5" t="s">
        <v>14877</v>
      </c>
      <c r="E10732" s="43">
        <v>14000</v>
      </c>
      <c r="F10732" s="43"/>
      <c r="G10732" s="48">
        <f t="shared" si="271"/>
        <v>230303.79514275113</v>
      </c>
      <c r="H10732" s="389" t="s">
        <v>9567</v>
      </c>
      <c r="I10732" s="52">
        <f>I10767*15%</f>
        <v>45000</v>
      </c>
    </row>
    <row r="10733" spans="1:9" x14ac:dyDescent="0.3">
      <c r="A10733" s="45">
        <v>45603</v>
      </c>
      <c r="B10733" s="396" t="s">
        <v>14685</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11434</v>
      </c>
      <c r="E10734" s="43">
        <v>3000</v>
      </c>
      <c r="F10734" s="43"/>
      <c r="G10734" s="48">
        <f t="shared" si="271"/>
        <v>225803.79514275113</v>
      </c>
      <c r="H10734" s="389" t="s">
        <v>9567</v>
      </c>
    </row>
    <row r="10735" spans="1:9" x14ac:dyDescent="0.3">
      <c r="A10735" s="45">
        <v>45603</v>
      </c>
      <c r="B10735" s="396" t="s">
        <v>12133</v>
      </c>
      <c r="C10735" s="5" t="s">
        <v>5793</v>
      </c>
      <c r="D10735" s="5" t="s">
        <v>40</v>
      </c>
      <c r="E10735" s="43">
        <v>1500</v>
      </c>
      <c r="F10735" s="43"/>
      <c r="G10735" s="48">
        <f t="shared" si="271"/>
        <v>224303.79514275113</v>
      </c>
      <c r="H10735" s="389" t="s">
        <v>9567</v>
      </c>
    </row>
    <row r="10736" spans="1:9" x14ac:dyDescent="0.3">
      <c r="A10736" s="45">
        <v>45603</v>
      </c>
      <c r="B10736" s="396" t="s">
        <v>13902</v>
      </c>
      <c r="C10736" s="5" t="s">
        <v>5793</v>
      </c>
      <c r="D10736" s="5" t="s">
        <v>40</v>
      </c>
      <c r="E10736" s="43">
        <v>700</v>
      </c>
      <c r="F10736" s="43"/>
      <c r="G10736" s="48">
        <f t="shared" si="271"/>
        <v>223603.79514275113</v>
      </c>
      <c r="H10736" s="389" t="s">
        <v>9567</v>
      </c>
    </row>
    <row r="10737" spans="1:10" x14ac:dyDescent="0.3">
      <c r="A10737" s="45">
        <v>45603</v>
      </c>
      <c r="B10737" s="394" t="s">
        <v>13379</v>
      </c>
      <c r="C10737" s="186" t="s">
        <v>54</v>
      </c>
      <c r="D10737" s="186" t="s">
        <v>14874</v>
      </c>
      <c r="E10737" s="187">
        <v>49350</v>
      </c>
      <c r="F10737" s="43"/>
      <c r="G10737" s="48">
        <f t="shared" si="271"/>
        <v>174253.79514275113</v>
      </c>
      <c r="H10737" s="389" t="s">
        <v>9567</v>
      </c>
      <c r="I10737" s="583" t="s">
        <v>12514</v>
      </c>
      <c r="J10737" s="187">
        <v>2937593.7500000005</v>
      </c>
    </row>
    <row r="10738" spans="1:10" x14ac:dyDescent="0.3">
      <c r="A10738" s="45">
        <v>45603</v>
      </c>
      <c r="B10738" s="396" t="s">
        <v>14685</v>
      </c>
      <c r="C10738" s="5" t="s">
        <v>11174</v>
      </c>
      <c r="D10738" s="5" t="s">
        <v>14875</v>
      </c>
      <c r="E10738" s="43">
        <v>8700</v>
      </c>
      <c r="F10738" s="43"/>
      <c r="G10738" s="48">
        <f t="shared" si="271"/>
        <v>165553.79514275113</v>
      </c>
      <c r="H10738" s="389" t="s">
        <v>9567</v>
      </c>
      <c r="I10738" s="583" t="s">
        <v>55</v>
      </c>
      <c r="J10738" s="187">
        <f ca="1">SUMIF(C10665:E126609,"salary",E10665:E137620)</f>
        <v>18364801.472158216</v>
      </c>
    </row>
    <row r="10739" spans="1:10" x14ac:dyDescent="0.3">
      <c r="A10739" s="45">
        <v>45603</v>
      </c>
      <c r="B10739" s="396" t="s">
        <v>13188</v>
      </c>
      <c r="C10739" s="5" t="s">
        <v>11174</v>
      </c>
      <c r="D10739" s="5" t="s">
        <v>14876</v>
      </c>
      <c r="E10739" s="43">
        <v>1300</v>
      </c>
      <c r="F10739" s="43"/>
      <c r="G10739" s="48">
        <f t="shared" si="271"/>
        <v>164253.79514275113</v>
      </c>
      <c r="H10739" s="389" t="s">
        <v>9567</v>
      </c>
      <c r="I10739" s="583" t="s">
        <v>12233</v>
      </c>
      <c r="J10739" s="187">
        <f ca="1">J10737-J10738</f>
        <v>-15427207.722158216</v>
      </c>
    </row>
    <row r="10740" spans="1:10" x14ac:dyDescent="0.3">
      <c r="A10740" s="45">
        <v>45603</v>
      </c>
      <c r="B10740" s="565"/>
      <c r="C10740" s="480"/>
      <c r="D10740" s="491" t="s">
        <v>4106</v>
      </c>
      <c r="E10740" s="480"/>
      <c r="F10740" s="43">
        <v>700000</v>
      </c>
      <c r="G10740" s="48">
        <f t="shared" si="271"/>
        <v>864253.79514275119</v>
      </c>
      <c r="H10740" s="389" t="s">
        <v>9567</v>
      </c>
    </row>
    <row r="10741" spans="1:10" x14ac:dyDescent="0.3">
      <c r="A10741" s="45">
        <v>45603</v>
      </c>
      <c r="B10741" s="396" t="s">
        <v>14685</v>
      </c>
      <c r="C10741" s="5" t="s">
        <v>5793</v>
      </c>
      <c r="D10741" s="5" t="s">
        <v>8924</v>
      </c>
      <c r="E10741" s="43">
        <v>250</v>
      </c>
      <c r="F10741" s="43"/>
      <c r="G10741" s="48">
        <f t="shared" si="271"/>
        <v>864003.79514275119</v>
      </c>
      <c r="H10741" s="389" t="s">
        <v>9567</v>
      </c>
    </row>
    <row r="10742" spans="1:10" x14ac:dyDescent="0.3">
      <c r="A10742" s="45">
        <v>45603</v>
      </c>
      <c r="B10742" s="396" t="s">
        <v>13902</v>
      </c>
      <c r="C10742" s="5" t="s">
        <v>11174</v>
      </c>
      <c r="D10742" s="5" t="s">
        <v>14878</v>
      </c>
      <c r="E10742" s="43">
        <v>24000</v>
      </c>
      <c r="F10742" s="43"/>
      <c r="G10742" s="48">
        <f t="shared" si="271"/>
        <v>840003.79514275119</v>
      </c>
      <c r="H10742" s="389" t="s">
        <v>9567</v>
      </c>
    </row>
    <row r="10743" spans="1:10" x14ac:dyDescent="0.3">
      <c r="A10743" s="45">
        <v>45603</v>
      </c>
      <c r="B10743" s="394" t="s">
        <v>13902</v>
      </c>
      <c r="C10743" s="186" t="s">
        <v>54</v>
      </c>
      <c r="D10743" s="186" t="s">
        <v>14879</v>
      </c>
      <c r="E10743" s="187">
        <v>162930</v>
      </c>
      <c r="F10743" s="43"/>
      <c r="G10743" s="48">
        <f t="shared" si="271"/>
        <v>677073.79514275119</v>
      </c>
      <c r="H10743" s="389" t="s">
        <v>9567</v>
      </c>
    </row>
    <row r="10744" spans="1:10" x14ac:dyDescent="0.3">
      <c r="A10744" s="45">
        <v>45603</v>
      </c>
      <c r="B10744" s="396" t="s">
        <v>14685</v>
      </c>
      <c r="C10744" s="5" t="s">
        <v>11174</v>
      </c>
      <c r="D10744" s="5" t="s">
        <v>14880</v>
      </c>
      <c r="E10744" s="43">
        <v>600</v>
      </c>
      <c r="F10744" s="43"/>
      <c r="G10744" s="48">
        <f t="shared" si="271"/>
        <v>676473.79514275119</v>
      </c>
      <c r="H10744" s="389" t="s">
        <v>9567</v>
      </c>
    </row>
    <row r="10745" spans="1:10" x14ac:dyDescent="0.3">
      <c r="A10745" s="45">
        <v>45603</v>
      </c>
      <c r="B10745" s="394" t="s">
        <v>13188</v>
      </c>
      <c r="C10745" s="186" t="s">
        <v>54</v>
      </c>
      <c r="D10745" s="186" t="s">
        <v>14881</v>
      </c>
      <c r="E10745" s="187">
        <f>36770+51130</f>
        <v>87900</v>
      </c>
      <c r="F10745" s="43"/>
      <c r="G10745" s="48">
        <f t="shared" si="271"/>
        <v>588573.79514275119</v>
      </c>
      <c r="H10745" s="389" t="s">
        <v>9567</v>
      </c>
    </row>
    <row r="10746" spans="1:10" x14ac:dyDescent="0.3">
      <c r="A10746" s="45">
        <v>45603</v>
      </c>
      <c r="B10746" s="394" t="s">
        <v>13138</v>
      </c>
      <c r="C10746" s="186" t="s">
        <v>54</v>
      </c>
      <c r="D10746" s="186" t="s">
        <v>14883</v>
      </c>
      <c r="E10746" s="187">
        <v>50000</v>
      </c>
      <c r="F10746" s="43"/>
      <c r="G10746" s="48">
        <f t="shared" si="271"/>
        <v>538573.79514275119</v>
      </c>
      <c r="H10746" s="389" t="s">
        <v>9567</v>
      </c>
    </row>
    <row r="10747" spans="1:10" x14ac:dyDescent="0.3">
      <c r="A10747" s="45">
        <v>45603</v>
      </c>
      <c r="B10747" s="394" t="s">
        <v>13321</v>
      </c>
      <c r="C10747" s="186" t="s">
        <v>54</v>
      </c>
      <c r="D10747" s="186" t="s">
        <v>14885</v>
      </c>
      <c r="E10747" s="187">
        <f>25500+53890</f>
        <v>79390</v>
      </c>
      <c r="F10747" s="43"/>
      <c r="G10747" s="48">
        <f t="shared" si="271"/>
        <v>459183.79514275119</v>
      </c>
      <c r="H10747" s="389" t="s">
        <v>9567</v>
      </c>
    </row>
    <row r="10748" spans="1:10" x14ac:dyDescent="0.3">
      <c r="A10748" s="45">
        <v>45603</v>
      </c>
      <c r="B10748" s="394" t="s">
        <v>25</v>
      </c>
      <c r="C10748" s="186" t="s">
        <v>54</v>
      </c>
      <c r="D10748" s="186" t="s">
        <v>14884</v>
      </c>
      <c r="E10748" s="187">
        <f>49330+52670</f>
        <v>102000</v>
      </c>
      <c r="F10748" s="43"/>
      <c r="G10748" s="48">
        <f t="shared" si="271"/>
        <v>357183.79514275119</v>
      </c>
      <c r="H10748" s="389" t="s">
        <v>9567</v>
      </c>
    </row>
    <row r="10749" spans="1:10" x14ac:dyDescent="0.3">
      <c r="A10749" s="45">
        <v>45603</v>
      </c>
      <c r="B10749" s="394" t="s">
        <v>12055</v>
      </c>
      <c r="C10749" s="186" t="s">
        <v>54</v>
      </c>
      <c r="D10749" s="186" t="s">
        <v>10079</v>
      </c>
      <c r="E10749" s="187">
        <v>28000</v>
      </c>
      <c r="F10749" s="43"/>
      <c r="G10749" s="48">
        <f t="shared" si="271"/>
        <v>329183.79514275119</v>
      </c>
      <c r="H10749" s="389" t="s">
        <v>9567</v>
      </c>
    </row>
    <row r="10750" spans="1:10" x14ac:dyDescent="0.3">
      <c r="A10750" s="45">
        <v>45603</v>
      </c>
      <c r="B10750" s="394" t="s">
        <v>12133</v>
      </c>
      <c r="C10750" s="186" t="s">
        <v>54</v>
      </c>
      <c r="D10750" s="186" t="s">
        <v>6952</v>
      </c>
      <c r="E10750" s="187">
        <v>57500</v>
      </c>
      <c r="F10750" s="43"/>
      <c r="G10750" s="48">
        <f t="shared" si="271"/>
        <v>271683.79514275119</v>
      </c>
      <c r="H10750" s="389" t="s">
        <v>9567</v>
      </c>
    </row>
    <row r="10751" spans="1:10" x14ac:dyDescent="0.3">
      <c r="A10751" s="45">
        <v>45604</v>
      </c>
      <c r="B10751" s="394" t="s">
        <v>12133</v>
      </c>
      <c r="C10751" s="186" t="s">
        <v>54</v>
      </c>
      <c r="D10751" s="186" t="s">
        <v>14887</v>
      </c>
      <c r="E10751" s="187">
        <f>32750+70000</f>
        <v>102750</v>
      </c>
      <c r="F10751" s="43"/>
      <c r="G10751" s="48">
        <f t="shared" si="271"/>
        <v>168933.79514275119</v>
      </c>
      <c r="H10751" s="389" t="s">
        <v>9567</v>
      </c>
    </row>
    <row r="10752" spans="1:10" x14ac:dyDescent="0.3">
      <c r="A10752" s="45">
        <v>45604</v>
      </c>
      <c r="B10752" s="394" t="s">
        <v>13902</v>
      </c>
      <c r="C10752" s="186" t="s">
        <v>54</v>
      </c>
      <c r="D10752" s="186" t="s">
        <v>8824</v>
      </c>
      <c r="E10752" s="187">
        <v>46300</v>
      </c>
      <c r="F10752" s="43"/>
      <c r="G10752" s="48">
        <f t="shared" si="271"/>
        <v>122633.79514275119</v>
      </c>
      <c r="H10752" s="389" t="s">
        <v>9567</v>
      </c>
    </row>
    <row r="10753" spans="1:9" x14ac:dyDescent="0.3">
      <c r="A10753" s="45">
        <v>45604</v>
      </c>
      <c r="B10753" s="394" t="s">
        <v>13833</v>
      </c>
      <c r="C10753" s="186" t="s">
        <v>54</v>
      </c>
      <c r="D10753" s="186" t="s">
        <v>14671</v>
      </c>
      <c r="E10753" s="187">
        <v>32780</v>
      </c>
      <c r="F10753" s="43"/>
      <c r="G10753" s="48">
        <f t="shared" si="271"/>
        <v>89853.795142751187</v>
      </c>
      <c r="H10753" s="389" t="s">
        <v>9567</v>
      </c>
    </row>
    <row r="10754" spans="1:9" x14ac:dyDescent="0.3">
      <c r="A10754" s="45">
        <v>45604</v>
      </c>
      <c r="B10754" s="394" t="s">
        <v>13138</v>
      </c>
      <c r="C10754" s="186" t="s">
        <v>54</v>
      </c>
      <c r="D10754" s="186" t="s">
        <v>14888</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11434</v>
      </c>
      <c r="E10756" s="43">
        <v>3000</v>
      </c>
      <c r="F10756" s="43"/>
      <c r="G10756" s="48">
        <f t="shared" si="271"/>
        <v>4093.7951427511871</v>
      </c>
      <c r="H10756" s="389" t="s">
        <v>9567</v>
      </c>
    </row>
    <row r="10757" spans="1:9" x14ac:dyDescent="0.3">
      <c r="A10757" s="45">
        <v>45604</v>
      </c>
      <c r="B10757" s="565"/>
      <c r="C10757" s="480"/>
      <c r="D10757" s="491" t="s">
        <v>11014</v>
      </c>
      <c r="E10757" s="480"/>
      <c r="F10757" s="43">
        <v>1000000</v>
      </c>
      <c r="G10757" s="48">
        <f t="shared" si="271"/>
        <v>1004093.7951427512</v>
      </c>
      <c r="H10757" s="389" t="s">
        <v>9567</v>
      </c>
    </row>
    <row r="10758" spans="1:9" x14ac:dyDescent="0.3">
      <c r="A10758" s="45">
        <v>45604</v>
      </c>
      <c r="B10758" s="396" t="s">
        <v>10319</v>
      </c>
      <c r="C10758" s="5" t="s">
        <v>14893</v>
      </c>
      <c r="D10758" s="5" t="s">
        <v>294</v>
      </c>
      <c r="E10758" s="43">
        <v>70000</v>
      </c>
      <c r="F10758" s="43"/>
      <c r="G10758" s="48">
        <f t="shared" si="271"/>
        <v>934093.79514275119</v>
      </c>
      <c r="H10758" s="389" t="s">
        <v>9567</v>
      </c>
    </row>
    <row r="10759" spans="1:9" x14ac:dyDescent="0.3">
      <c r="A10759" s="45">
        <v>45604</v>
      </c>
      <c r="B10759" s="396" t="s">
        <v>13138</v>
      </c>
      <c r="C10759" s="5" t="s">
        <v>30</v>
      </c>
      <c r="D10759" s="5" t="s">
        <v>14894</v>
      </c>
      <c r="E10759" s="43">
        <v>5000</v>
      </c>
      <c r="F10759" s="43"/>
      <c r="G10759" s="48">
        <f t="shared" si="271"/>
        <v>929093.79514275119</v>
      </c>
      <c r="H10759" s="389" t="s">
        <v>9567</v>
      </c>
    </row>
    <row r="10760" spans="1:9" x14ac:dyDescent="0.3">
      <c r="A10760" s="45">
        <v>45604</v>
      </c>
      <c r="B10760" s="394" t="s">
        <v>12611</v>
      </c>
      <c r="C10760" s="186" t="s">
        <v>54</v>
      </c>
      <c r="D10760" s="186" t="s">
        <v>13164</v>
      </c>
      <c r="E10760" s="187">
        <v>819290</v>
      </c>
      <c r="F10760" s="43"/>
      <c r="G10760" s="48">
        <f t="shared" si="271"/>
        <v>109803.79514275119</v>
      </c>
      <c r="H10760" s="389" t="s">
        <v>9567</v>
      </c>
    </row>
    <row r="10761" spans="1:9" x14ac:dyDescent="0.3">
      <c r="A10761" s="45">
        <v>45604</v>
      </c>
      <c r="B10761" s="396" t="s">
        <v>12133</v>
      </c>
      <c r="C10761" s="5" t="s">
        <v>11174</v>
      </c>
      <c r="D10761" s="5" t="s">
        <v>14896</v>
      </c>
      <c r="E10761" s="43">
        <v>6420</v>
      </c>
      <c r="F10761" s="43"/>
      <c r="G10761" s="48">
        <f t="shared" si="271"/>
        <v>103383.79514275119</v>
      </c>
      <c r="H10761" s="389" t="s">
        <v>9567</v>
      </c>
    </row>
    <row r="10762" spans="1:9" x14ac:dyDescent="0.3">
      <c r="A10762" s="45">
        <v>45604</v>
      </c>
      <c r="B10762" s="396" t="s">
        <v>12611</v>
      </c>
      <c r="C10762" s="5" t="s">
        <v>64</v>
      </c>
      <c r="D10762" s="5" t="s">
        <v>10756</v>
      </c>
      <c r="E10762" s="43">
        <v>1800</v>
      </c>
      <c r="F10762" s="43"/>
      <c r="G10762" s="48">
        <f t="shared" si="271"/>
        <v>101583.79514275119</v>
      </c>
      <c r="H10762" s="389" t="s">
        <v>9567</v>
      </c>
    </row>
    <row r="10763" spans="1:9" x14ac:dyDescent="0.3">
      <c r="A10763" s="45">
        <v>45604</v>
      </c>
      <c r="B10763" s="396" t="s">
        <v>12611</v>
      </c>
      <c r="C10763" s="5" t="s">
        <v>11174</v>
      </c>
      <c r="D10763" s="5" t="s">
        <v>14897</v>
      </c>
      <c r="E10763" s="43">
        <v>5000</v>
      </c>
      <c r="F10763" s="43"/>
      <c r="G10763" s="48">
        <f t="shared" si="271"/>
        <v>96583.795142751187</v>
      </c>
      <c r="H10763" s="389" t="s">
        <v>9567</v>
      </c>
    </row>
    <row r="10764" spans="1:9" x14ac:dyDescent="0.3">
      <c r="A10764" s="45">
        <v>45604</v>
      </c>
      <c r="B10764" s="396" t="s">
        <v>12611</v>
      </c>
      <c r="C10764" s="5" t="s">
        <v>13050</v>
      </c>
      <c r="D10764" s="5" t="s">
        <v>14898</v>
      </c>
      <c r="E10764" s="43">
        <v>10000</v>
      </c>
      <c r="F10764" s="43"/>
      <c r="G10764" s="48">
        <f t="shared" si="271"/>
        <v>86583.795142751187</v>
      </c>
      <c r="H10764" s="389" t="s">
        <v>9567</v>
      </c>
    </row>
    <row r="10765" spans="1:9" x14ac:dyDescent="0.3">
      <c r="A10765" s="45">
        <v>45604</v>
      </c>
      <c r="B10765" s="394" t="s">
        <v>14031</v>
      </c>
      <c r="C10765" s="186" t="s">
        <v>54</v>
      </c>
      <c r="D10765" s="186" t="s">
        <v>14899</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12133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13138</v>
      </c>
      <c r="C10768" s="5" t="s">
        <v>84</v>
      </c>
      <c r="D10768" s="5" t="s">
        <v>14906</v>
      </c>
      <c r="E10768" s="43">
        <v>10000</v>
      </c>
      <c r="F10768" s="43"/>
      <c r="G10768" s="48">
        <f t="shared" si="271"/>
        <v>54083.795142751187</v>
      </c>
      <c r="H10768" s="389" t="s">
        <v>9567</v>
      </c>
    </row>
    <row r="10769" spans="1:8" x14ac:dyDescent="0.3">
      <c r="A10769" s="45">
        <v>45607</v>
      </c>
      <c r="B10769" s="396" t="s">
        <v>13138</v>
      </c>
      <c r="C10769" s="5" t="s">
        <v>14907</v>
      </c>
      <c r="D10769" s="5" t="s">
        <v>14908</v>
      </c>
      <c r="E10769" s="43">
        <v>19200</v>
      </c>
      <c r="F10769" s="43"/>
      <c r="G10769" s="48">
        <f t="shared" si="271"/>
        <v>34883.795142751187</v>
      </c>
      <c r="H10769" s="389" t="s">
        <v>9567</v>
      </c>
    </row>
    <row r="10770" spans="1:8" x14ac:dyDescent="0.3">
      <c r="A10770" s="45">
        <v>45607</v>
      </c>
      <c r="B10770" s="396" t="s">
        <v>14685</v>
      </c>
      <c r="C10770" s="5" t="s">
        <v>5793</v>
      </c>
      <c r="D10770" s="5" t="s">
        <v>40</v>
      </c>
      <c r="E10770" s="43">
        <v>3000</v>
      </c>
      <c r="F10770" s="43"/>
      <c r="G10770" s="48">
        <f t="shared" si="271"/>
        <v>31883.795142751187</v>
      </c>
      <c r="H10770" s="389" t="s">
        <v>9567</v>
      </c>
    </row>
    <row r="10771" spans="1:8" x14ac:dyDescent="0.3">
      <c r="A10771" s="45">
        <v>45607</v>
      </c>
      <c r="B10771" s="396" t="s">
        <v>12133</v>
      </c>
      <c r="C10771" s="5" t="s">
        <v>5793</v>
      </c>
      <c r="D10771" s="5" t="s">
        <v>40</v>
      </c>
      <c r="E10771" s="43">
        <v>3000</v>
      </c>
      <c r="F10771" s="43"/>
      <c r="G10771" s="48">
        <f t="shared" si="271"/>
        <v>28883.795142751187</v>
      </c>
      <c r="H10771" s="389" t="s">
        <v>9567</v>
      </c>
    </row>
    <row r="10772" spans="1:8" x14ac:dyDescent="0.3">
      <c r="A10772" s="45">
        <v>45607</v>
      </c>
      <c r="B10772" s="396" t="s">
        <v>14685</v>
      </c>
      <c r="C10772" s="5" t="s">
        <v>11174</v>
      </c>
      <c r="D10772" s="5" t="s">
        <v>14909</v>
      </c>
      <c r="E10772" s="43">
        <v>6000</v>
      </c>
      <c r="F10772" s="43"/>
      <c r="G10772" s="48">
        <f t="shared" si="271"/>
        <v>22883.795142751187</v>
      </c>
      <c r="H10772" s="389" t="s">
        <v>9567</v>
      </c>
    </row>
    <row r="10773" spans="1:8" x14ac:dyDescent="0.3">
      <c r="A10773" s="45">
        <v>45607</v>
      </c>
      <c r="B10773" s="396" t="s">
        <v>14685</v>
      </c>
      <c r="C10773" s="5" t="s">
        <v>30</v>
      </c>
      <c r="D10773" s="5" t="s">
        <v>14225</v>
      </c>
      <c r="E10773" s="43">
        <v>2000</v>
      </c>
      <c r="F10773" s="43"/>
      <c r="G10773" s="48">
        <f t="shared" si="271"/>
        <v>20883.795142751187</v>
      </c>
      <c r="H10773" s="389" t="s">
        <v>9567</v>
      </c>
    </row>
    <row r="10774" spans="1:8" x14ac:dyDescent="0.3">
      <c r="A10774" s="45">
        <v>45607</v>
      </c>
      <c r="B10774" s="396" t="s">
        <v>13188</v>
      </c>
      <c r="C10774" s="5" t="s">
        <v>10695</v>
      </c>
      <c r="D10774" s="5" t="s">
        <v>14910</v>
      </c>
      <c r="E10774" s="43">
        <v>5000</v>
      </c>
      <c r="F10774" s="43"/>
      <c r="G10774" s="48">
        <f t="shared" si="271"/>
        <v>15883.795142751187</v>
      </c>
      <c r="H10774" s="389" t="s">
        <v>9567</v>
      </c>
    </row>
    <row r="10775" spans="1:8" x14ac:dyDescent="0.3">
      <c r="A10775" s="45">
        <v>45607</v>
      </c>
      <c r="B10775" s="396" t="s">
        <v>25</v>
      </c>
      <c r="C10775" s="5" t="s">
        <v>26</v>
      </c>
      <c r="D10775" s="5" t="s">
        <v>11434</v>
      </c>
      <c r="E10775" s="43">
        <v>3000</v>
      </c>
      <c r="F10775" s="43"/>
      <c r="G10775" s="48">
        <f t="shared" si="271"/>
        <v>12883.795142751187</v>
      </c>
      <c r="H10775" s="389" t="s">
        <v>9567</v>
      </c>
    </row>
    <row r="10776" spans="1:8" x14ac:dyDescent="0.3">
      <c r="A10776" s="45">
        <v>45607</v>
      </c>
      <c r="B10776" s="396" t="s">
        <v>13833</v>
      </c>
      <c r="C10776" s="5" t="s">
        <v>11174</v>
      </c>
      <c r="D10776" s="5" t="s">
        <v>14911</v>
      </c>
      <c r="E10776" s="43">
        <v>3050</v>
      </c>
      <c r="F10776" s="43"/>
      <c r="G10776" s="48">
        <f t="shared" si="271"/>
        <v>9833.7951427511871</v>
      </c>
      <c r="H10776" s="389" t="s">
        <v>9567</v>
      </c>
    </row>
    <row r="10777" spans="1:8" x14ac:dyDescent="0.3">
      <c r="A10777" s="45">
        <v>45607</v>
      </c>
      <c r="B10777" s="396" t="s">
        <v>14310</v>
      </c>
      <c r="C10777" s="5" t="s">
        <v>5793</v>
      </c>
      <c r="D10777" s="5" t="s">
        <v>14912</v>
      </c>
      <c r="E10777" s="43">
        <v>3000</v>
      </c>
      <c r="F10777" s="43"/>
      <c r="G10777" s="48">
        <f t="shared" si="271"/>
        <v>6833.7951427511871</v>
      </c>
      <c r="H10777" s="389" t="s">
        <v>9567</v>
      </c>
    </row>
    <row r="10778" spans="1:8" x14ac:dyDescent="0.3">
      <c r="A10778" s="45">
        <v>45608</v>
      </c>
      <c r="B10778" s="396" t="s">
        <v>12055</v>
      </c>
      <c r="C10778" s="5" t="s">
        <v>30</v>
      </c>
      <c r="D10778" s="5" t="s">
        <v>14914</v>
      </c>
      <c r="E10778" s="43">
        <v>500</v>
      </c>
      <c r="F10778" s="43"/>
      <c r="G10778" s="48">
        <f t="shared" si="271"/>
        <v>6333.7951427511871</v>
      </c>
      <c r="H10778" s="389" t="s">
        <v>9567</v>
      </c>
    </row>
    <row r="10779" spans="1:8" x14ac:dyDescent="0.3">
      <c r="A10779" s="45">
        <v>45608</v>
      </c>
      <c r="B10779" s="396" t="s">
        <v>13902</v>
      </c>
      <c r="C10779" s="5" t="s">
        <v>5793</v>
      </c>
      <c r="D10779" s="5" t="s">
        <v>40</v>
      </c>
      <c r="E10779" s="43">
        <v>1200</v>
      </c>
      <c r="F10779" s="43"/>
      <c r="G10779" s="48">
        <f t="shared" si="271"/>
        <v>5133.7951427511871</v>
      </c>
      <c r="H10779" s="389" t="s">
        <v>9567</v>
      </c>
    </row>
    <row r="10780" spans="1:8" x14ac:dyDescent="0.3">
      <c r="A10780" s="45">
        <v>45608</v>
      </c>
      <c r="B10780" s="396" t="s">
        <v>12133</v>
      </c>
      <c r="C10780" s="5" t="s">
        <v>5793</v>
      </c>
      <c r="D10780" s="5" t="s">
        <v>40</v>
      </c>
      <c r="E10780" s="43">
        <v>1200</v>
      </c>
      <c r="F10780" s="43"/>
      <c r="G10780" s="48">
        <f t="shared" si="271"/>
        <v>3933.7951427511871</v>
      </c>
      <c r="H10780" s="389" t="s">
        <v>9567</v>
      </c>
    </row>
    <row r="10781" spans="1:8" x14ac:dyDescent="0.3">
      <c r="A10781" s="45">
        <v>45608</v>
      </c>
      <c r="B10781" s="396" t="s">
        <v>13833</v>
      </c>
      <c r="C10781" s="5" t="s">
        <v>11174</v>
      </c>
      <c r="D10781" s="5" t="s">
        <v>14915</v>
      </c>
      <c r="E10781" s="43">
        <v>1000</v>
      </c>
      <c r="F10781" s="43"/>
      <c r="G10781" s="48">
        <f t="shared" si="271"/>
        <v>2933.7951427511871</v>
      </c>
      <c r="H10781" s="389" t="s">
        <v>9567</v>
      </c>
    </row>
    <row r="10782" spans="1:8" x14ac:dyDescent="0.3">
      <c r="A10782" s="45">
        <v>45608</v>
      </c>
      <c r="B10782" s="396" t="s">
        <v>13833</v>
      </c>
      <c r="C10782" s="5" t="s">
        <v>5793</v>
      </c>
      <c r="D10782" s="5" t="s">
        <v>40</v>
      </c>
      <c r="E10782" s="43">
        <v>450</v>
      </c>
      <c r="F10782" s="43"/>
      <c r="G10782" s="48">
        <f t="shared" si="271"/>
        <v>2483.7951427511871</v>
      </c>
      <c r="H10782" s="389" t="s">
        <v>9567</v>
      </c>
    </row>
    <row r="10783" spans="1:8" x14ac:dyDescent="0.3">
      <c r="A10783" s="45">
        <v>45608</v>
      </c>
      <c r="B10783" s="565"/>
      <c r="C10783" s="480"/>
      <c r="D10783" s="491" t="s">
        <v>14916</v>
      </c>
      <c r="E10783" s="480"/>
      <c r="F10783" s="43">
        <v>150000</v>
      </c>
      <c r="G10783" s="48">
        <f t="shared" si="271"/>
        <v>152483.79514275119</v>
      </c>
      <c r="H10783" s="389" t="s">
        <v>9567</v>
      </c>
    </row>
    <row r="10784" spans="1:8" x14ac:dyDescent="0.3">
      <c r="A10784" s="45">
        <v>45608</v>
      </c>
      <c r="B10784" s="396"/>
      <c r="C10784" s="5" t="s">
        <v>14</v>
      </c>
      <c r="D10784" s="5" t="s">
        <v>13624</v>
      </c>
      <c r="E10784" s="43">
        <v>75526</v>
      </c>
      <c r="F10784" s="43"/>
      <c r="G10784" s="48">
        <f t="shared" si="271"/>
        <v>76957.795142751187</v>
      </c>
      <c r="H10784" s="389" t="s">
        <v>9567</v>
      </c>
    </row>
    <row r="10785" spans="1:8" x14ac:dyDescent="0.3">
      <c r="A10785" s="45">
        <v>45608</v>
      </c>
      <c r="B10785" s="394" t="s">
        <v>25</v>
      </c>
      <c r="C10785" s="186" t="s">
        <v>54</v>
      </c>
      <c r="D10785" s="186" t="s">
        <v>14917</v>
      </c>
      <c r="E10785" s="187">
        <v>60000</v>
      </c>
      <c r="F10785" s="43"/>
      <c r="G10785" s="48">
        <f t="shared" si="271"/>
        <v>16957.795142751187</v>
      </c>
      <c r="H10785" s="389" t="s">
        <v>9567</v>
      </c>
    </row>
    <row r="10786" spans="1:8" x14ac:dyDescent="0.3">
      <c r="A10786" s="45">
        <v>45608</v>
      </c>
      <c r="B10786" s="396" t="s">
        <v>14590</v>
      </c>
      <c r="C10786" s="5" t="s">
        <v>4550</v>
      </c>
      <c r="D10786" s="5" t="s">
        <v>294</v>
      </c>
      <c r="E10786" s="43">
        <v>5000</v>
      </c>
      <c r="F10786" s="43"/>
      <c r="G10786" s="48">
        <f t="shared" si="271"/>
        <v>11957.795142751187</v>
      </c>
      <c r="H10786" s="389" t="s">
        <v>9567</v>
      </c>
    </row>
    <row r="10787" spans="1:8" x14ac:dyDescent="0.3">
      <c r="A10787" s="45">
        <v>45609</v>
      </c>
      <c r="B10787" s="396" t="s">
        <v>13902</v>
      </c>
      <c r="C10787" s="5" t="s">
        <v>30</v>
      </c>
      <c r="D10787" s="5" t="s">
        <v>14919</v>
      </c>
      <c r="E10787" s="43">
        <v>500</v>
      </c>
      <c r="F10787" s="43"/>
      <c r="G10787" s="48">
        <f t="shared" si="271"/>
        <v>11457.795142751187</v>
      </c>
      <c r="H10787" s="389" t="s">
        <v>9567</v>
      </c>
    </row>
    <row r="10788" spans="1:8" x14ac:dyDescent="0.3">
      <c r="A10788" s="45">
        <v>45609</v>
      </c>
      <c r="B10788" s="396" t="s">
        <v>13188</v>
      </c>
      <c r="C10788" s="5" t="s">
        <v>30</v>
      </c>
      <c r="D10788" s="5" t="s">
        <v>14126</v>
      </c>
      <c r="E10788" s="43">
        <v>1500</v>
      </c>
      <c r="F10788" s="43"/>
      <c r="G10788" s="48">
        <f t="shared" si="271"/>
        <v>9957.7951427511871</v>
      </c>
      <c r="H10788" s="389" t="s">
        <v>9567</v>
      </c>
    </row>
    <row r="10789" spans="1:8" x14ac:dyDescent="0.3">
      <c r="A10789" s="45">
        <v>45609</v>
      </c>
      <c r="B10789" s="396" t="s">
        <v>12133</v>
      </c>
      <c r="C10789" s="5" t="s">
        <v>5793</v>
      </c>
      <c r="D10789" s="5" t="s">
        <v>14923</v>
      </c>
      <c r="E10789" s="43">
        <v>1600</v>
      </c>
      <c r="F10789" s="43"/>
      <c r="G10789" s="48">
        <f t="shared" si="271"/>
        <v>8357.7951427511871</v>
      </c>
      <c r="H10789" s="389" t="s">
        <v>9567</v>
      </c>
    </row>
    <row r="10790" spans="1:8" x14ac:dyDescent="0.3">
      <c r="A10790" s="45">
        <v>45609</v>
      </c>
      <c r="B10790" s="396" t="s">
        <v>25</v>
      </c>
      <c r="C10790" s="5" t="s">
        <v>26</v>
      </c>
      <c r="D10790" s="5" t="s">
        <v>11434</v>
      </c>
      <c r="E10790" s="43">
        <v>3000</v>
      </c>
      <c r="F10790" s="43"/>
      <c r="G10790" s="48">
        <f t="shared" si="271"/>
        <v>5357.7951427511871</v>
      </c>
      <c r="H10790" s="389" t="s">
        <v>9567</v>
      </c>
    </row>
    <row r="10791" spans="1:8" x14ac:dyDescent="0.3">
      <c r="A10791" s="45">
        <v>45609</v>
      </c>
      <c r="B10791" s="565"/>
      <c r="C10791" s="480"/>
      <c r="D10791" s="491" t="s">
        <v>14646</v>
      </c>
      <c r="E10791" s="480"/>
      <c r="F10791" s="43">
        <v>350000</v>
      </c>
      <c r="G10791" s="48">
        <f t="shared" si="271"/>
        <v>355357.79514275119</v>
      </c>
      <c r="H10791" s="389" t="s">
        <v>9567</v>
      </c>
    </row>
    <row r="10792" spans="1:8" x14ac:dyDescent="0.3">
      <c r="A10792" s="45">
        <v>45609</v>
      </c>
      <c r="B10792" s="396"/>
      <c r="C10792" s="5" t="s">
        <v>14</v>
      </c>
      <c r="D10792" s="5" t="s">
        <v>14928</v>
      </c>
      <c r="E10792" s="43">
        <v>150000</v>
      </c>
      <c r="F10792" s="43"/>
      <c r="G10792" s="48">
        <f t="shared" si="271"/>
        <v>205357.79514275119</v>
      </c>
      <c r="H10792" s="389" t="s">
        <v>9567</v>
      </c>
    </row>
    <row r="10793" spans="1:8" x14ac:dyDescent="0.3">
      <c r="A10793" s="45">
        <v>45609</v>
      </c>
      <c r="B10793" s="396" t="s">
        <v>13833</v>
      </c>
      <c r="C10793" s="5" t="s">
        <v>11174</v>
      </c>
      <c r="D10793" s="5" t="s">
        <v>14929</v>
      </c>
      <c r="E10793" s="43">
        <v>1000</v>
      </c>
      <c r="F10793" s="43"/>
      <c r="G10793" s="48">
        <f t="shared" si="271"/>
        <v>204357.79514275119</v>
      </c>
      <c r="H10793" s="389" t="s">
        <v>9567</v>
      </c>
    </row>
    <row r="10794" spans="1:8" x14ac:dyDescent="0.3">
      <c r="A10794" s="45">
        <v>45610</v>
      </c>
      <c r="B10794" s="396" t="s">
        <v>14930</v>
      </c>
      <c r="C10794" s="5" t="s">
        <v>57</v>
      </c>
      <c r="D10794" s="5" t="s">
        <v>14931</v>
      </c>
      <c r="E10794" s="43">
        <v>5000</v>
      </c>
      <c r="F10794" s="43"/>
      <c r="G10794" s="48">
        <f t="shared" ref="G10794:G10856" si="272">G10793+F10794-E10794</f>
        <v>199357.79514275119</v>
      </c>
      <c r="H10794" s="389" t="s">
        <v>9567</v>
      </c>
    </row>
    <row r="10795" spans="1:8" x14ac:dyDescent="0.3">
      <c r="A10795" s="45">
        <v>45610</v>
      </c>
      <c r="B10795" s="396" t="s">
        <v>13902</v>
      </c>
      <c r="C10795" s="5" t="s">
        <v>11174</v>
      </c>
      <c r="D10795" s="5" t="s">
        <v>14932</v>
      </c>
      <c r="E10795" s="43">
        <v>29260</v>
      </c>
      <c r="F10795" s="43"/>
      <c r="G10795" s="48">
        <f t="shared" si="272"/>
        <v>170097.79514275119</v>
      </c>
      <c r="H10795" s="389" t="s">
        <v>9567</v>
      </c>
    </row>
    <row r="10796" spans="1:8" x14ac:dyDescent="0.3">
      <c r="A10796" s="45">
        <v>45610</v>
      </c>
      <c r="B10796" s="396" t="s">
        <v>13902</v>
      </c>
      <c r="C10796" s="5" t="s">
        <v>11174</v>
      </c>
      <c r="D10796" s="5" t="s">
        <v>14933</v>
      </c>
      <c r="E10796" s="43">
        <v>37100</v>
      </c>
      <c r="F10796" s="43"/>
      <c r="G10796" s="48">
        <f t="shared" si="272"/>
        <v>132997.79514275119</v>
      </c>
      <c r="H10796" s="389" t="s">
        <v>9567</v>
      </c>
    </row>
    <row r="10797" spans="1:8" x14ac:dyDescent="0.3">
      <c r="A10797" s="45">
        <v>45610</v>
      </c>
      <c r="B10797" s="396" t="s">
        <v>10319</v>
      </c>
      <c r="C10797" s="5" t="s">
        <v>7737</v>
      </c>
      <c r="D10797" s="5" t="s">
        <v>14934</v>
      </c>
      <c r="E10797" s="43">
        <v>30000</v>
      </c>
      <c r="F10797" s="43"/>
      <c r="G10797" s="48">
        <f t="shared" si="272"/>
        <v>102997.79514275119</v>
      </c>
      <c r="H10797" s="389" t="s">
        <v>9567</v>
      </c>
    </row>
    <row r="10798" spans="1:8" x14ac:dyDescent="0.3">
      <c r="A10798" s="45">
        <v>45610</v>
      </c>
      <c r="B10798" s="396" t="s">
        <v>13902</v>
      </c>
      <c r="C10798" s="5" t="s">
        <v>5793</v>
      </c>
      <c r="D10798" s="5" t="s">
        <v>40</v>
      </c>
      <c r="E10798" s="43">
        <v>3000</v>
      </c>
      <c r="F10798" s="43"/>
      <c r="G10798" s="48">
        <f t="shared" si="272"/>
        <v>99997.795142751187</v>
      </c>
      <c r="H10798" s="389" t="s">
        <v>9567</v>
      </c>
    </row>
    <row r="10799" spans="1:8" x14ac:dyDescent="0.3">
      <c r="A10799" s="45">
        <v>45610</v>
      </c>
      <c r="B10799" s="396" t="s">
        <v>14685</v>
      </c>
      <c r="C10799" s="5" t="s">
        <v>5793</v>
      </c>
      <c r="D10799" s="5" t="s">
        <v>40</v>
      </c>
      <c r="E10799" s="43">
        <v>3000</v>
      </c>
      <c r="F10799" s="43"/>
      <c r="G10799" s="48">
        <f t="shared" si="272"/>
        <v>96997.795142751187</v>
      </c>
      <c r="H10799" s="389" t="s">
        <v>9567</v>
      </c>
    </row>
    <row r="10800" spans="1:8" x14ac:dyDescent="0.3">
      <c r="A10800" s="45">
        <v>45610</v>
      </c>
      <c r="B10800" s="396" t="s">
        <v>14685</v>
      </c>
      <c r="C10800" s="5" t="s">
        <v>5793</v>
      </c>
      <c r="D10800" s="5" t="s">
        <v>8924</v>
      </c>
      <c r="E10800" s="43">
        <v>600</v>
      </c>
      <c r="F10800" s="43"/>
      <c r="G10800" s="48">
        <f t="shared" si="272"/>
        <v>96397.795142751187</v>
      </c>
      <c r="H10800" s="389" t="s">
        <v>9567</v>
      </c>
    </row>
    <row r="10801" spans="1:12" x14ac:dyDescent="0.3">
      <c r="A10801" s="45">
        <v>45610</v>
      </c>
      <c r="B10801" s="565"/>
      <c r="C10801" s="480"/>
      <c r="D10801" s="491" t="s">
        <v>11014</v>
      </c>
      <c r="E10801" s="480"/>
      <c r="F10801" s="43">
        <v>300000</v>
      </c>
      <c r="G10801" s="48">
        <f t="shared" si="272"/>
        <v>396397.79514275119</v>
      </c>
      <c r="H10801" s="389" t="s">
        <v>9567</v>
      </c>
    </row>
    <row r="10802" spans="1:12" x14ac:dyDescent="0.3">
      <c r="A10802" s="45">
        <v>45610</v>
      </c>
      <c r="B10802" s="396" t="s">
        <v>13833</v>
      </c>
      <c r="C10802" s="5" t="s">
        <v>14807</v>
      </c>
      <c r="D10802" s="5" t="s">
        <v>3910</v>
      </c>
      <c r="E10802" s="43">
        <v>20000</v>
      </c>
      <c r="F10802" s="43"/>
      <c r="G10802" s="48">
        <f t="shared" si="272"/>
        <v>376397.79514275119</v>
      </c>
      <c r="H10802" s="389" t="s">
        <v>9567</v>
      </c>
    </row>
    <row r="10803" spans="1:12" x14ac:dyDescent="0.3">
      <c r="A10803" s="45">
        <v>45610</v>
      </c>
      <c r="B10803" s="396" t="s">
        <v>13902</v>
      </c>
      <c r="C10803" s="5" t="s">
        <v>30</v>
      </c>
      <c r="D10803" s="5" t="s">
        <v>14126</v>
      </c>
      <c r="E10803" s="43">
        <v>1500</v>
      </c>
      <c r="F10803" s="43"/>
      <c r="G10803" s="48">
        <f t="shared" si="272"/>
        <v>374897.79514275119</v>
      </c>
      <c r="H10803" s="389" t="s">
        <v>9567</v>
      </c>
    </row>
    <row r="10804" spans="1:12" x14ac:dyDescent="0.3">
      <c r="A10804" s="45">
        <v>45610</v>
      </c>
      <c r="B10804" s="396" t="s">
        <v>14685</v>
      </c>
      <c r="C10804" s="5" t="s">
        <v>5793</v>
      </c>
      <c r="D10804" s="5" t="s">
        <v>14937</v>
      </c>
      <c r="E10804" s="43">
        <v>1500</v>
      </c>
      <c r="F10804" s="43"/>
      <c r="G10804" s="48">
        <f t="shared" si="272"/>
        <v>373397.79514275119</v>
      </c>
      <c r="H10804" s="389" t="s">
        <v>9567</v>
      </c>
    </row>
    <row r="10805" spans="1:12" x14ac:dyDescent="0.3">
      <c r="A10805" s="45">
        <v>45610</v>
      </c>
      <c r="B10805" s="396" t="s">
        <v>13902</v>
      </c>
      <c r="C10805" s="5" t="s">
        <v>11174</v>
      </c>
      <c r="D10805" s="5" t="s">
        <v>14938</v>
      </c>
      <c r="E10805" s="43">
        <v>100000</v>
      </c>
      <c r="F10805" s="43"/>
      <c r="G10805" s="48">
        <f t="shared" si="272"/>
        <v>273397.79514275119</v>
      </c>
      <c r="H10805" s="389" t="s">
        <v>9567</v>
      </c>
    </row>
    <row r="10806" spans="1:12" x14ac:dyDescent="0.3">
      <c r="A10806" s="45">
        <v>45610</v>
      </c>
      <c r="B10806" s="396" t="s">
        <v>14031</v>
      </c>
      <c r="C10806" s="5" t="s">
        <v>8040</v>
      </c>
      <c r="D10806" s="5" t="s">
        <v>14939</v>
      </c>
      <c r="E10806" s="43">
        <v>50000</v>
      </c>
      <c r="F10806" s="43"/>
      <c r="G10806" s="48">
        <f t="shared" si="272"/>
        <v>223397.79514275119</v>
      </c>
      <c r="H10806" s="389" t="s">
        <v>9567</v>
      </c>
    </row>
    <row r="10807" spans="1:12" x14ac:dyDescent="0.3">
      <c r="A10807" s="45">
        <v>45610</v>
      </c>
      <c r="B10807" s="396" t="s">
        <v>12055</v>
      </c>
      <c r="C10807" s="5" t="s">
        <v>8841</v>
      </c>
      <c r="D10807" s="5" t="s">
        <v>14940</v>
      </c>
      <c r="E10807" s="43">
        <v>50000</v>
      </c>
      <c r="F10807" s="43"/>
      <c r="G10807" s="48">
        <f t="shared" si="272"/>
        <v>173397.79514275119</v>
      </c>
      <c r="H10807" s="389" t="s">
        <v>9567</v>
      </c>
    </row>
    <row r="10808" spans="1:12" x14ac:dyDescent="0.3">
      <c r="A10808" s="45">
        <v>45610</v>
      </c>
      <c r="B10808" s="396" t="s">
        <v>13902</v>
      </c>
      <c r="C10808" s="5" t="s">
        <v>5793</v>
      </c>
      <c r="D10808" s="5" t="s">
        <v>40</v>
      </c>
      <c r="E10808" s="43">
        <v>3000</v>
      </c>
      <c r="F10808" s="43"/>
      <c r="G10808" s="48">
        <f t="shared" si="272"/>
        <v>170397.79514275119</v>
      </c>
      <c r="H10808" s="389" t="s">
        <v>9567</v>
      </c>
    </row>
    <row r="10809" spans="1:12" x14ac:dyDescent="0.3">
      <c r="A10809" s="45">
        <v>45611</v>
      </c>
      <c r="B10809" s="396" t="s">
        <v>13075</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11434</v>
      </c>
      <c r="E10810" s="43">
        <v>4000</v>
      </c>
      <c r="F10810" s="43"/>
      <c r="G10810" s="48">
        <f t="shared" si="272"/>
        <v>151397.79514275119</v>
      </c>
      <c r="H10810" s="389" t="s">
        <v>9567</v>
      </c>
    </row>
    <row r="10811" spans="1:12" x14ac:dyDescent="0.3">
      <c r="A10811" s="45">
        <v>45611</v>
      </c>
      <c r="B10811" s="406" t="s">
        <v>14524</v>
      </c>
      <c r="C10811" s="61" t="s">
        <v>11174</v>
      </c>
      <c r="D10811" s="61" t="s">
        <v>14941</v>
      </c>
      <c r="E10811" s="62">
        <v>9000</v>
      </c>
      <c r="F10811" s="43"/>
      <c r="G10811" s="48">
        <f t="shared" si="272"/>
        <v>142397.79514275119</v>
      </c>
      <c r="H10811" s="389" t="s">
        <v>9567</v>
      </c>
    </row>
    <row r="10812" spans="1:12" x14ac:dyDescent="0.3">
      <c r="A10812" s="45">
        <v>45611</v>
      </c>
      <c r="B10812" s="396" t="s">
        <v>14524</v>
      </c>
      <c r="C10812" s="5" t="s">
        <v>30</v>
      </c>
      <c r="D10812" s="5" t="s">
        <v>14126</v>
      </c>
      <c r="E10812" s="43">
        <v>1000</v>
      </c>
      <c r="F10812" s="43"/>
      <c r="G10812" s="48">
        <f t="shared" si="272"/>
        <v>141397.79514275119</v>
      </c>
      <c r="H10812" s="389" t="s">
        <v>9567</v>
      </c>
    </row>
    <row r="10813" spans="1:12" x14ac:dyDescent="0.3">
      <c r="A10813" s="45">
        <v>45611</v>
      </c>
      <c r="B10813" s="396" t="s">
        <v>14701</v>
      </c>
      <c r="C10813" s="5" t="s">
        <v>5793</v>
      </c>
      <c r="D10813" s="5" t="s">
        <v>14923</v>
      </c>
      <c r="E10813" s="43">
        <v>1100</v>
      </c>
      <c r="F10813" s="43"/>
      <c r="G10813" s="48">
        <f t="shared" si="272"/>
        <v>140297.79514275119</v>
      </c>
      <c r="H10813" s="389" t="s">
        <v>9567</v>
      </c>
    </row>
    <row r="10814" spans="1:12" x14ac:dyDescent="0.3">
      <c r="A10814" s="45">
        <v>45611</v>
      </c>
      <c r="B10814" s="396" t="s">
        <v>14607</v>
      </c>
      <c r="C10814" s="5" t="s">
        <v>9758</v>
      </c>
      <c r="D10814" s="5" t="s">
        <v>13972</v>
      </c>
      <c r="E10814" s="43">
        <v>5000</v>
      </c>
      <c r="F10814" s="43"/>
      <c r="G10814" s="48">
        <f t="shared" si="272"/>
        <v>135297.79514275119</v>
      </c>
      <c r="H10814" s="389" t="s">
        <v>9567</v>
      </c>
    </row>
    <row r="10815" spans="1:12" x14ac:dyDescent="0.3">
      <c r="A10815" s="45">
        <v>45611</v>
      </c>
      <c r="B10815" s="396" t="s">
        <v>13833</v>
      </c>
      <c r="C10815" s="5" t="s">
        <v>5793</v>
      </c>
      <c r="D10815" s="5" t="s">
        <v>14923</v>
      </c>
      <c r="E10815" s="43">
        <v>1400</v>
      </c>
      <c r="F10815" s="43"/>
      <c r="G10815" s="48">
        <f t="shared" si="272"/>
        <v>133897.79514275119</v>
      </c>
      <c r="H10815" s="389" t="s">
        <v>9567</v>
      </c>
      <c r="I10815" s="934" t="s">
        <v>15102</v>
      </c>
      <c r="J10815" s="934"/>
      <c r="K10815" s="934"/>
      <c r="L10815" s="934"/>
    </row>
    <row r="10816" spans="1:12" x14ac:dyDescent="0.3">
      <c r="A10816" s="45">
        <v>45611</v>
      </c>
      <c r="B10816" s="396" t="s">
        <v>13902</v>
      </c>
      <c r="C10816" s="5" t="s">
        <v>5793</v>
      </c>
      <c r="D10816" s="5" t="s">
        <v>14923</v>
      </c>
      <c r="E10816" s="43">
        <v>600</v>
      </c>
      <c r="F10816" s="43"/>
      <c r="G10816" s="48">
        <f t="shared" si="272"/>
        <v>133297.79514275119</v>
      </c>
      <c r="H10816" s="389" t="s">
        <v>9567</v>
      </c>
      <c r="I10816" s="359"/>
      <c r="J10816" s="359"/>
      <c r="K10816" s="359"/>
      <c r="L10816" s="337"/>
    </row>
    <row r="10817" spans="1:12" x14ac:dyDescent="0.3">
      <c r="A10817" s="45">
        <v>45611</v>
      </c>
      <c r="B10817" s="396" t="s">
        <v>14524</v>
      </c>
      <c r="C10817" s="5" t="s">
        <v>11174</v>
      </c>
      <c r="D10817" s="5" t="s">
        <v>14943</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3" t="s">
        <v>14947</v>
      </c>
      <c r="J10818" s="512" t="s">
        <v>14948</v>
      </c>
      <c r="K10818" s="512" t="s">
        <v>14949</v>
      </c>
      <c r="L10818" s="394" t="s">
        <v>11311</v>
      </c>
    </row>
    <row r="10819" spans="1:12" ht="56.25" x14ac:dyDescent="0.3">
      <c r="A10819" s="45">
        <v>45611</v>
      </c>
      <c r="B10819" s="396" t="s">
        <v>12133</v>
      </c>
      <c r="C10819" s="5" t="s">
        <v>5162</v>
      </c>
      <c r="D10819" s="5" t="s">
        <v>5813</v>
      </c>
      <c r="E10819" s="43">
        <v>5000</v>
      </c>
      <c r="F10819" s="43"/>
      <c r="G10819" s="48">
        <f t="shared" si="272"/>
        <v>125297.79514275119</v>
      </c>
      <c r="H10819" s="389" t="s">
        <v>9567</v>
      </c>
      <c r="I10819" s="689" t="s">
        <v>15103</v>
      </c>
      <c r="J10819" s="28">
        <v>2</v>
      </c>
      <c r="K10819" s="28">
        <v>19500</v>
      </c>
      <c r="L10819" s="28">
        <f>K10819*J10819</f>
        <v>39000</v>
      </c>
    </row>
    <row r="10820" spans="1:12" ht="56.25" x14ac:dyDescent="0.3">
      <c r="A10820" s="45">
        <v>45611</v>
      </c>
      <c r="B10820" s="396" t="s">
        <v>12133</v>
      </c>
      <c r="C10820" s="5" t="s">
        <v>84</v>
      </c>
      <c r="D10820" s="5" t="s">
        <v>14942</v>
      </c>
      <c r="E10820" s="43">
        <v>30000</v>
      </c>
      <c r="F10820" s="43"/>
      <c r="G10820" s="48">
        <f t="shared" si="272"/>
        <v>95297.795142751187</v>
      </c>
      <c r="H10820" s="389" t="s">
        <v>9567</v>
      </c>
      <c r="I10820" s="689" t="s">
        <v>15104</v>
      </c>
      <c r="J10820" s="28">
        <v>3</v>
      </c>
      <c r="K10820" s="28">
        <v>21500</v>
      </c>
      <c r="L10820" s="28">
        <f>K10820*J10820</f>
        <v>64500</v>
      </c>
    </row>
    <row r="10821" spans="1:12" ht="75" x14ac:dyDescent="0.3">
      <c r="A10821" s="45">
        <v>45612</v>
      </c>
      <c r="B10821" s="396" t="s">
        <v>14310</v>
      </c>
      <c r="C10821" s="5" t="s">
        <v>5793</v>
      </c>
      <c r="D10821" s="5" t="s">
        <v>14944</v>
      </c>
      <c r="E10821" s="43">
        <v>680</v>
      </c>
      <c r="F10821" s="43"/>
      <c r="G10821" s="48">
        <f t="shared" si="272"/>
        <v>94617.795142751187</v>
      </c>
      <c r="H10821" s="389" t="s">
        <v>9567</v>
      </c>
      <c r="I10821" s="689" t="s">
        <v>15105</v>
      </c>
      <c r="J10821" s="28">
        <v>7</v>
      </c>
      <c r="K10821" s="28">
        <v>9200</v>
      </c>
      <c r="L10821" s="28">
        <f>K10821*J10821</f>
        <v>64400</v>
      </c>
    </row>
    <row r="10822" spans="1:12" x14ac:dyDescent="0.3">
      <c r="A10822" s="45">
        <v>45612</v>
      </c>
      <c r="B10822" s="396" t="s">
        <v>13833</v>
      </c>
      <c r="C10822" s="5" t="s">
        <v>11174</v>
      </c>
      <c r="D10822" s="5" t="s">
        <v>14945</v>
      </c>
      <c r="E10822" s="43">
        <f>2680+3200</f>
        <v>5880</v>
      </c>
      <c r="F10822" s="43"/>
      <c r="G10822" s="48">
        <f t="shared" si="272"/>
        <v>88737.795142751187</v>
      </c>
      <c r="H10822" s="389" t="s">
        <v>9567</v>
      </c>
      <c r="I10822" s="155"/>
      <c r="J10822" s="155"/>
      <c r="K10822" s="155"/>
      <c r="L10822" s="685">
        <f>SUM(L10819:L10821)</f>
        <v>167900</v>
      </c>
    </row>
    <row r="10823" spans="1:12" x14ac:dyDescent="0.3">
      <c r="A10823" s="45">
        <v>45612</v>
      </c>
      <c r="B10823" s="396" t="s">
        <v>14310</v>
      </c>
      <c r="C10823" s="5" t="s">
        <v>11569</v>
      </c>
      <c r="D10823" s="5" t="s">
        <v>40</v>
      </c>
      <c r="E10823" s="43">
        <v>3000</v>
      </c>
      <c r="F10823" s="43"/>
      <c r="G10823" s="48">
        <f t="shared" si="272"/>
        <v>85737.795142751187</v>
      </c>
      <c r="H10823" s="389" t="s">
        <v>9567</v>
      </c>
    </row>
    <row r="10824" spans="1:12" x14ac:dyDescent="0.3">
      <c r="A10824" s="45">
        <v>45612</v>
      </c>
      <c r="B10824" s="396" t="s">
        <v>13188</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11434</v>
      </c>
      <c r="E10825" s="43">
        <v>5000</v>
      </c>
      <c r="F10825" s="43"/>
      <c r="G10825" s="48">
        <f t="shared" si="272"/>
        <v>77737.795142751187</v>
      </c>
      <c r="H10825" s="389" t="s">
        <v>9567</v>
      </c>
      <c r="I10825" s="934" t="s">
        <v>14946</v>
      </c>
      <c r="J10825" s="934"/>
      <c r="K10825" s="934"/>
      <c r="L10825" s="934"/>
    </row>
    <row r="10826" spans="1:12" x14ac:dyDescent="0.3">
      <c r="A10826" s="45">
        <v>45612</v>
      </c>
      <c r="B10826" s="396" t="s">
        <v>13902</v>
      </c>
      <c r="C10826" s="5" t="s">
        <v>11174</v>
      </c>
      <c r="D10826" s="5" t="s">
        <v>14938</v>
      </c>
      <c r="E10826" s="43">
        <v>10000</v>
      </c>
      <c r="F10826" s="43"/>
      <c r="G10826" s="48">
        <f t="shared" si="272"/>
        <v>67737.795142751187</v>
      </c>
      <c r="H10826" s="389" t="s">
        <v>9567</v>
      </c>
      <c r="I10826" s="359"/>
      <c r="J10826" s="359"/>
      <c r="K10826" s="359"/>
      <c r="L10826" s="337"/>
    </row>
    <row r="10827" spans="1:12" x14ac:dyDescent="0.3">
      <c r="A10827" s="45">
        <v>45612</v>
      </c>
      <c r="B10827" s="396" t="s">
        <v>13902</v>
      </c>
      <c r="C10827" s="5" t="s">
        <v>5793</v>
      </c>
      <c r="D10827" s="5" t="s">
        <v>14754</v>
      </c>
      <c r="E10827" s="43">
        <v>1000</v>
      </c>
      <c r="F10827" s="43"/>
      <c r="G10827" s="48">
        <f t="shared" si="272"/>
        <v>66737.795142751187</v>
      </c>
      <c r="H10827" s="389" t="s">
        <v>9567</v>
      </c>
      <c r="I10827" s="583" t="s">
        <v>14947</v>
      </c>
      <c r="J10827" s="512" t="s">
        <v>14948</v>
      </c>
      <c r="K10827" s="512" t="s">
        <v>14949</v>
      </c>
      <c r="L10827" s="394" t="s">
        <v>11311</v>
      </c>
    </row>
    <row r="10828" spans="1:12" ht="112.5" x14ac:dyDescent="0.3">
      <c r="A10828" s="45">
        <v>45612</v>
      </c>
      <c r="B10828" s="396" t="s">
        <v>12133</v>
      </c>
      <c r="C10828" s="5" t="s">
        <v>5793</v>
      </c>
      <c r="D10828" s="5" t="s">
        <v>14754</v>
      </c>
      <c r="E10828" s="43">
        <v>750</v>
      </c>
      <c r="F10828" s="43"/>
      <c r="G10828" s="48">
        <f t="shared" si="272"/>
        <v>65987.795142751187</v>
      </c>
      <c r="H10828" s="389" t="s">
        <v>9567</v>
      </c>
      <c r="I10828" s="689" t="s">
        <v>15107</v>
      </c>
      <c r="J10828" s="28">
        <v>2</v>
      </c>
      <c r="K10828" s="28">
        <v>29000</v>
      </c>
      <c r="L10828" s="28">
        <f>K10828*J10828</f>
        <v>58000</v>
      </c>
    </row>
    <row r="10829" spans="1:12" x14ac:dyDescent="0.3">
      <c r="A10829" s="45">
        <v>45612</v>
      </c>
      <c r="B10829" s="396" t="s">
        <v>12046</v>
      </c>
      <c r="C10829" s="5" t="s">
        <v>5793</v>
      </c>
      <c r="D10829" s="5" t="s">
        <v>14754</v>
      </c>
      <c r="E10829" s="43">
        <v>750</v>
      </c>
      <c r="F10829" s="43"/>
      <c r="G10829" s="48">
        <f t="shared" si="272"/>
        <v>65237.795142751187</v>
      </c>
      <c r="H10829" s="389" t="s">
        <v>9567</v>
      </c>
      <c r="I10829" s="689"/>
      <c r="J10829" s="28"/>
      <c r="K10829" s="28"/>
      <c r="L10829" s="28">
        <f>K10829*J10829</f>
        <v>0</v>
      </c>
    </row>
    <row r="10830" spans="1:12" ht="112.5" x14ac:dyDescent="0.3">
      <c r="A10830" s="45">
        <v>45612</v>
      </c>
      <c r="B10830" s="396" t="s">
        <v>13833</v>
      </c>
      <c r="C10830" s="5" t="s">
        <v>14807</v>
      </c>
      <c r="D10830" s="5" t="s">
        <v>3910</v>
      </c>
      <c r="E10830" s="43">
        <v>15000</v>
      </c>
      <c r="F10830" s="43"/>
      <c r="G10830" s="48">
        <f t="shared" si="272"/>
        <v>50237.795142751187</v>
      </c>
      <c r="H10830" s="389" t="s">
        <v>9567</v>
      </c>
      <c r="I10830" s="689" t="s">
        <v>15106</v>
      </c>
      <c r="J10830" s="28">
        <v>7</v>
      </c>
      <c r="K10830" s="28">
        <v>15000</v>
      </c>
      <c r="L10830" s="28">
        <f>K10830*J10830</f>
        <v>105000</v>
      </c>
    </row>
    <row r="10831" spans="1:12" x14ac:dyDescent="0.3">
      <c r="A10831" s="45">
        <v>45612</v>
      </c>
      <c r="B10831" s="396" t="s">
        <v>13833</v>
      </c>
      <c r="C10831" s="5" t="s">
        <v>30</v>
      </c>
      <c r="D10831" s="5" t="s">
        <v>14126</v>
      </c>
      <c r="E10831" s="43">
        <v>1500</v>
      </c>
      <c r="F10831" s="43"/>
      <c r="G10831" s="48">
        <f t="shared" si="272"/>
        <v>48737.795142751187</v>
      </c>
      <c r="H10831" s="389" t="s">
        <v>9567</v>
      </c>
      <c r="I10831" s="278"/>
      <c r="J10831" s="28"/>
      <c r="K10831" s="28"/>
      <c r="L10831" s="28"/>
    </row>
    <row r="10832" spans="1:12" x14ac:dyDescent="0.3">
      <c r="A10832" s="45">
        <v>45612</v>
      </c>
      <c r="B10832" s="396" t="s">
        <v>14701</v>
      </c>
      <c r="C10832" s="5" t="s">
        <v>26</v>
      </c>
      <c r="D10832" s="5" t="s">
        <v>11536</v>
      </c>
      <c r="E10832" s="43">
        <v>1200</v>
      </c>
      <c r="F10832" s="43"/>
      <c r="G10832" s="48">
        <f t="shared" si="272"/>
        <v>47537.795142751187</v>
      </c>
      <c r="H10832" s="389" t="s">
        <v>9567</v>
      </c>
      <c r="I10832" s="278"/>
      <c r="J10832" s="28"/>
      <c r="K10832" s="28"/>
      <c r="L10832" s="28"/>
    </row>
    <row r="10833" spans="1:12" x14ac:dyDescent="0.3">
      <c r="A10833" s="45">
        <v>45612</v>
      </c>
      <c r="B10833" s="396" t="s">
        <v>13902</v>
      </c>
      <c r="C10833" s="5" t="s">
        <v>26</v>
      </c>
      <c r="D10833" s="5" t="s">
        <v>14951</v>
      </c>
      <c r="E10833" s="43">
        <v>2000</v>
      </c>
      <c r="F10833" s="43"/>
      <c r="G10833" s="48">
        <f t="shared" si="272"/>
        <v>45537.795142751187</v>
      </c>
      <c r="H10833" s="389" t="s">
        <v>9567</v>
      </c>
      <c r="I10833" s="155"/>
      <c r="J10833" s="155"/>
      <c r="K10833" s="155"/>
      <c r="L10833" s="685">
        <f>SUM(L10828:L10832)</f>
        <v>163000</v>
      </c>
    </row>
    <row r="10834" spans="1:12" x14ac:dyDescent="0.3">
      <c r="A10834" s="45">
        <v>45612</v>
      </c>
      <c r="B10834" s="396" t="s">
        <v>25</v>
      </c>
      <c r="C10834" s="5" t="s">
        <v>26</v>
      </c>
      <c r="D10834" s="5" t="s">
        <v>11434</v>
      </c>
      <c r="E10834" s="43">
        <v>3000</v>
      </c>
      <c r="F10834" s="43"/>
      <c r="G10834" s="48">
        <f t="shared" si="272"/>
        <v>42537.795142751187</v>
      </c>
      <c r="H10834" s="389" t="s">
        <v>9567</v>
      </c>
    </row>
    <row r="10835" spans="1:12" x14ac:dyDescent="0.3">
      <c r="A10835" s="45">
        <v>45612</v>
      </c>
      <c r="B10835" s="396" t="s">
        <v>14685</v>
      </c>
      <c r="C10835" s="5" t="s">
        <v>11174</v>
      </c>
      <c r="D10835" s="5" t="s">
        <v>14952</v>
      </c>
      <c r="E10835" s="43">
        <v>2000</v>
      </c>
      <c r="F10835" s="43"/>
      <c r="G10835" s="48">
        <f t="shared" si="272"/>
        <v>40537.795142751187</v>
      </c>
      <c r="H10835" s="389" t="s">
        <v>9567</v>
      </c>
    </row>
    <row r="10836" spans="1:12" x14ac:dyDescent="0.3">
      <c r="A10836" s="45">
        <v>45612</v>
      </c>
      <c r="B10836" s="396" t="s">
        <v>12611</v>
      </c>
      <c r="C10836" s="5" t="s">
        <v>84</v>
      </c>
      <c r="D10836" s="5" t="s">
        <v>14953</v>
      </c>
      <c r="E10836" s="43">
        <v>5000</v>
      </c>
      <c r="F10836" s="43"/>
      <c r="G10836" s="48">
        <f t="shared" si="272"/>
        <v>35537.795142751187</v>
      </c>
      <c r="H10836" s="389" t="s">
        <v>9567</v>
      </c>
    </row>
    <row r="10837" spans="1:12" x14ac:dyDescent="0.3">
      <c r="A10837" s="45">
        <v>45612</v>
      </c>
      <c r="B10837" s="396" t="s">
        <v>13902</v>
      </c>
      <c r="C10837" s="5" t="s">
        <v>5793</v>
      </c>
      <c r="D10837" s="5" t="s">
        <v>40</v>
      </c>
      <c r="E10837" s="43">
        <v>2000</v>
      </c>
      <c r="F10837" s="43"/>
      <c r="G10837" s="48">
        <f t="shared" si="272"/>
        <v>33537.795142751187</v>
      </c>
      <c r="H10837" s="389" t="s">
        <v>9567</v>
      </c>
    </row>
    <row r="10838" spans="1:12" x14ac:dyDescent="0.3">
      <c r="A10838" s="45">
        <v>45612</v>
      </c>
      <c r="B10838" s="396" t="s">
        <v>13833</v>
      </c>
      <c r="C10838" s="5" t="s">
        <v>5288</v>
      </c>
      <c r="D10838" s="5" t="s">
        <v>14954</v>
      </c>
      <c r="E10838" s="43">
        <v>5000</v>
      </c>
      <c r="F10838" s="43"/>
      <c r="G10838" s="48">
        <f t="shared" si="272"/>
        <v>28537.795142751187</v>
      </c>
      <c r="H10838" s="389" t="s">
        <v>9567</v>
      </c>
    </row>
    <row r="10839" spans="1:12" x14ac:dyDescent="0.3">
      <c r="A10839" s="45">
        <v>45614</v>
      </c>
      <c r="B10839" s="396" t="s">
        <v>13833</v>
      </c>
      <c r="C10839" s="5" t="s">
        <v>5793</v>
      </c>
      <c r="D10839" s="5" t="s">
        <v>40</v>
      </c>
      <c r="E10839" s="43">
        <v>1000</v>
      </c>
      <c r="F10839" s="43"/>
      <c r="G10839" s="48">
        <f t="shared" si="272"/>
        <v>27537.795142751187</v>
      </c>
      <c r="H10839" s="389" t="s">
        <v>9567</v>
      </c>
    </row>
    <row r="10840" spans="1:12" x14ac:dyDescent="0.3">
      <c r="A10840" s="45">
        <v>45614</v>
      </c>
      <c r="B10840" s="396" t="s">
        <v>14685</v>
      </c>
      <c r="C10840" s="5" t="s">
        <v>5793</v>
      </c>
      <c r="D10840" s="5" t="s">
        <v>40</v>
      </c>
      <c r="E10840" s="43">
        <v>1000</v>
      </c>
      <c r="F10840" s="43"/>
      <c r="G10840" s="48">
        <f t="shared" si="272"/>
        <v>26537.795142751187</v>
      </c>
      <c r="H10840" s="389" t="s">
        <v>9567</v>
      </c>
    </row>
    <row r="10841" spans="1:12" x14ac:dyDescent="0.3">
      <c r="A10841" s="45">
        <v>45614</v>
      </c>
      <c r="B10841" s="396" t="s">
        <v>13379</v>
      </c>
      <c r="C10841" s="5" t="s">
        <v>11174</v>
      </c>
      <c r="D10841" s="5" t="s">
        <v>14955</v>
      </c>
      <c r="E10841" s="43">
        <v>750</v>
      </c>
      <c r="F10841" s="43"/>
      <c r="G10841" s="48">
        <f t="shared" si="272"/>
        <v>25787.795142751187</v>
      </c>
      <c r="H10841" s="389" t="s">
        <v>9567</v>
      </c>
      <c r="I10841" s="52">
        <v>600000</v>
      </c>
    </row>
    <row r="10842" spans="1:12" x14ac:dyDescent="0.3">
      <c r="A10842" s="45">
        <v>45614</v>
      </c>
      <c r="B10842" s="396" t="s">
        <v>12133</v>
      </c>
      <c r="C10842" s="5" t="s">
        <v>26</v>
      </c>
      <c r="D10842" s="5" t="s">
        <v>15121</v>
      </c>
      <c r="E10842" s="43">
        <v>1500</v>
      </c>
      <c r="F10842" s="43"/>
      <c r="G10842" s="48">
        <f t="shared" si="272"/>
        <v>24287.795142751187</v>
      </c>
      <c r="H10842" s="389" t="s">
        <v>9567</v>
      </c>
      <c r="I10842" s="52">
        <f>I10841*15%</f>
        <v>90000</v>
      </c>
    </row>
    <row r="10843" spans="1:12" x14ac:dyDescent="0.3">
      <c r="A10843" s="45">
        <v>45614</v>
      </c>
      <c r="B10843" s="396" t="s">
        <v>13833</v>
      </c>
      <c r="C10843" s="5" t="s">
        <v>11174</v>
      </c>
      <c r="D10843" s="5" t="s">
        <v>14956</v>
      </c>
      <c r="E10843" s="43">
        <v>1200</v>
      </c>
      <c r="F10843" s="43"/>
      <c r="G10843" s="48">
        <f t="shared" si="272"/>
        <v>23087.795142751187</v>
      </c>
      <c r="H10843" s="389" t="s">
        <v>9567</v>
      </c>
      <c r="I10843" s="52">
        <f>I10842+I10841</f>
        <v>690000</v>
      </c>
    </row>
    <row r="10844" spans="1:12" x14ac:dyDescent="0.3">
      <c r="A10844" s="45">
        <v>45614</v>
      </c>
      <c r="B10844" s="396" t="s">
        <v>13833</v>
      </c>
      <c r="C10844" s="5" t="s">
        <v>5793</v>
      </c>
      <c r="D10844" s="5" t="s">
        <v>14957</v>
      </c>
      <c r="E10844" s="43">
        <v>1400</v>
      </c>
      <c r="F10844" s="43"/>
      <c r="G10844" s="48">
        <f t="shared" si="272"/>
        <v>21687.795142751187</v>
      </c>
      <c r="H10844" s="389" t="s">
        <v>9567</v>
      </c>
    </row>
    <row r="10845" spans="1:12" x14ac:dyDescent="0.3">
      <c r="A10845" s="45">
        <v>45614</v>
      </c>
      <c r="B10845" s="396"/>
      <c r="C10845" s="5" t="s">
        <v>5518</v>
      </c>
      <c r="D10845" s="5" t="s">
        <v>14839</v>
      </c>
      <c r="E10845" s="43">
        <v>15000</v>
      </c>
      <c r="F10845" s="43"/>
      <c r="G10845" s="48">
        <f t="shared" si="272"/>
        <v>6687.7951427511871</v>
      </c>
      <c r="H10845" s="389" t="s">
        <v>9567</v>
      </c>
      <c r="I10845" s="52">
        <f>I10844*15%</f>
        <v>0</v>
      </c>
    </row>
    <row r="10846" spans="1:12" x14ac:dyDescent="0.3">
      <c r="A10846" s="45">
        <v>45614</v>
      </c>
      <c r="B10846" s="565"/>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12230</v>
      </c>
      <c r="C10848" s="5" t="s">
        <v>1074</v>
      </c>
      <c r="D10848" s="5" t="s">
        <v>6280</v>
      </c>
      <c r="E10848" s="43">
        <v>3185</v>
      </c>
      <c r="F10848" s="43"/>
      <c r="G10848" s="48">
        <f t="shared" si="272"/>
        <v>192172.79514275119</v>
      </c>
      <c r="H10848" s="389" t="s">
        <v>9567</v>
      </c>
    </row>
    <row r="10849" spans="1:10" x14ac:dyDescent="0.3">
      <c r="A10849" s="45">
        <v>45615</v>
      </c>
      <c r="B10849" s="396" t="s">
        <v>13902</v>
      </c>
      <c r="C10849" s="5" t="s">
        <v>11174</v>
      </c>
      <c r="D10849" s="5" t="s">
        <v>14958</v>
      </c>
      <c r="E10849" s="43">
        <v>7872</v>
      </c>
      <c r="F10849" s="43"/>
      <c r="G10849" s="48">
        <f t="shared" si="272"/>
        <v>184300.79514275119</v>
      </c>
      <c r="H10849" s="389" t="s">
        <v>9567</v>
      </c>
    </row>
    <row r="10850" spans="1:10" x14ac:dyDescent="0.3">
      <c r="A10850" s="45">
        <v>45615</v>
      </c>
      <c r="B10850" s="396" t="s">
        <v>10319</v>
      </c>
      <c r="C10850" s="5" t="s">
        <v>14959</v>
      </c>
      <c r="D10850" s="5" t="s">
        <v>14960</v>
      </c>
      <c r="E10850" s="43">
        <v>8000</v>
      </c>
      <c r="F10850" s="43"/>
      <c r="G10850" s="48">
        <f t="shared" si="272"/>
        <v>176300.79514275119</v>
      </c>
      <c r="H10850" s="389" t="s">
        <v>9567</v>
      </c>
    </row>
    <row r="10851" spans="1:10" x14ac:dyDescent="0.3">
      <c r="A10851" s="45">
        <v>45615</v>
      </c>
      <c r="B10851" s="396" t="s">
        <v>25</v>
      </c>
      <c r="C10851" s="5" t="s">
        <v>26</v>
      </c>
      <c r="D10851" s="5" t="s">
        <v>11434</v>
      </c>
      <c r="E10851" s="43">
        <v>4000</v>
      </c>
      <c r="F10851" s="43"/>
      <c r="G10851" s="48">
        <f t="shared" si="272"/>
        <v>172300.79514275119</v>
      </c>
      <c r="H10851" s="389" t="s">
        <v>9567</v>
      </c>
      <c r="I10851" s="52">
        <v>20000</v>
      </c>
      <c r="J10851" s="52">
        <f>I10851*1.25</f>
        <v>25000</v>
      </c>
    </row>
    <row r="10852" spans="1:10" x14ac:dyDescent="0.3">
      <c r="A10852" s="45">
        <v>45615</v>
      </c>
      <c r="B10852" s="396" t="s">
        <v>13902</v>
      </c>
      <c r="C10852" s="5" t="s">
        <v>30</v>
      </c>
      <c r="D10852" s="5" t="s">
        <v>14126</v>
      </c>
      <c r="E10852" s="43">
        <v>1500</v>
      </c>
      <c r="F10852" s="43"/>
      <c r="G10852" s="48">
        <f t="shared" si="272"/>
        <v>170800.79514275119</v>
      </c>
      <c r="H10852" s="389" t="s">
        <v>9567</v>
      </c>
    </row>
    <row r="10853" spans="1:10" x14ac:dyDescent="0.3">
      <c r="A10853" s="45">
        <v>45615</v>
      </c>
      <c r="B10853" s="396" t="s">
        <v>13833</v>
      </c>
      <c r="C10853" s="5" t="s">
        <v>11174</v>
      </c>
      <c r="D10853" s="5" t="s">
        <v>14962</v>
      </c>
      <c r="E10853" s="43">
        <v>48600</v>
      </c>
      <c r="F10853" s="43"/>
      <c r="G10853" s="48">
        <f t="shared" si="272"/>
        <v>122200.79514275119</v>
      </c>
      <c r="H10853" s="389" t="s">
        <v>9567</v>
      </c>
    </row>
    <row r="10854" spans="1:10" x14ac:dyDescent="0.3">
      <c r="A10854" s="45">
        <v>45615</v>
      </c>
      <c r="B10854" s="396" t="s">
        <v>14701</v>
      </c>
      <c r="C10854" s="5" t="s">
        <v>11174</v>
      </c>
      <c r="D10854" s="5" t="s">
        <v>14961</v>
      </c>
      <c r="E10854" s="43">
        <v>1500</v>
      </c>
      <c r="F10854" s="43"/>
      <c r="G10854" s="48">
        <f t="shared" si="272"/>
        <v>120700.79514275119</v>
      </c>
      <c r="H10854" s="389" t="s">
        <v>9567</v>
      </c>
      <c r="I10854" s="52">
        <v>7200</v>
      </c>
      <c r="J10854" s="52">
        <f>I10854*1.25</f>
        <v>9000</v>
      </c>
    </row>
    <row r="10855" spans="1:10" x14ac:dyDescent="0.3">
      <c r="A10855" s="45">
        <v>45615</v>
      </c>
      <c r="B10855" s="396" t="s">
        <v>14685</v>
      </c>
      <c r="C10855" s="5" t="s">
        <v>5793</v>
      </c>
      <c r="D10855" s="5" t="s">
        <v>14388</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13188</v>
      </c>
      <c r="C10856" s="5" t="s">
        <v>11174</v>
      </c>
      <c r="D10856" s="5" t="s">
        <v>14963</v>
      </c>
      <c r="E10856" s="43">
        <v>1790</v>
      </c>
      <c r="F10856" s="43"/>
      <c r="G10856" s="48">
        <f t="shared" si="272"/>
        <v>115710.79514275119</v>
      </c>
      <c r="H10856" s="389" t="s">
        <v>9567</v>
      </c>
      <c r="I10856" s="52">
        <v>6650</v>
      </c>
      <c r="J10856" s="52">
        <f t="shared" si="273"/>
        <v>8312.5</v>
      </c>
    </row>
    <row r="10857" spans="1:10" x14ac:dyDescent="0.3">
      <c r="A10857" s="45">
        <v>45616</v>
      </c>
      <c r="B10857" s="396" t="s">
        <v>13902</v>
      </c>
      <c r="C10857" s="5" t="s">
        <v>5793</v>
      </c>
      <c r="D10857" s="5" t="s">
        <v>14754</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14310</v>
      </c>
      <c r="C10858" s="5" t="s">
        <v>5793</v>
      </c>
      <c r="D10858" s="5" t="s">
        <v>14965</v>
      </c>
      <c r="E10858" s="43">
        <v>3500</v>
      </c>
      <c r="F10858" s="43"/>
      <c r="G10858" s="48">
        <f t="shared" si="274"/>
        <v>110710.79514275119</v>
      </c>
      <c r="H10858" s="389" t="s">
        <v>9567</v>
      </c>
      <c r="I10858" s="52">
        <v>1550</v>
      </c>
      <c r="J10858" s="52">
        <f t="shared" si="273"/>
        <v>1937.5</v>
      </c>
    </row>
    <row r="10859" spans="1:10" x14ac:dyDescent="0.3">
      <c r="A10859" s="45">
        <v>45616</v>
      </c>
      <c r="B10859" s="396" t="s">
        <v>12055</v>
      </c>
      <c r="C10859" s="5" t="s">
        <v>84</v>
      </c>
      <c r="D10859" s="5" t="s">
        <v>14966</v>
      </c>
      <c r="E10859" s="43">
        <v>3000</v>
      </c>
      <c r="F10859" s="43"/>
      <c r="G10859" s="48">
        <f t="shared" si="274"/>
        <v>107710.79514275119</v>
      </c>
      <c r="H10859" s="389" t="s">
        <v>9567</v>
      </c>
      <c r="I10859" s="52">
        <v>7200</v>
      </c>
      <c r="J10859" s="52">
        <f t="shared" si="273"/>
        <v>9000</v>
      </c>
    </row>
    <row r="10860" spans="1:10" x14ac:dyDescent="0.3">
      <c r="A10860" s="45">
        <v>45616</v>
      </c>
      <c r="B10860" s="396" t="s">
        <v>12611</v>
      </c>
      <c r="C10860" s="5" t="s">
        <v>84</v>
      </c>
      <c r="D10860" s="5" t="s">
        <v>14967</v>
      </c>
      <c r="E10860" s="43">
        <v>5000</v>
      </c>
      <c r="F10860" s="43"/>
      <c r="G10860" s="48">
        <f t="shared" si="274"/>
        <v>102710.79514275119</v>
      </c>
      <c r="H10860" s="389" t="s">
        <v>9567</v>
      </c>
    </row>
    <row r="10861" spans="1:10" x14ac:dyDescent="0.3">
      <c r="A10861" s="45">
        <v>45616</v>
      </c>
      <c r="B10861" s="396" t="s">
        <v>12611</v>
      </c>
      <c r="C10861" s="5" t="s">
        <v>84</v>
      </c>
      <c r="D10861" s="5" t="s">
        <v>14968</v>
      </c>
      <c r="E10861" s="43">
        <v>5000</v>
      </c>
      <c r="F10861" s="43"/>
      <c r="G10861" s="48">
        <f t="shared" si="274"/>
        <v>97710.795142751187</v>
      </c>
      <c r="H10861" s="389" t="s">
        <v>9567</v>
      </c>
    </row>
    <row r="10862" spans="1:10" x14ac:dyDescent="0.3">
      <c r="A10862" s="45">
        <v>45616</v>
      </c>
      <c r="B10862" s="396" t="s">
        <v>12611</v>
      </c>
      <c r="C10862" s="5" t="s">
        <v>84</v>
      </c>
      <c r="D10862" s="5" t="s">
        <v>14969</v>
      </c>
      <c r="E10862" s="43">
        <v>5000</v>
      </c>
      <c r="F10862" s="43"/>
      <c r="G10862" s="48">
        <f t="shared" si="274"/>
        <v>92710.795142751187</v>
      </c>
      <c r="H10862" s="389" t="s">
        <v>9567</v>
      </c>
    </row>
    <row r="10863" spans="1:10" x14ac:dyDescent="0.3">
      <c r="A10863" s="45">
        <v>45616</v>
      </c>
      <c r="B10863" s="396" t="s">
        <v>12611</v>
      </c>
      <c r="C10863" s="5" t="s">
        <v>84</v>
      </c>
      <c r="D10863" s="5" t="s">
        <v>14970</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5"/>
      <c r="C10865" s="480"/>
      <c r="D10865" s="491" t="s">
        <v>11014</v>
      </c>
      <c r="E10865" s="480"/>
      <c r="F10865" s="43">
        <v>100000</v>
      </c>
      <c r="G10865" s="48">
        <f t="shared" si="274"/>
        <v>179710.79514275119</v>
      </c>
      <c r="H10865" s="389" t="s">
        <v>9567</v>
      </c>
    </row>
    <row r="10866" spans="1:8" ht="37.5" x14ac:dyDescent="0.3">
      <c r="A10866" s="45">
        <v>45616</v>
      </c>
      <c r="B10866" s="320" t="s">
        <v>13833</v>
      </c>
      <c r="C10866" s="44" t="s">
        <v>11174</v>
      </c>
      <c r="D10866" s="124" t="s">
        <v>14974</v>
      </c>
      <c r="E10866" s="28">
        <v>65200</v>
      </c>
      <c r="F10866" s="28"/>
      <c r="G10866" s="48">
        <f t="shared" si="274"/>
        <v>114510.79514275119</v>
      </c>
      <c r="H10866" s="389" t="s">
        <v>9567</v>
      </c>
    </row>
    <row r="10867" spans="1:8" x14ac:dyDescent="0.3">
      <c r="A10867" s="45">
        <v>45616</v>
      </c>
      <c r="B10867" s="320" t="s">
        <v>14524</v>
      </c>
      <c r="C10867" s="44" t="s">
        <v>11174</v>
      </c>
      <c r="D10867" s="44" t="s">
        <v>14975</v>
      </c>
      <c r="E10867" s="28">
        <v>1980</v>
      </c>
      <c r="F10867" s="28"/>
      <c r="G10867" s="48">
        <f t="shared" si="274"/>
        <v>112530.79514275119</v>
      </c>
      <c r="H10867" s="389" t="s">
        <v>9567</v>
      </c>
    </row>
    <row r="10868" spans="1:8" x14ac:dyDescent="0.3">
      <c r="A10868" s="45">
        <v>45616</v>
      </c>
      <c r="B10868" s="320" t="s">
        <v>13833</v>
      </c>
      <c r="C10868" s="44" t="s">
        <v>84</v>
      </c>
      <c r="D10868" s="44" t="s">
        <v>14977</v>
      </c>
      <c r="E10868" s="28">
        <v>1000</v>
      </c>
      <c r="F10868" s="28"/>
      <c r="G10868" s="48">
        <f t="shared" si="274"/>
        <v>111530.79514275119</v>
      </c>
      <c r="H10868" s="389" t="s">
        <v>9567</v>
      </c>
    </row>
    <row r="10869" spans="1:8" x14ac:dyDescent="0.3">
      <c r="A10869" s="45">
        <v>45616</v>
      </c>
      <c r="B10869" s="320" t="s">
        <v>13902</v>
      </c>
      <c r="C10869" s="44" t="s">
        <v>11174</v>
      </c>
      <c r="D10869" s="44" t="s">
        <v>14976</v>
      </c>
      <c r="E10869" s="28">
        <v>5000</v>
      </c>
      <c r="F10869" s="28"/>
      <c r="G10869" s="48">
        <f t="shared" si="274"/>
        <v>106530.79514275119</v>
      </c>
      <c r="H10869" s="389" t="s">
        <v>9567</v>
      </c>
    </row>
    <row r="10870" spans="1:8" x14ac:dyDescent="0.3">
      <c r="A10870" s="45">
        <v>45616</v>
      </c>
      <c r="B10870" s="396" t="s">
        <v>13138</v>
      </c>
      <c r="C10870" s="5" t="s">
        <v>11174</v>
      </c>
      <c r="D10870" s="5" t="s">
        <v>14843</v>
      </c>
      <c r="E10870" s="43">
        <v>30000</v>
      </c>
      <c r="F10870" s="43"/>
      <c r="G10870" s="48">
        <f t="shared" si="274"/>
        <v>76530.795142751187</v>
      </c>
      <c r="H10870" s="389" t="s">
        <v>9567</v>
      </c>
    </row>
    <row r="10871" spans="1:8" x14ac:dyDescent="0.3">
      <c r="A10871" s="45">
        <v>45616</v>
      </c>
      <c r="B10871" s="396" t="s">
        <v>13188</v>
      </c>
      <c r="C10871" s="5" t="s">
        <v>5793</v>
      </c>
      <c r="D10871" s="5" t="s">
        <v>14979</v>
      </c>
      <c r="E10871" s="43">
        <v>3300</v>
      </c>
      <c r="F10871" s="43"/>
      <c r="G10871" s="48">
        <f t="shared" si="274"/>
        <v>73230.795142751187</v>
      </c>
      <c r="H10871" s="389" t="s">
        <v>9567</v>
      </c>
    </row>
    <row r="10872" spans="1:8" x14ac:dyDescent="0.3">
      <c r="A10872" s="45">
        <v>45616</v>
      </c>
      <c r="B10872" s="396" t="s">
        <v>14031</v>
      </c>
      <c r="C10872" s="5" t="s">
        <v>84</v>
      </c>
      <c r="D10872" s="5" t="s">
        <v>14980</v>
      </c>
      <c r="E10872" s="43">
        <v>20000</v>
      </c>
      <c r="F10872" s="43"/>
      <c r="G10872" s="48">
        <f t="shared" si="274"/>
        <v>53230.795142751187</v>
      </c>
      <c r="H10872" s="389" t="s">
        <v>9567</v>
      </c>
    </row>
    <row r="10873" spans="1:8" x14ac:dyDescent="0.3">
      <c r="A10873" s="45">
        <v>45616</v>
      </c>
      <c r="B10873" s="396" t="s">
        <v>25</v>
      </c>
      <c r="C10873" s="5" t="s">
        <v>26</v>
      </c>
      <c r="D10873" s="5" t="s">
        <v>11434</v>
      </c>
      <c r="E10873" s="43">
        <v>4000</v>
      </c>
      <c r="F10873" s="43"/>
      <c r="G10873" s="48">
        <f t="shared" si="274"/>
        <v>49230.795142751187</v>
      </c>
      <c r="H10873" s="389" t="s">
        <v>9567</v>
      </c>
    </row>
    <row r="10874" spans="1:8" x14ac:dyDescent="0.3">
      <c r="A10874" s="45">
        <v>45616</v>
      </c>
      <c r="B10874" s="396" t="s">
        <v>12133</v>
      </c>
      <c r="C10874" s="5" t="s">
        <v>5793</v>
      </c>
      <c r="D10874" s="5" t="s">
        <v>14754</v>
      </c>
      <c r="E10874" s="43">
        <v>2300</v>
      </c>
      <c r="F10874" s="43"/>
      <c r="G10874" s="48">
        <f t="shared" si="274"/>
        <v>46930.795142751187</v>
      </c>
      <c r="H10874" s="389" t="s">
        <v>9567</v>
      </c>
    </row>
    <row r="10875" spans="1:8" x14ac:dyDescent="0.3">
      <c r="A10875" s="45">
        <v>45616</v>
      </c>
      <c r="B10875" s="396" t="s">
        <v>13902</v>
      </c>
      <c r="C10875" s="5" t="s">
        <v>5793</v>
      </c>
      <c r="D10875" s="5" t="s">
        <v>14754</v>
      </c>
      <c r="E10875" s="43">
        <v>1000</v>
      </c>
      <c r="F10875" s="43"/>
      <c r="G10875" s="48">
        <f t="shared" si="274"/>
        <v>45930.795142751187</v>
      </c>
      <c r="H10875" s="389" t="s">
        <v>9567</v>
      </c>
    </row>
    <row r="10876" spans="1:8" x14ac:dyDescent="0.3">
      <c r="A10876" s="45">
        <v>45616</v>
      </c>
      <c r="B10876" s="396" t="s">
        <v>12046</v>
      </c>
      <c r="C10876" s="5" t="s">
        <v>5793</v>
      </c>
      <c r="D10876" s="5" t="s">
        <v>14754</v>
      </c>
      <c r="E10876" s="43">
        <v>500</v>
      </c>
      <c r="F10876" s="43"/>
      <c r="G10876" s="48">
        <f t="shared" si="274"/>
        <v>45430.795142751187</v>
      </c>
      <c r="H10876" s="389" t="s">
        <v>9567</v>
      </c>
    </row>
    <row r="10877" spans="1:8" x14ac:dyDescent="0.3">
      <c r="A10877" s="45">
        <v>45616</v>
      </c>
      <c r="B10877" s="396" t="s">
        <v>13709</v>
      </c>
      <c r="C10877" s="5" t="s">
        <v>5793</v>
      </c>
      <c r="D10877" s="5" t="s">
        <v>14754</v>
      </c>
      <c r="E10877" s="43">
        <v>1400</v>
      </c>
      <c r="F10877" s="43"/>
      <c r="G10877" s="48">
        <f t="shared" si="274"/>
        <v>44030.795142751187</v>
      </c>
      <c r="H10877" s="389" t="s">
        <v>9567</v>
      </c>
    </row>
    <row r="10878" spans="1:8" x14ac:dyDescent="0.3">
      <c r="A10878" s="45">
        <v>45616</v>
      </c>
      <c r="B10878" s="396" t="s">
        <v>14701</v>
      </c>
      <c r="C10878" s="5" t="s">
        <v>5793</v>
      </c>
      <c r="D10878" s="5" t="s">
        <v>14754</v>
      </c>
      <c r="E10878" s="43">
        <v>2500</v>
      </c>
      <c r="F10878" s="43"/>
      <c r="G10878" s="48">
        <f t="shared" si="274"/>
        <v>41530.795142751187</v>
      </c>
      <c r="H10878" s="389" t="s">
        <v>9567</v>
      </c>
    </row>
    <row r="10879" spans="1:8" x14ac:dyDescent="0.3">
      <c r="A10879" s="45">
        <v>45617</v>
      </c>
      <c r="B10879" s="396" t="s">
        <v>13902</v>
      </c>
      <c r="C10879" s="5" t="s">
        <v>30</v>
      </c>
      <c r="D10879" s="5" t="s">
        <v>14126</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13833</v>
      </c>
      <c r="C10881" s="5" t="s">
        <v>14981</v>
      </c>
      <c r="D10881" s="5" t="s">
        <v>14982</v>
      </c>
      <c r="E10881" s="43">
        <v>10000</v>
      </c>
      <c r="F10881" s="43"/>
      <c r="G10881" s="48">
        <f t="shared" si="274"/>
        <v>25530.795142751187</v>
      </c>
      <c r="H10881" s="389" t="s">
        <v>9567</v>
      </c>
    </row>
    <row r="10882" spans="1:8" x14ac:dyDescent="0.3">
      <c r="A10882" s="45">
        <v>45617</v>
      </c>
      <c r="B10882" s="396" t="s">
        <v>14607</v>
      </c>
      <c r="C10882" s="5" t="s">
        <v>3220</v>
      </c>
      <c r="D10882" s="5" t="s">
        <v>294</v>
      </c>
      <c r="E10882" s="43">
        <v>10000</v>
      </c>
      <c r="F10882" s="43"/>
      <c r="G10882" s="48">
        <f t="shared" si="274"/>
        <v>15530.795142751187</v>
      </c>
      <c r="H10882" s="389" t="s">
        <v>9567</v>
      </c>
    </row>
    <row r="10883" spans="1:8" x14ac:dyDescent="0.3">
      <c r="A10883" s="45">
        <v>45617</v>
      </c>
      <c r="B10883" s="396" t="s">
        <v>13833</v>
      </c>
      <c r="C10883" s="5" t="s">
        <v>5793</v>
      </c>
      <c r="D10883" s="5" t="s">
        <v>14987</v>
      </c>
      <c r="E10883" s="43">
        <v>2100</v>
      </c>
      <c r="F10883" s="43"/>
      <c r="G10883" s="48">
        <f t="shared" si="274"/>
        <v>13430.795142751187</v>
      </c>
      <c r="H10883" s="389" t="s">
        <v>9567</v>
      </c>
    </row>
    <row r="10884" spans="1:8" x14ac:dyDescent="0.3">
      <c r="A10884" s="45">
        <v>45617</v>
      </c>
      <c r="B10884" s="396" t="s">
        <v>25</v>
      </c>
      <c r="C10884" s="5" t="s">
        <v>26</v>
      </c>
      <c r="D10884" s="5" t="s">
        <v>11434</v>
      </c>
      <c r="E10884" s="43">
        <v>3000</v>
      </c>
      <c r="F10884" s="43"/>
      <c r="G10884" s="48">
        <f t="shared" si="274"/>
        <v>10430.795142751187</v>
      </c>
      <c r="H10884" s="389" t="s">
        <v>9567</v>
      </c>
    </row>
    <row r="10885" spans="1:8" x14ac:dyDescent="0.3">
      <c r="A10885" s="45">
        <v>45618</v>
      </c>
      <c r="B10885" s="396" t="s">
        <v>13902</v>
      </c>
      <c r="C10885" s="5" t="s">
        <v>30</v>
      </c>
      <c r="D10885" s="5" t="s">
        <v>14126</v>
      </c>
      <c r="E10885" s="43">
        <v>1000</v>
      </c>
      <c r="F10885" s="43"/>
      <c r="G10885" s="48">
        <f t="shared" si="274"/>
        <v>9430.7951427511871</v>
      </c>
      <c r="H10885" s="389" t="s">
        <v>9567</v>
      </c>
    </row>
    <row r="10886" spans="1:8" x14ac:dyDescent="0.3">
      <c r="A10886" s="45">
        <v>45618</v>
      </c>
      <c r="B10886" s="396" t="s">
        <v>13188</v>
      </c>
      <c r="C10886" s="5" t="s">
        <v>26</v>
      </c>
      <c r="D10886" s="5" t="s">
        <v>14871</v>
      </c>
      <c r="E10886" s="43">
        <v>1000</v>
      </c>
      <c r="F10886" s="43"/>
      <c r="G10886" s="48">
        <f t="shared" si="274"/>
        <v>8430.7951427511871</v>
      </c>
      <c r="H10886" s="389" t="s">
        <v>9567</v>
      </c>
    </row>
    <row r="10887" spans="1:8" x14ac:dyDescent="0.3">
      <c r="A10887" s="45">
        <v>45619</v>
      </c>
      <c r="B10887" s="396" t="s">
        <v>13321</v>
      </c>
      <c r="C10887" s="5" t="s">
        <v>26</v>
      </c>
      <c r="D10887" s="5" t="s">
        <v>12965</v>
      </c>
      <c r="E10887" s="43">
        <v>1000</v>
      </c>
      <c r="F10887" s="43"/>
      <c r="G10887" s="48">
        <f t="shared" si="274"/>
        <v>7430.7951427511871</v>
      </c>
      <c r="H10887" s="389" t="s">
        <v>9567</v>
      </c>
    </row>
    <row r="10888" spans="1:8" x14ac:dyDescent="0.3">
      <c r="A10888" s="45">
        <v>45619</v>
      </c>
      <c r="B10888" s="396" t="s">
        <v>13902</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11434</v>
      </c>
      <c r="E10889" s="43">
        <v>3000</v>
      </c>
      <c r="F10889" s="43"/>
      <c r="G10889" s="48">
        <f t="shared" si="274"/>
        <v>4230.7951427511871</v>
      </c>
      <c r="H10889" s="389" t="s">
        <v>9567</v>
      </c>
    </row>
    <row r="10890" spans="1:8" x14ac:dyDescent="0.3">
      <c r="A10890" s="45">
        <v>45619</v>
      </c>
      <c r="B10890" s="396" t="s">
        <v>13188</v>
      </c>
      <c r="C10890" s="5" t="s">
        <v>11174</v>
      </c>
      <c r="D10890" s="5" t="s">
        <v>14991</v>
      </c>
      <c r="E10890" s="43">
        <v>300</v>
      </c>
      <c r="F10890" s="43"/>
      <c r="G10890" s="48">
        <f t="shared" si="274"/>
        <v>3930.7951427511871</v>
      </c>
      <c r="H10890" s="389" t="s">
        <v>9567</v>
      </c>
    </row>
    <row r="10891" spans="1:8" x14ac:dyDescent="0.3">
      <c r="A10891" s="45">
        <v>45621</v>
      </c>
      <c r="B10891" s="396" t="s">
        <v>25</v>
      </c>
      <c r="C10891" s="5" t="s">
        <v>26</v>
      </c>
      <c r="D10891" s="5" t="s">
        <v>11434</v>
      </c>
      <c r="E10891" s="43">
        <v>3000</v>
      </c>
      <c r="F10891" s="43"/>
      <c r="G10891" s="48">
        <f t="shared" si="274"/>
        <v>930.79514275118709</v>
      </c>
      <c r="H10891" s="389" t="s">
        <v>9567</v>
      </c>
    </row>
    <row r="10892" spans="1:8" x14ac:dyDescent="0.3">
      <c r="A10892" s="45">
        <v>45621</v>
      </c>
      <c r="B10892" s="565"/>
      <c r="C10892" s="480"/>
      <c r="D10892" s="491" t="s">
        <v>14646</v>
      </c>
      <c r="E10892" s="480"/>
      <c r="F10892" s="43">
        <v>674000</v>
      </c>
      <c r="G10892" s="48">
        <f t="shared" ref="G10892" si="275">G10891+F10892-E10892</f>
        <v>674930.79514275119</v>
      </c>
      <c r="H10892" s="389" t="s">
        <v>9567</v>
      </c>
    </row>
    <row r="10893" spans="1:8" x14ac:dyDescent="0.3">
      <c r="A10893" s="45">
        <v>45621</v>
      </c>
      <c r="B10893" s="396"/>
      <c r="C10893" s="5" t="s">
        <v>14</v>
      </c>
      <c r="D10893" s="5" t="s">
        <v>14788</v>
      </c>
      <c r="E10893" s="43">
        <v>420000</v>
      </c>
      <c r="F10893" s="43"/>
      <c r="G10893" s="48">
        <f t="shared" si="274"/>
        <v>254930.79514275119</v>
      </c>
      <c r="H10893" s="389" t="s">
        <v>9567</v>
      </c>
    </row>
    <row r="10894" spans="1:8" x14ac:dyDescent="0.3">
      <c r="A10894" s="45">
        <v>45622</v>
      </c>
      <c r="B10894" s="396" t="s">
        <v>14701</v>
      </c>
      <c r="C10894" s="5" t="s">
        <v>84</v>
      </c>
      <c r="D10894" s="5" t="s">
        <v>14996</v>
      </c>
      <c r="E10894" s="43">
        <v>2000</v>
      </c>
      <c r="F10894" s="43"/>
      <c r="G10894" s="48">
        <f t="shared" si="274"/>
        <v>252930.79514275119</v>
      </c>
      <c r="H10894" s="389" t="s">
        <v>9567</v>
      </c>
    </row>
    <row r="10895" spans="1:8" x14ac:dyDescent="0.3">
      <c r="A10895" s="45">
        <v>45622</v>
      </c>
      <c r="B10895" s="396" t="s">
        <v>13138</v>
      </c>
      <c r="C10895" s="5" t="s">
        <v>57</v>
      </c>
      <c r="D10895" s="5" t="s">
        <v>14999</v>
      </c>
      <c r="E10895" s="43">
        <v>2000</v>
      </c>
      <c r="F10895" s="43"/>
      <c r="G10895" s="48">
        <f t="shared" si="274"/>
        <v>250930.79514275119</v>
      </c>
      <c r="H10895" s="389" t="s">
        <v>9567</v>
      </c>
    </row>
    <row r="10896" spans="1:8" x14ac:dyDescent="0.3">
      <c r="A10896" s="45">
        <v>45622</v>
      </c>
      <c r="B10896" s="396" t="s">
        <v>13902</v>
      </c>
      <c r="C10896" s="5" t="s">
        <v>5793</v>
      </c>
      <c r="D10896" s="5" t="s">
        <v>14997</v>
      </c>
      <c r="E10896" s="43">
        <v>2200</v>
      </c>
      <c r="F10896" s="43"/>
      <c r="G10896" s="48">
        <f t="shared" ref="G10896:G10960" si="276">G10895+F10896-E10896</f>
        <v>248730.79514275119</v>
      </c>
      <c r="H10896" s="389" t="s">
        <v>9567</v>
      </c>
    </row>
    <row r="10897" spans="1:8" x14ac:dyDescent="0.3">
      <c r="A10897" s="45">
        <v>45622</v>
      </c>
      <c r="B10897" s="396" t="s">
        <v>14685</v>
      </c>
      <c r="C10897" s="5" t="s">
        <v>5793</v>
      </c>
      <c r="D10897" s="5" t="s">
        <v>40</v>
      </c>
      <c r="E10897" s="43">
        <v>2300</v>
      </c>
      <c r="F10897" s="43"/>
      <c r="G10897" s="48">
        <f t="shared" si="276"/>
        <v>246430.79514275119</v>
      </c>
      <c r="H10897" s="389" t="s">
        <v>9567</v>
      </c>
    </row>
    <row r="10898" spans="1:8" x14ac:dyDescent="0.3">
      <c r="A10898" s="45">
        <v>45622</v>
      </c>
      <c r="B10898" s="396" t="s">
        <v>12611</v>
      </c>
      <c r="C10898" s="5" t="s">
        <v>5793</v>
      </c>
      <c r="D10898" s="5" t="s">
        <v>40</v>
      </c>
      <c r="E10898" s="43">
        <v>1500</v>
      </c>
      <c r="F10898" s="43"/>
      <c r="G10898" s="48">
        <f t="shared" si="276"/>
        <v>244930.79514275119</v>
      </c>
      <c r="H10898" s="389" t="s">
        <v>9567</v>
      </c>
    </row>
    <row r="10899" spans="1:8" x14ac:dyDescent="0.3">
      <c r="A10899" s="45">
        <v>45622</v>
      </c>
      <c r="B10899" s="396" t="s">
        <v>12611</v>
      </c>
      <c r="C10899" s="5" t="s">
        <v>26</v>
      </c>
      <c r="D10899" s="5" t="s">
        <v>14998</v>
      </c>
      <c r="E10899" s="43">
        <v>1000</v>
      </c>
      <c r="F10899" s="43"/>
      <c r="G10899" s="48">
        <f t="shared" si="276"/>
        <v>243930.79514275119</v>
      </c>
      <c r="H10899" s="389" t="s">
        <v>9567</v>
      </c>
    </row>
    <row r="10900" spans="1:8" x14ac:dyDescent="0.3">
      <c r="A10900" s="45">
        <v>45622</v>
      </c>
      <c r="B10900" s="396" t="s">
        <v>13902</v>
      </c>
      <c r="C10900" s="5" t="s">
        <v>30</v>
      </c>
      <c r="D10900" s="5" t="s">
        <v>14782</v>
      </c>
      <c r="E10900" s="43">
        <v>2000</v>
      </c>
      <c r="F10900" s="43"/>
      <c r="G10900" s="48">
        <f t="shared" si="276"/>
        <v>241930.79514275119</v>
      </c>
      <c r="H10900" s="389" t="s">
        <v>9567</v>
      </c>
    </row>
    <row r="10901" spans="1:8" x14ac:dyDescent="0.3">
      <c r="A10901" s="45">
        <v>45622</v>
      </c>
      <c r="B10901" s="396" t="s">
        <v>12230</v>
      </c>
      <c r="C10901" s="5" t="s">
        <v>1074</v>
      </c>
      <c r="D10901" s="5" t="s">
        <v>13624</v>
      </c>
      <c r="E10901" s="43">
        <v>92712</v>
      </c>
      <c r="F10901" s="43"/>
      <c r="G10901" s="48">
        <f t="shared" si="276"/>
        <v>149218.79514275119</v>
      </c>
      <c r="H10901" s="389" t="s">
        <v>9567</v>
      </c>
    </row>
    <row r="10902" spans="1:8" x14ac:dyDescent="0.3">
      <c r="A10902" s="45">
        <v>45622</v>
      </c>
      <c r="B10902" s="396" t="s">
        <v>25</v>
      </c>
      <c r="C10902" s="5" t="s">
        <v>1074</v>
      </c>
      <c r="D10902" s="5" t="s">
        <v>13624</v>
      </c>
      <c r="E10902" s="43">
        <v>57292</v>
      </c>
      <c r="F10902" s="43"/>
      <c r="G10902" s="48">
        <f t="shared" si="276"/>
        <v>91926.795142751187</v>
      </c>
      <c r="H10902" s="389" t="s">
        <v>9567</v>
      </c>
    </row>
    <row r="10903" spans="1:8" x14ac:dyDescent="0.3">
      <c r="A10903" s="45">
        <v>45622</v>
      </c>
      <c r="B10903" s="396" t="s">
        <v>25</v>
      </c>
      <c r="C10903" s="5" t="s">
        <v>26</v>
      </c>
      <c r="D10903" s="5" t="s">
        <v>11434</v>
      </c>
      <c r="E10903" s="43">
        <v>5000</v>
      </c>
      <c r="F10903" s="43"/>
      <c r="G10903" s="48">
        <f t="shared" si="276"/>
        <v>86926.795142751187</v>
      </c>
      <c r="H10903" s="389" t="s">
        <v>9567</v>
      </c>
    </row>
    <row r="10904" spans="1:8" x14ac:dyDescent="0.3">
      <c r="A10904" s="45">
        <v>45622</v>
      </c>
      <c r="B10904" s="396" t="s">
        <v>14524</v>
      </c>
      <c r="C10904" s="5" t="s">
        <v>5793</v>
      </c>
      <c r="D10904" s="5" t="s">
        <v>40</v>
      </c>
      <c r="E10904" s="43">
        <v>2000</v>
      </c>
      <c r="F10904" s="43"/>
      <c r="G10904" s="48">
        <f t="shared" si="276"/>
        <v>84926.795142751187</v>
      </c>
      <c r="H10904" s="389" t="s">
        <v>9567</v>
      </c>
    </row>
    <row r="10905" spans="1:8" x14ac:dyDescent="0.3">
      <c r="A10905" s="45">
        <v>45622</v>
      </c>
      <c r="B10905" s="396" t="s">
        <v>12133</v>
      </c>
      <c r="C10905" s="5" t="s">
        <v>5793</v>
      </c>
      <c r="D10905" s="5" t="s">
        <v>40</v>
      </c>
      <c r="E10905" s="43">
        <v>2000</v>
      </c>
      <c r="F10905" s="43"/>
      <c r="G10905" s="48">
        <f t="shared" si="276"/>
        <v>82926.795142751187</v>
      </c>
      <c r="H10905" s="389" t="s">
        <v>9567</v>
      </c>
    </row>
    <row r="10906" spans="1:8" x14ac:dyDescent="0.3">
      <c r="A10906" s="45">
        <v>45622</v>
      </c>
      <c r="B10906" s="396" t="s">
        <v>14685</v>
      </c>
      <c r="C10906" s="5" t="s">
        <v>11174</v>
      </c>
      <c r="D10906" s="5" t="s">
        <v>15000</v>
      </c>
      <c r="E10906" s="43">
        <v>4500</v>
      </c>
      <c r="F10906" s="43"/>
      <c r="G10906" s="48">
        <f t="shared" si="276"/>
        <v>78426.795142751187</v>
      </c>
      <c r="H10906" s="389" t="s">
        <v>9567</v>
      </c>
    </row>
    <row r="10907" spans="1:8" x14ac:dyDescent="0.3">
      <c r="A10907" s="45">
        <v>45622</v>
      </c>
      <c r="B10907" s="396" t="s">
        <v>15001</v>
      </c>
      <c r="C10907" s="5" t="s">
        <v>9758</v>
      </c>
      <c r="D10907" s="5" t="s">
        <v>13972</v>
      </c>
      <c r="E10907" s="43">
        <v>10000</v>
      </c>
      <c r="F10907" s="43"/>
      <c r="G10907" s="48">
        <f t="shared" si="276"/>
        <v>68426.795142751187</v>
      </c>
      <c r="H10907" s="389" t="s">
        <v>9567</v>
      </c>
    </row>
    <row r="10908" spans="1:8" x14ac:dyDescent="0.3">
      <c r="A10908" s="45">
        <v>45623</v>
      </c>
      <c r="B10908" s="396" t="s">
        <v>13188</v>
      </c>
      <c r="C10908" s="5" t="s">
        <v>5793</v>
      </c>
      <c r="D10908" s="5" t="s">
        <v>15002</v>
      </c>
      <c r="E10908" s="43">
        <v>2800</v>
      </c>
      <c r="F10908" s="43"/>
      <c r="G10908" s="48">
        <f t="shared" si="276"/>
        <v>65626.795142751187</v>
      </c>
      <c r="H10908" s="389" t="s">
        <v>9567</v>
      </c>
    </row>
    <row r="10909" spans="1:8" x14ac:dyDescent="0.3">
      <c r="A10909" s="45">
        <v>45623</v>
      </c>
      <c r="B10909" s="396" t="s">
        <v>25</v>
      </c>
      <c r="C10909" s="5" t="s">
        <v>26</v>
      </c>
      <c r="D10909" s="5" t="s">
        <v>11434</v>
      </c>
      <c r="E10909" s="43">
        <v>3000</v>
      </c>
      <c r="F10909" s="43"/>
      <c r="G10909" s="48">
        <f t="shared" si="276"/>
        <v>62626.795142751187</v>
      </c>
      <c r="H10909" s="389" t="s">
        <v>9567</v>
      </c>
    </row>
    <row r="10910" spans="1:8" x14ac:dyDescent="0.3">
      <c r="A10910" s="45">
        <v>45623</v>
      </c>
      <c r="B10910" s="396" t="s">
        <v>14701</v>
      </c>
      <c r="C10910" s="5" t="s">
        <v>18</v>
      </c>
      <c r="D10910" s="5" t="s">
        <v>3910</v>
      </c>
      <c r="E10910" s="43">
        <v>10000</v>
      </c>
      <c r="F10910" s="43"/>
      <c r="G10910" s="48">
        <f t="shared" si="276"/>
        <v>52626.795142751187</v>
      </c>
      <c r="H10910" s="389" t="s">
        <v>9567</v>
      </c>
    </row>
    <row r="10911" spans="1:8" x14ac:dyDescent="0.3">
      <c r="A10911" s="45">
        <v>45623</v>
      </c>
      <c r="B10911" s="396" t="s">
        <v>14701</v>
      </c>
      <c r="C10911" s="5" t="s">
        <v>84</v>
      </c>
      <c r="D10911" s="5" t="s">
        <v>15003</v>
      </c>
      <c r="E10911" s="43">
        <v>15000</v>
      </c>
      <c r="F10911" s="43"/>
      <c r="G10911" s="48">
        <f t="shared" si="276"/>
        <v>37626.795142751187</v>
      </c>
      <c r="H10911" s="389" t="s">
        <v>9567</v>
      </c>
    </row>
    <row r="10912" spans="1:8" x14ac:dyDescent="0.3">
      <c r="A10912" s="45">
        <v>45623</v>
      </c>
      <c r="B10912" s="396" t="s">
        <v>14701</v>
      </c>
      <c r="C10912" s="5" t="s">
        <v>84</v>
      </c>
      <c r="D10912" s="5" t="s">
        <v>15004</v>
      </c>
      <c r="E10912" s="43">
        <v>3000</v>
      </c>
      <c r="F10912" s="43"/>
      <c r="G10912" s="48">
        <f t="shared" si="276"/>
        <v>34626.795142751187</v>
      </c>
      <c r="H10912" s="389" t="s">
        <v>9567</v>
      </c>
    </row>
    <row r="10913" spans="1:8" x14ac:dyDescent="0.3">
      <c r="A10913" s="45">
        <v>45623</v>
      </c>
      <c r="B10913" s="396" t="s">
        <v>14607</v>
      </c>
      <c r="C10913" s="5" t="s">
        <v>3220</v>
      </c>
      <c r="D10913" s="5" t="s">
        <v>294</v>
      </c>
      <c r="E10913" s="43">
        <v>5000</v>
      </c>
      <c r="F10913" s="43"/>
      <c r="G10913" s="48">
        <f t="shared" si="276"/>
        <v>29626.795142751187</v>
      </c>
      <c r="H10913" s="389" t="s">
        <v>9567</v>
      </c>
    </row>
    <row r="10914" spans="1:8" x14ac:dyDescent="0.3">
      <c r="A10914" s="45">
        <v>45623</v>
      </c>
      <c r="B10914" s="396" t="s">
        <v>14685</v>
      </c>
      <c r="C10914" s="5" t="s">
        <v>11174</v>
      </c>
      <c r="D10914" s="5" t="s">
        <v>15006</v>
      </c>
      <c r="E10914" s="43">
        <v>1600</v>
      </c>
      <c r="F10914" s="43"/>
      <c r="G10914" s="48">
        <f t="shared" si="276"/>
        <v>28026.795142751187</v>
      </c>
      <c r="H10914" s="389" t="s">
        <v>9567</v>
      </c>
    </row>
    <row r="10915" spans="1:8" x14ac:dyDescent="0.3">
      <c r="A10915" s="45">
        <v>45623</v>
      </c>
      <c r="B10915" s="396" t="s">
        <v>12133</v>
      </c>
      <c r="C10915" s="5" t="s">
        <v>5162</v>
      </c>
      <c r="D10915" s="5" t="s">
        <v>15007</v>
      </c>
      <c r="E10915" s="43">
        <v>5000</v>
      </c>
      <c r="F10915" s="43"/>
      <c r="G10915" s="48">
        <f t="shared" si="276"/>
        <v>23026.795142751187</v>
      </c>
      <c r="H10915" s="389" t="s">
        <v>9567</v>
      </c>
    </row>
    <row r="10916" spans="1:8" x14ac:dyDescent="0.3">
      <c r="A10916" s="45">
        <v>45623</v>
      </c>
      <c r="B10916" s="396" t="s">
        <v>12133</v>
      </c>
      <c r="C10916" s="5" t="s">
        <v>84</v>
      </c>
      <c r="D10916" s="5" t="s">
        <v>15008</v>
      </c>
      <c r="E10916" s="43">
        <v>2000</v>
      </c>
      <c r="F10916" s="43"/>
      <c r="G10916" s="48">
        <f t="shared" si="276"/>
        <v>21026.795142751187</v>
      </c>
      <c r="H10916" s="389" t="s">
        <v>9567</v>
      </c>
    </row>
    <row r="10917" spans="1:8" x14ac:dyDescent="0.3">
      <c r="A10917" s="45">
        <v>45623</v>
      </c>
      <c r="B10917" s="396" t="s">
        <v>13981</v>
      </c>
      <c r="C10917" s="44" t="s">
        <v>11174</v>
      </c>
      <c r="D10917" s="124" t="s">
        <v>15009</v>
      </c>
      <c r="E10917" s="43">
        <v>5800</v>
      </c>
      <c r="F10917" s="43"/>
      <c r="G10917" s="48">
        <f t="shared" si="276"/>
        <v>15226.795142751187</v>
      </c>
      <c r="H10917" s="389" t="s">
        <v>9567</v>
      </c>
    </row>
    <row r="10918" spans="1:8" x14ac:dyDescent="0.3">
      <c r="A10918" s="45">
        <v>45623</v>
      </c>
      <c r="B10918" s="396" t="s">
        <v>13833</v>
      </c>
      <c r="C10918" s="5" t="s">
        <v>84</v>
      </c>
      <c r="D10918" s="5" t="s">
        <v>14977</v>
      </c>
      <c r="E10918" s="43">
        <v>1000</v>
      </c>
      <c r="F10918" s="43"/>
      <c r="G10918" s="48">
        <f t="shared" si="276"/>
        <v>14226.795142751187</v>
      </c>
      <c r="H10918" s="389" t="s">
        <v>9567</v>
      </c>
    </row>
    <row r="10919" spans="1:8" x14ac:dyDescent="0.3">
      <c r="A10919" s="45">
        <v>45624</v>
      </c>
      <c r="B10919" s="565"/>
      <c r="C10919" s="480"/>
      <c r="D10919" s="491" t="s">
        <v>5431</v>
      </c>
      <c r="E10919" s="480"/>
      <c r="F10919" s="43">
        <v>500000</v>
      </c>
      <c r="G10919" s="48">
        <f t="shared" si="276"/>
        <v>514226.79514275119</v>
      </c>
      <c r="H10919" s="389" t="s">
        <v>9567</v>
      </c>
    </row>
    <row r="10920" spans="1:8" x14ac:dyDescent="0.3">
      <c r="A10920" s="45">
        <v>45624</v>
      </c>
      <c r="B10920" s="396" t="s">
        <v>15025</v>
      </c>
      <c r="C10920" s="5" t="s">
        <v>15026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13188</v>
      </c>
      <c r="C10922" s="5" t="s">
        <v>11174</v>
      </c>
      <c r="D10922" s="5" t="s">
        <v>15027</v>
      </c>
      <c r="E10922" s="43">
        <v>5150</v>
      </c>
      <c r="F10922" s="43"/>
      <c r="G10922" s="48">
        <f t="shared" si="276"/>
        <v>189076.79514275119</v>
      </c>
      <c r="H10922" s="389" t="s">
        <v>9567</v>
      </c>
    </row>
    <row r="10923" spans="1:8" x14ac:dyDescent="0.3">
      <c r="A10923" s="45">
        <v>45624</v>
      </c>
      <c r="B10923" s="396" t="s">
        <v>13188</v>
      </c>
      <c r="C10923" s="5" t="s">
        <v>5793</v>
      </c>
      <c r="D10923" s="5" t="s">
        <v>40</v>
      </c>
      <c r="E10923" s="43">
        <v>500</v>
      </c>
      <c r="F10923" s="43"/>
      <c r="G10923" s="48">
        <f t="shared" si="276"/>
        <v>188576.79514275119</v>
      </c>
      <c r="H10923" s="389" t="s">
        <v>9567</v>
      </c>
    </row>
    <row r="10924" spans="1:8" x14ac:dyDescent="0.3">
      <c r="A10924" s="45">
        <v>45625</v>
      </c>
      <c r="B10924" s="396" t="s">
        <v>14031</v>
      </c>
      <c r="C10924" s="5" t="s">
        <v>11569</v>
      </c>
      <c r="D10924" s="5" t="s">
        <v>15028</v>
      </c>
      <c r="E10924" s="43">
        <v>40800</v>
      </c>
      <c r="F10924" s="43"/>
      <c r="G10924" s="48">
        <f t="shared" si="276"/>
        <v>147776.79514275119</v>
      </c>
      <c r="H10924" s="389" t="s">
        <v>9567</v>
      </c>
    </row>
    <row r="10925" spans="1:8" x14ac:dyDescent="0.3">
      <c r="A10925" s="45">
        <v>45625</v>
      </c>
      <c r="B10925" s="396" t="s">
        <v>14685</v>
      </c>
      <c r="C10925" s="5" t="s">
        <v>30</v>
      </c>
      <c r="D10925" s="5" t="s">
        <v>14782</v>
      </c>
      <c r="E10925" s="43">
        <v>2000</v>
      </c>
      <c r="F10925" s="43"/>
      <c r="G10925" s="48">
        <f t="shared" si="276"/>
        <v>145776.79514275119</v>
      </c>
      <c r="H10925" s="389" t="s">
        <v>9567</v>
      </c>
    </row>
    <row r="10926" spans="1:8" x14ac:dyDescent="0.3">
      <c r="A10926" s="45">
        <v>45625</v>
      </c>
      <c r="B10926" s="396" t="s">
        <v>25</v>
      </c>
      <c r="C10926" s="5" t="s">
        <v>26</v>
      </c>
      <c r="D10926" s="5" t="s">
        <v>11434</v>
      </c>
      <c r="E10926" s="43">
        <v>3000</v>
      </c>
      <c r="F10926" s="43"/>
      <c r="G10926" s="48">
        <f t="shared" si="276"/>
        <v>142776.79514275119</v>
      </c>
      <c r="H10926" s="389" t="s">
        <v>9567</v>
      </c>
    </row>
    <row r="10927" spans="1:8" x14ac:dyDescent="0.3">
      <c r="A10927" s="45">
        <v>45625</v>
      </c>
      <c r="B10927" s="396" t="s">
        <v>13902</v>
      </c>
      <c r="C10927" s="5" t="s">
        <v>11174</v>
      </c>
      <c r="D10927" s="5" t="s">
        <v>15029</v>
      </c>
      <c r="E10927" s="43">
        <v>2200</v>
      </c>
      <c r="F10927" s="43"/>
      <c r="G10927" s="48">
        <f t="shared" si="276"/>
        <v>140576.79514275119</v>
      </c>
      <c r="H10927" s="389" t="s">
        <v>9567</v>
      </c>
    </row>
    <row r="10928" spans="1:8" x14ac:dyDescent="0.3">
      <c r="A10928" s="45">
        <v>45625</v>
      </c>
      <c r="B10928" s="396" t="s">
        <v>12133</v>
      </c>
      <c r="C10928" s="5" t="s">
        <v>5793</v>
      </c>
      <c r="D10928" s="5" t="s">
        <v>40</v>
      </c>
      <c r="E10928" s="43">
        <v>1800</v>
      </c>
      <c r="F10928" s="43"/>
      <c r="G10928" s="48">
        <f t="shared" si="276"/>
        <v>138776.79514275119</v>
      </c>
      <c r="H10928" s="389" t="s">
        <v>9567</v>
      </c>
    </row>
    <row r="10929" spans="1:9" x14ac:dyDescent="0.3">
      <c r="A10929" s="45">
        <v>45625</v>
      </c>
      <c r="B10929" s="396" t="s">
        <v>14685</v>
      </c>
      <c r="C10929" s="5" t="s">
        <v>5793</v>
      </c>
      <c r="D10929" s="5" t="s">
        <v>40</v>
      </c>
      <c r="E10929" s="43">
        <v>1800</v>
      </c>
      <c r="F10929" s="43"/>
      <c r="G10929" s="48">
        <f t="shared" si="276"/>
        <v>136976.79514275119</v>
      </c>
      <c r="H10929" s="389" t="s">
        <v>9567</v>
      </c>
    </row>
    <row r="10930" spans="1:9" x14ac:dyDescent="0.3">
      <c r="A10930" s="45">
        <v>45625</v>
      </c>
      <c r="B10930" s="396" t="s">
        <v>14685</v>
      </c>
      <c r="C10930" s="5" t="s">
        <v>11174</v>
      </c>
      <c r="D10930" s="5" t="s">
        <v>15030</v>
      </c>
      <c r="E10930" s="43">
        <v>6200</v>
      </c>
      <c r="F10930" s="43"/>
      <c r="G10930" s="48">
        <f t="shared" si="276"/>
        <v>130776.79514275119</v>
      </c>
      <c r="H10930" s="389" t="s">
        <v>9567</v>
      </c>
    </row>
    <row r="10931" spans="1:9" x14ac:dyDescent="0.3">
      <c r="A10931" s="45">
        <v>45625</v>
      </c>
      <c r="B10931" s="396" t="s">
        <v>12611</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15035</v>
      </c>
      <c r="E10932" s="43">
        <v>13000</v>
      </c>
      <c r="F10932" s="43"/>
      <c r="G10932" s="48">
        <f t="shared" si="276"/>
        <v>115776.79514275119</v>
      </c>
      <c r="H10932" s="389" t="s">
        <v>9567</v>
      </c>
    </row>
    <row r="10933" spans="1:9" x14ac:dyDescent="0.3">
      <c r="A10933" s="45">
        <v>45626</v>
      </c>
      <c r="B10933" s="396" t="s">
        <v>14701</v>
      </c>
      <c r="C10933" s="5" t="s">
        <v>5288</v>
      </c>
      <c r="D10933" s="5" t="s">
        <v>15036</v>
      </c>
      <c r="E10933" s="43">
        <v>11000</v>
      </c>
      <c r="F10933" s="43"/>
      <c r="G10933" s="48">
        <f t="shared" si="276"/>
        <v>104776.79514275119</v>
      </c>
      <c r="H10933" s="389" t="s">
        <v>9567</v>
      </c>
    </row>
    <row r="10934" spans="1:9" x14ac:dyDescent="0.3">
      <c r="A10934" s="45">
        <v>45626</v>
      </c>
      <c r="B10934" s="396" t="s">
        <v>13902</v>
      </c>
      <c r="C10934" s="5" t="s">
        <v>11174</v>
      </c>
      <c r="D10934" s="5" t="s">
        <v>15037</v>
      </c>
      <c r="E10934" s="43">
        <v>800</v>
      </c>
      <c r="F10934" s="43"/>
      <c r="G10934" s="48">
        <f t="shared" si="276"/>
        <v>103976.79514275119</v>
      </c>
      <c r="H10934" s="389" t="s">
        <v>9567</v>
      </c>
    </row>
    <row r="10935" spans="1:9" x14ac:dyDescent="0.3">
      <c r="A10935" s="45">
        <v>45626</v>
      </c>
      <c r="B10935" s="396" t="s">
        <v>14685</v>
      </c>
      <c r="C10935" s="5" t="s">
        <v>5793</v>
      </c>
      <c r="D10935" s="5" t="s">
        <v>40</v>
      </c>
      <c r="E10935" s="43">
        <v>1300</v>
      </c>
      <c r="F10935" s="43"/>
      <c r="G10935" s="48">
        <f t="shared" si="276"/>
        <v>102676.79514275119</v>
      </c>
      <c r="H10935" s="389" t="s">
        <v>9567</v>
      </c>
    </row>
    <row r="10936" spans="1:9" x14ac:dyDescent="0.3">
      <c r="A10936" s="45">
        <v>45626</v>
      </c>
      <c r="B10936" s="396" t="s">
        <v>14590</v>
      </c>
      <c r="C10936" s="5" t="s">
        <v>4550</v>
      </c>
      <c r="D10936" s="5" t="s">
        <v>3910</v>
      </c>
      <c r="E10936" s="43">
        <v>10000</v>
      </c>
      <c r="F10936" s="43"/>
      <c r="G10936" s="48">
        <f t="shared" si="276"/>
        <v>92676.795142751187</v>
      </c>
      <c r="H10936" s="389" t="s">
        <v>9567</v>
      </c>
    </row>
    <row r="10937" spans="1:9" x14ac:dyDescent="0.3">
      <c r="A10937" s="45">
        <v>45626</v>
      </c>
      <c r="B10937" s="396" t="s">
        <v>15025</v>
      </c>
      <c r="C10937" s="5" t="s">
        <v>15026</v>
      </c>
      <c r="D10937" s="5" t="s">
        <v>15041</v>
      </c>
      <c r="E10937" s="43">
        <v>80000</v>
      </c>
      <c r="F10937" s="43"/>
      <c r="G10937" s="48">
        <f t="shared" si="276"/>
        <v>12676.795142751187</v>
      </c>
      <c r="H10937" s="389" t="s">
        <v>9567</v>
      </c>
      <c r="I10937" s="52">
        <v>30000</v>
      </c>
    </row>
    <row r="10938" spans="1:9" x14ac:dyDescent="0.3">
      <c r="A10938" s="45">
        <v>45626</v>
      </c>
      <c r="B10938" s="396" t="s">
        <v>15025</v>
      </c>
      <c r="C10938" s="5" t="s">
        <v>11174</v>
      </c>
      <c r="D10938" s="5" t="s">
        <v>15040</v>
      </c>
      <c r="E10938" s="43">
        <v>3500</v>
      </c>
      <c r="F10938" s="43"/>
      <c r="G10938" s="48">
        <f t="shared" si="276"/>
        <v>9176.7951427511871</v>
      </c>
      <c r="H10938" s="389" t="s">
        <v>9567</v>
      </c>
    </row>
    <row r="10939" spans="1:9" x14ac:dyDescent="0.3">
      <c r="A10939" s="45">
        <v>45626</v>
      </c>
      <c r="B10939" s="396" t="s">
        <v>14310</v>
      </c>
      <c r="C10939" s="5" t="s">
        <v>11569</v>
      </c>
      <c r="D10939" s="5" t="s">
        <v>294</v>
      </c>
      <c r="E10939" s="43">
        <v>410</v>
      </c>
      <c r="F10939" s="43"/>
      <c r="G10939" s="48">
        <f t="shared" si="276"/>
        <v>8766.7951427511871</v>
      </c>
      <c r="H10939" s="389" t="s">
        <v>9567</v>
      </c>
    </row>
    <row r="10940" spans="1:9" x14ac:dyDescent="0.3">
      <c r="A10940" s="45">
        <v>45626</v>
      </c>
      <c r="B10940" s="396" t="s">
        <v>13188</v>
      </c>
      <c r="C10940" s="5" t="s">
        <v>5793</v>
      </c>
      <c r="D10940" s="5" t="s">
        <v>40</v>
      </c>
      <c r="E10940" s="43">
        <v>400</v>
      </c>
      <c r="F10940" s="43"/>
      <c r="G10940" s="48">
        <f t="shared" si="276"/>
        <v>8366.7951427511871</v>
      </c>
      <c r="H10940" s="389" t="s">
        <v>9567</v>
      </c>
    </row>
    <row r="10941" spans="1:9" x14ac:dyDescent="0.3">
      <c r="A10941" s="45">
        <v>45628</v>
      </c>
      <c r="B10941" s="396" t="s">
        <v>15043</v>
      </c>
      <c r="C10941" s="5" t="s">
        <v>11174</v>
      </c>
      <c r="D10941" s="5" t="s">
        <v>15044</v>
      </c>
      <c r="E10941" s="43">
        <v>6000</v>
      </c>
      <c r="F10941" s="43"/>
      <c r="G10941" s="48">
        <f t="shared" si="276"/>
        <v>2366.7951427511871</v>
      </c>
      <c r="H10941" s="389" t="s">
        <v>9567</v>
      </c>
    </row>
    <row r="10942" spans="1:9" x14ac:dyDescent="0.3">
      <c r="A10942" s="45">
        <v>45628</v>
      </c>
      <c r="B10942" s="396" t="s">
        <v>15043</v>
      </c>
      <c r="C10942" s="5" t="s">
        <v>30</v>
      </c>
      <c r="D10942" s="5" t="s">
        <v>13786</v>
      </c>
      <c r="E10942" s="43">
        <v>1000</v>
      </c>
      <c r="F10942" s="43"/>
      <c r="G10942" s="48">
        <f t="shared" si="276"/>
        <v>1366.7951427511871</v>
      </c>
      <c r="H10942" s="389" t="s">
        <v>9567</v>
      </c>
    </row>
    <row r="10943" spans="1:9" x14ac:dyDescent="0.3">
      <c r="A10943" s="45">
        <v>45628</v>
      </c>
      <c r="B10943" s="565"/>
      <c r="C10943" s="480"/>
      <c r="D10943" s="491" t="s">
        <v>14134</v>
      </c>
      <c r="E10943" s="480"/>
      <c r="F10943" s="43">
        <v>20000</v>
      </c>
      <c r="G10943" s="48">
        <f t="shared" si="276"/>
        <v>21366.795142751187</v>
      </c>
      <c r="H10943" s="389" t="s">
        <v>9567</v>
      </c>
    </row>
    <row r="10944" spans="1:9" x14ac:dyDescent="0.3">
      <c r="A10944" s="45">
        <v>45628</v>
      </c>
      <c r="B10944" s="396" t="s">
        <v>14685</v>
      </c>
      <c r="C10944" s="5" t="s">
        <v>30</v>
      </c>
      <c r="D10944" s="5" t="s">
        <v>14782</v>
      </c>
      <c r="E10944" s="43">
        <v>2000</v>
      </c>
      <c r="F10944" s="43"/>
      <c r="G10944" s="48">
        <f t="shared" si="276"/>
        <v>19366.795142751187</v>
      </c>
      <c r="H10944" s="389" t="s">
        <v>9567</v>
      </c>
    </row>
    <row r="10945" spans="1:14" x14ac:dyDescent="0.3">
      <c r="A10945" s="45">
        <v>45628</v>
      </c>
      <c r="B10945" s="396" t="s">
        <v>14607</v>
      </c>
      <c r="C10945" s="5" t="s">
        <v>11174</v>
      </c>
      <c r="D10945" s="5" t="s">
        <v>15046</v>
      </c>
      <c r="E10945" s="43">
        <v>200</v>
      </c>
      <c r="F10945" s="43"/>
      <c r="G10945" s="48">
        <f t="shared" si="276"/>
        <v>19166.795142751187</v>
      </c>
      <c r="H10945" s="389" t="s">
        <v>9567</v>
      </c>
    </row>
    <row r="10946" spans="1:14" x14ac:dyDescent="0.3">
      <c r="A10946" s="45">
        <v>45628</v>
      </c>
      <c r="B10946" s="396" t="s">
        <v>14685</v>
      </c>
      <c r="C10946" s="5" t="s">
        <v>11174</v>
      </c>
      <c r="D10946" s="5" t="s">
        <v>15047</v>
      </c>
      <c r="E10946" s="43">
        <v>3000</v>
      </c>
      <c r="F10946" s="43"/>
      <c r="G10946" s="48">
        <f t="shared" si="276"/>
        <v>16166.795142751187</v>
      </c>
      <c r="H10946" s="389" t="s">
        <v>9567</v>
      </c>
    </row>
    <row r="10947" spans="1:14" x14ac:dyDescent="0.3">
      <c r="A10947" s="45">
        <v>45628</v>
      </c>
      <c r="B10947" s="396" t="s">
        <v>13833</v>
      </c>
      <c r="C10947" s="5" t="s">
        <v>11174</v>
      </c>
      <c r="D10947" s="5" t="s">
        <v>13267</v>
      </c>
      <c r="E10947" s="43">
        <v>1740</v>
      </c>
      <c r="F10947" s="43"/>
      <c r="G10947" s="48">
        <f t="shared" si="276"/>
        <v>14426.795142751187</v>
      </c>
      <c r="H10947" s="389" t="s">
        <v>9567</v>
      </c>
    </row>
    <row r="10948" spans="1:14" x14ac:dyDescent="0.3">
      <c r="A10948" s="45">
        <v>45628</v>
      </c>
      <c r="B10948" s="396" t="s">
        <v>13188</v>
      </c>
      <c r="C10948" s="5" t="s">
        <v>11174</v>
      </c>
      <c r="D10948" s="5" t="s">
        <v>13267</v>
      </c>
      <c r="E10948" s="43">
        <v>2260</v>
      </c>
      <c r="F10948" s="43"/>
      <c r="G10948" s="48">
        <f t="shared" si="276"/>
        <v>12166.795142751187</v>
      </c>
      <c r="H10948" s="389" t="s">
        <v>9567</v>
      </c>
      <c r="I10948" s="155"/>
      <c r="J10948" s="155"/>
      <c r="K10948" s="155"/>
      <c r="L10948" s="387"/>
    </row>
    <row r="10949" spans="1:14" x14ac:dyDescent="0.3">
      <c r="A10949" s="45">
        <v>45628</v>
      </c>
      <c r="B10949" s="565"/>
      <c r="C10949" s="480"/>
      <c r="D10949" s="491" t="s">
        <v>4106</v>
      </c>
      <c r="E10949" s="480"/>
      <c r="F10949" s="43">
        <v>100000</v>
      </c>
      <c r="G10949" s="48">
        <f t="shared" si="276"/>
        <v>112166.79514275119</v>
      </c>
      <c r="H10949" s="389" t="s">
        <v>9567</v>
      </c>
    </row>
    <row r="10950" spans="1:14" s="387" customFormat="1" ht="37.5" x14ac:dyDescent="0.3">
      <c r="A10950" s="45">
        <v>45628</v>
      </c>
      <c r="B10950" s="320" t="s">
        <v>13833</v>
      </c>
      <c r="C10950" s="44" t="s">
        <v>14807</v>
      </c>
      <c r="D10950" s="124" t="s">
        <v>15048</v>
      </c>
      <c r="E10950" s="28">
        <v>24000</v>
      </c>
      <c r="F10950" s="28"/>
      <c r="G10950" s="48">
        <f t="shared" si="276"/>
        <v>88166.795142751187</v>
      </c>
      <c r="H10950" s="389" t="s">
        <v>9567</v>
      </c>
      <c r="I10950" s="52"/>
      <c r="J10950" s="52"/>
      <c r="K10950" s="52"/>
      <c r="L10950" s="4"/>
      <c r="N10950" s="155"/>
    </row>
    <row r="10951" spans="1:14" x14ac:dyDescent="0.3">
      <c r="A10951" s="45">
        <v>45628</v>
      </c>
      <c r="B10951" s="396" t="s">
        <v>12080</v>
      </c>
      <c r="C10951" s="5" t="s">
        <v>57</v>
      </c>
      <c r="D10951" s="5" t="s">
        <v>3910</v>
      </c>
      <c r="E10951" s="43">
        <v>10000</v>
      </c>
      <c r="F10951" s="43"/>
      <c r="G10951" s="48">
        <f t="shared" si="276"/>
        <v>78166.795142751187</v>
      </c>
      <c r="H10951" s="389" t="s">
        <v>9567</v>
      </c>
    </row>
    <row r="10952" spans="1:14" x14ac:dyDescent="0.3">
      <c r="A10952" s="45">
        <v>45628</v>
      </c>
      <c r="B10952" s="396" t="s">
        <v>12080</v>
      </c>
      <c r="C10952" s="5" t="s">
        <v>57</v>
      </c>
      <c r="D10952" s="5" t="s">
        <v>15049</v>
      </c>
      <c r="E10952" s="43">
        <v>15000</v>
      </c>
      <c r="F10952" s="43"/>
      <c r="G10952" s="48">
        <f t="shared" si="276"/>
        <v>63166.795142751187</v>
      </c>
      <c r="H10952" s="389" t="s">
        <v>9567</v>
      </c>
      <c r="J10952" s="52">
        <v>23000</v>
      </c>
    </row>
    <row r="10953" spans="1:14" x14ac:dyDescent="0.3">
      <c r="A10953" s="45">
        <v>45628</v>
      </c>
      <c r="B10953" s="396" t="s">
        <v>13138</v>
      </c>
      <c r="C10953" s="5" t="s">
        <v>11174</v>
      </c>
      <c r="D10953" s="5" t="s">
        <v>14419</v>
      </c>
      <c r="E10953" s="43">
        <v>10000</v>
      </c>
      <c r="F10953" s="43"/>
      <c r="G10953" s="48">
        <f t="shared" si="276"/>
        <v>53166.795142751187</v>
      </c>
      <c r="H10953" s="389" t="s">
        <v>9567</v>
      </c>
    </row>
    <row r="10954" spans="1:14" x14ac:dyDescent="0.3">
      <c r="A10954" s="45">
        <v>45628</v>
      </c>
      <c r="B10954" s="394" t="s">
        <v>25</v>
      </c>
      <c r="C10954" s="186" t="s">
        <v>54</v>
      </c>
      <c r="D10954" s="186" t="s">
        <v>15050</v>
      </c>
      <c r="E10954" s="187">
        <f>23000+7000</f>
        <v>30000</v>
      </c>
      <c r="F10954" s="43"/>
      <c r="G10954" s="48">
        <f t="shared" si="276"/>
        <v>23166.795142751187</v>
      </c>
      <c r="H10954" s="389" t="s">
        <v>9567</v>
      </c>
    </row>
    <row r="10955" spans="1:14" x14ac:dyDescent="0.3">
      <c r="A10955" s="45">
        <v>45628</v>
      </c>
      <c r="B10955" s="396" t="s">
        <v>12611</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11434</v>
      </c>
      <c r="E10956" s="43">
        <v>4000</v>
      </c>
      <c r="F10956" s="43"/>
      <c r="G10956" s="48">
        <f t="shared" si="276"/>
        <v>14166.795142751187</v>
      </c>
      <c r="H10956" s="389" t="s">
        <v>9567</v>
      </c>
    </row>
    <row r="10957" spans="1:14" x14ac:dyDescent="0.3">
      <c r="A10957" s="45">
        <v>45628</v>
      </c>
      <c r="B10957" s="396" t="s">
        <v>25</v>
      </c>
      <c r="C10957" s="5" t="s">
        <v>1074</v>
      </c>
      <c r="D10957" s="5" t="s">
        <v>15042</v>
      </c>
      <c r="E10957" s="43">
        <v>745</v>
      </c>
      <c r="F10957" s="43"/>
      <c r="G10957" s="48">
        <f t="shared" si="276"/>
        <v>13421.795142751187</v>
      </c>
      <c r="H10957" s="389" t="s">
        <v>9567</v>
      </c>
    </row>
    <row r="10958" spans="1:14" x14ac:dyDescent="0.3">
      <c r="A10958" s="45">
        <v>45628</v>
      </c>
      <c r="B10958" s="396" t="s">
        <v>12230</v>
      </c>
      <c r="C10958" s="5" t="s">
        <v>1074</v>
      </c>
      <c r="D10958" s="5" t="s">
        <v>15042</v>
      </c>
      <c r="E10958" s="43">
        <v>1050</v>
      </c>
      <c r="F10958" s="43"/>
      <c r="G10958" s="48">
        <f t="shared" si="276"/>
        <v>12371.795142751187</v>
      </c>
      <c r="H10958" s="389" t="s">
        <v>9567</v>
      </c>
      <c r="I10958" s="583" t="s">
        <v>12514</v>
      </c>
      <c r="J10958" s="187">
        <v>2937593.7500000005</v>
      </c>
    </row>
    <row r="10959" spans="1:14" x14ac:dyDescent="0.3">
      <c r="A10959" s="45">
        <v>45628</v>
      </c>
      <c r="B10959" s="396"/>
      <c r="C10959" s="5" t="s">
        <v>14</v>
      </c>
      <c r="D10959" s="5" t="s">
        <v>15042</v>
      </c>
      <c r="E10959" s="43">
        <v>660</v>
      </c>
      <c r="F10959" s="43"/>
      <c r="G10959" s="48">
        <f t="shared" si="276"/>
        <v>11711.795142751187</v>
      </c>
      <c r="H10959" s="389" t="s">
        <v>9567</v>
      </c>
      <c r="I10959" s="583" t="s">
        <v>55</v>
      </c>
      <c r="J10959" s="187">
        <f ca="1">SUMIF(C10952:E126831,"salary",E10952:E137842)</f>
        <v>15697822.181835635</v>
      </c>
    </row>
    <row r="10960" spans="1:14" x14ac:dyDescent="0.3">
      <c r="A10960" s="45">
        <v>45629</v>
      </c>
      <c r="B10960" s="396" t="s">
        <v>25</v>
      </c>
      <c r="C10960" s="5" t="s">
        <v>26</v>
      </c>
      <c r="D10960" s="5" t="s">
        <v>11434</v>
      </c>
      <c r="E10960" s="43">
        <v>3500</v>
      </c>
      <c r="F10960" s="43"/>
      <c r="G10960" s="48">
        <f t="shared" si="276"/>
        <v>8211.7951427511871</v>
      </c>
      <c r="H10960" s="389" t="s">
        <v>9567</v>
      </c>
      <c r="I10960" s="583" t="s">
        <v>12233</v>
      </c>
      <c r="J10960" s="187">
        <f ca="1">J10958-J10959</f>
        <v>-12760228.431835635</v>
      </c>
    </row>
    <row r="10961" spans="1:9" x14ac:dyDescent="0.3">
      <c r="A10961" s="45">
        <v>45629</v>
      </c>
      <c r="B10961" s="396" t="s">
        <v>13188</v>
      </c>
      <c r="C10961" s="5" t="s">
        <v>11174</v>
      </c>
      <c r="D10961" s="5" t="s">
        <v>15053</v>
      </c>
      <c r="E10961" s="43">
        <v>1080</v>
      </c>
      <c r="F10961" s="43"/>
      <c r="G10961" s="48">
        <f t="shared" ref="G10961:G11014" si="277">G10960+F10961-E10961</f>
        <v>7131.7951427511871</v>
      </c>
      <c r="H10961" s="389" t="s">
        <v>9567</v>
      </c>
    </row>
    <row r="10962" spans="1:9" x14ac:dyDescent="0.3">
      <c r="A10962" s="45">
        <v>45629</v>
      </c>
      <c r="B10962" s="396" t="s">
        <v>12133</v>
      </c>
      <c r="C10962" s="5" t="s">
        <v>5162</v>
      </c>
      <c r="D10962" s="5" t="s">
        <v>6186</v>
      </c>
      <c r="E10962" s="43">
        <v>500</v>
      </c>
      <c r="F10962" s="43"/>
      <c r="G10962" s="48">
        <f t="shared" si="277"/>
        <v>6631.7951427511871</v>
      </c>
      <c r="H10962" s="389" t="s">
        <v>9567</v>
      </c>
    </row>
    <row r="10963" spans="1:9" x14ac:dyDescent="0.3">
      <c r="A10963" s="45">
        <v>45630</v>
      </c>
      <c r="B10963" s="396" t="s">
        <v>13902</v>
      </c>
      <c r="C10963" s="5" t="s">
        <v>5793</v>
      </c>
      <c r="D10963" s="5" t="s">
        <v>40</v>
      </c>
      <c r="E10963" s="43">
        <v>1400</v>
      </c>
      <c r="F10963" s="43"/>
      <c r="G10963" s="48">
        <f t="shared" si="277"/>
        <v>5231.7951427511871</v>
      </c>
      <c r="H10963" s="389" t="s">
        <v>9567</v>
      </c>
    </row>
    <row r="10964" spans="1:9" x14ac:dyDescent="0.3">
      <c r="A10964" s="45">
        <v>45630</v>
      </c>
      <c r="B10964" s="565"/>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14701</v>
      </c>
      <c r="C10966" s="5" t="s">
        <v>5288</v>
      </c>
      <c r="D10966" s="5" t="s">
        <v>15057</v>
      </c>
      <c r="E10966" s="43">
        <v>5800</v>
      </c>
      <c r="F10966" s="43"/>
      <c r="G10966" s="48">
        <f t="shared" si="277"/>
        <v>1939431.7951427512</v>
      </c>
      <c r="H10966" s="389" t="s">
        <v>9567</v>
      </c>
    </row>
    <row r="10967" spans="1:9" x14ac:dyDescent="0.3">
      <c r="A10967" s="45">
        <v>45630</v>
      </c>
      <c r="B10967" s="396" t="s">
        <v>14701</v>
      </c>
      <c r="C10967" s="5" t="s">
        <v>11174</v>
      </c>
      <c r="D10967" s="5" t="s">
        <v>15058</v>
      </c>
      <c r="E10967" s="43">
        <v>13500</v>
      </c>
      <c r="F10967" s="43"/>
      <c r="G10967" s="48">
        <f t="shared" si="277"/>
        <v>1925931.7951427512</v>
      </c>
      <c r="H10967" s="389" t="s">
        <v>9567</v>
      </c>
    </row>
    <row r="10968" spans="1:9" x14ac:dyDescent="0.3">
      <c r="A10968" s="45">
        <v>45630</v>
      </c>
      <c r="B10968" s="396" t="s">
        <v>25</v>
      </c>
      <c r="C10968" s="5" t="s">
        <v>26</v>
      </c>
      <c r="D10968" s="5" t="s">
        <v>15070</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12611</v>
      </c>
      <c r="C10970" s="186" t="s">
        <v>54</v>
      </c>
      <c r="D10970" s="186" t="s">
        <v>13164</v>
      </c>
      <c r="E10970" s="187">
        <f>652500</f>
        <v>652500</v>
      </c>
      <c r="F10970" s="43"/>
      <c r="G10970" s="48">
        <f t="shared" si="277"/>
        <v>930672.79514275119</v>
      </c>
      <c r="H10970" s="389" t="s">
        <v>9567</v>
      </c>
      <c r="I10970" s="52">
        <f>3000000-I10969</f>
        <v>2746480</v>
      </c>
    </row>
    <row r="10971" spans="1:9" x14ac:dyDescent="0.3">
      <c r="A10971" s="45">
        <v>45630</v>
      </c>
      <c r="B10971" s="394" t="s">
        <v>14882</v>
      </c>
      <c r="C10971" s="186" t="s">
        <v>54</v>
      </c>
      <c r="D10971" s="186" t="s">
        <v>13166</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11434</v>
      </c>
      <c r="E10973" s="43">
        <v>3000</v>
      </c>
      <c r="F10973" s="43"/>
      <c r="G10973" s="48">
        <f t="shared" si="277"/>
        <v>861822.79514275119</v>
      </c>
      <c r="H10973" s="389" t="s">
        <v>9567</v>
      </c>
    </row>
    <row r="10974" spans="1:9" x14ac:dyDescent="0.3">
      <c r="A10974" s="45">
        <v>45631</v>
      </c>
      <c r="B10974" s="396" t="s">
        <v>13188</v>
      </c>
      <c r="C10974" s="5" t="s">
        <v>30</v>
      </c>
      <c r="D10974" s="5" t="s">
        <v>14225</v>
      </c>
      <c r="E10974" s="43">
        <v>1000</v>
      </c>
      <c r="F10974" s="43"/>
      <c r="G10974" s="48">
        <f t="shared" si="277"/>
        <v>860822.79514275119</v>
      </c>
      <c r="H10974" s="389" t="s">
        <v>9567</v>
      </c>
    </row>
    <row r="10975" spans="1:9" x14ac:dyDescent="0.3">
      <c r="A10975" s="45">
        <v>45631</v>
      </c>
      <c r="B10975" s="396" t="s">
        <v>13902</v>
      </c>
      <c r="C10975" s="5" t="s">
        <v>5793</v>
      </c>
      <c r="D10975" s="5" t="s">
        <v>40</v>
      </c>
      <c r="E10975" s="43">
        <v>2000</v>
      </c>
      <c r="F10975" s="43"/>
      <c r="G10975" s="48">
        <f t="shared" si="277"/>
        <v>858822.79514275119</v>
      </c>
      <c r="H10975" s="389" t="s">
        <v>9567</v>
      </c>
    </row>
    <row r="10976" spans="1:9" x14ac:dyDescent="0.3">
      <c r="A10976" s="45">
        <v>45631</v>
      </c>
      <c r="B10976" s="396" t="s">
        <v>14685</v>
      </c>
      <c r="C10976" s="5" t="s">
        <v>5793</v>
      </c>
      <c r="D10976" s="5" t="s">
        <v>40</v>
      </c>
      <c r="E10976" s="43">
        <v>2700</v>
      </c>
      <c r="F10976" s="43"/>
      <c r="G10976" s="48">
        <f t="shared" si="277"/>
        <v>856122.79514275119</v>
      </c>
      <c r="H10976" s="389" t="s">
        <v>9567</v>
      </c>
    </row>
    <row r="10977" spans="1:9" x14ac:dyDescent="0.3">
      <c r="A10977" s="45">
        <v>45631</v>
      </c>
      <c r="B10977" s="394" t="s">
        <v>14590</v>
      </c>
      <c r="C10977" s="186" t="s">
        <v>54</v>
      </c>
      <c r="D10977" s="186" t="s">
        <v>15059</v>
      </c>
      <c r="E10977" s="187">
        <v>57850</v>
      </c>
      <c r="F10977" s="43"/>
      <c r="G10977" s="48">
        <f t="shared" si="277"/>
        <v>798272.79514275119</v>
      </c>
      <c r="H10977" s="389" t="s">
        <v>9567</v>
      </c>
    </row>
    <row r="10978" spans="1:9" x14ac:dyDescent="0.3">
      <c r="A10978" s="45">
        <v>45631</v>
      </c>
      <c r="B10978" s="396" t="s">
        <v>14685</v>
      </c>
      <c r="C10978" s="5" t="s">
        <v>5288</v>
      </c>
      <c r="D10978" s="5" t="s">
        <v>15060</v>
      </c>
      <c r="E10978" s="43">
        <v>5000</v>
      </c>
      <c r="F10978" s="43"/>
      <c r="G10978" s="48">
        <f t="shared" si="277"/>
        <v>793272.79514275119</v>
      </c>
      <c r="H10978" s="389" t="s">
        <v>9567</v>
      </c>
    </row>
    <row r="10979" spans="1:9" x14ac:dyDescent="0.3">
      <c r="A10979" s="45">
        <v>45631</v>
      </c>
      <c r="B10979" s="396" t="s">
        <v>15061</v>
      </c>
      <c r="C10979" s="5" t="s">
        <v>11174</v>
      </c>
      <c r="D10979" s="5" t="s">
        <v>15062</v>
      </c>
      <c r="E10979" s="43">
        <v>8000</v>
      </c>
      <c r="F10979" s="43"/>
      <c r="G10979" s="48">
        <f t="shared" si="277"/>
        <v>785272.79514275119</v>
      </c>
      <c r="H10979" s="389" t="s">
        <v>9567</v>
      </c>
    </row>
    <row r="10980" spans="1:9" x14ac:dyDescent="0.3">
      <c r="A10980" s="45">
        <v>45631</v>
      </c>
      <c r="B10980" s="396" t="s">
        <v>14590</v>
      </c>
      <c r="C10980" s="5" t="s">
        <v>4550</v>
      </c>
      <c r="D10980" s="5" t="s">
        <v>15063</v>
      </c>
      <c r="E10980" s="43">
        <v>5000</v>
      </c>
      <c r="F10980" s="43"/>
      <c r="G10980" s="48">
        <f t="shared" si="277"/>
        <v>780272.79514275119</v>
      </c>
      <c r="H10980" s="389" t="s">
        <v>9567</v>
      </c>
    </row>
    <row r="10981" spans="1:9" x14ac:dyDescent="0.3">
      <c r="A10981" s="45">
        <v>45631</v>
      </c>
      <c r="B10981" s="396" t="s">
        <v>12230</v>
      </c>
      <c r="C10981" s="5" t="s">
        <v>14848</v>
      </c>
      <c r="D10981" s="5" t="s">
        <v>15064</v>
      </c>
      <c r="E10981" s="43">
        <v>2700</v>
      </c>
      <c r="F10981" s="43"/>
      <c r="G10981" s="48">
        <f t="shared" si="277"/>
        <v>777572.79514275119</v>
      </c>
      <c r="H10981" s="389" t="s">
        <v>9567</v>
      </c>
    </row>
    <row r="10982" spans="1:9" x14ac:dyDescent="0.3">
      <c r="A10982" s="45">
        <v>45631</v>
      </c>
      <c r="B10982" s="396" t="s">
        <v>13138</v>
      </c>
      <c r="C10982" s="5" t="s">
        <v>11174</v>
      </c>
      <c r="D10982" s="5" t="s">
        <v>15065</v>
      </c>
      <c r="E10982" s="43">
        <v>20000</v>
      </c>
      <c r="F10982" s="43"/>
      <c r="G10982" s="48">
        <f t="shared" si="277"/>
        <v>757572.79514275119</v>
      </c>
      <c r="H10982" s="389" t="s">
        <v>9567</v>
      </c>
    </row>
    <row r="10983" spans="1:9" x14ac:dyDescent="0.3">
      <c r="A10983" s="45">
        <v>45631</v>
      </c>
      <c r="B10983" s="396" t="s">
        <v>12133</v>
      </c>
      <c r="C10983" s="5" t="s">
        <v>5793</v>
      </c>
      <c r="D10983" s="5" t="s">
        <v>14348</v>
      </c>
      <c r="E10983" s="43">
        <v>5000</v>
      </c>
      <c r="F10983" s="43"/>
      <c r="G10983" s="48">
        <f t="shared" si="277"/>
        <v>752572.79514275119</v>
      </c>
      <c r="H10983" s="389" t="s">
        <v>9567</v>
      </c>
    </row>
    <row r="10984" spans="1:9" x14ac:dyDescent="0.3">
      <c r="A10984" s="45">
        <v>45631</v>
      </c>
      <c r="B10984" s="394" t="s">
        <v>13188</v>
      </c>
      <c r="C10984" s="186" t="s">
        <v>54</v>
      </c>
      <c r="D10984" s="186" t="s">
        <v>15066</v>
      </c>
      <c r="E10984" s="187">
        <v>95467</v>
      </c>
      <c r="F10984" s="43"/>
      <c r="G10984" s="48">
        <f t="shared" si="277"/>
        <v>657105.79514275119</v>
      </c>
      <c r="H10984" s="389" t="s">
        <v>9567</v>
      </c>
    </row>
    <row r="10985" spans="1:9" x14ac:dyDescent="0.3">
      <c r="A10985" s="45">
        <v>45631</v>
      </c>
      <c r="B10985" s="396" t="s">
        <v>13902</v>
      </c>
      <c r="C10985" s="186" t="s">
        <v>54</v>
      </c>
      <c r="D10985" s="186" t="s">
        <v>14879</v>
      </c>
      <c r="E10985" s="187">
        <v>151812.5</v>
      </c>
      <c r="F10985" s="43"/>
      <c r="G10985" s="48">
        <f t="shared" si="277"/>
        <v>505293.29514275119</v>
      </c>
      <c r="H10985" s="389" t="s">
        <v>9567</v>
      </c>
    </row>
    <row r="10986" spans="1:9" x14ac:dyDescent="0.3">
      <c r="A10986" s="45">
        <v>45631</v>
      </c>
      <c r="B10986" s="394" t="s">
        <v>12080</v>
      </c>
      <c r="C10986" s="186" t="s">
        <v>54</v>
      </c>
      <c r="D10986" s="186" t="s">
        <v>12746</v>
      </c>
      <c r="E10986" s="187">
        <f>229860+3000+5500</f>
        <v>238360</v>
      </c>
      <c r="F10986" s="43"/>
      <c r="G10986" s="48">
        <f t="shared" si="277"/>
        <v>266933.29514275119</v>
      </c>
      <c r="H10986" s="389" t="s">
        <v>9567</v>
      </c>
      <c r="I10986" s="52">
        <v>27000</v>
      </c>
    </row>
    <row r="10987" spans="1:9" x14ac:dyDescent="0.3">
      <c r="A10987" s="45">
        <v>45631</v>
      </c>
      <c r="B10987" s="396" t="s">
        <v>12080</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13981</v>
      </c>
      <c r="C10988" s="186" t="s">
        <v>54</v>
      </c>
      <c r="D10988" s="186" t="s">
        <v>14671</v>
      </c>
      <c r="E10988" s="187">
        <v>30750</v>
      </c>
      <c r="F10988" s="43"/>
      <c r="G10988" s="48">
        <f t="shared" si="277"/>
        <v>233183.29514275119</v>
      </c>
      <c r="H10988" s="389" t="s">
        <v>9567</v>
      </c>
      <c r="I10988" s="52">
        <f>I10987*6</f>
        <v>5400</v>
      </c>
    </row>
    <row r="10989" spans="1:9" x14ac:dyDescent="0.3">
      <c r="A10989" s="45">
        <v>45631</v>
      </c>
      <c r="B10989" s="396" t="s">
        <v>13379</v>
      </c>
      <c r="C10989" s="5" t="s">
        <v>11174</v>
      </c>
      <c r="D10989" s="5" t="s">
        <v>15067</v>
      </c>
      <c r="E10989" s="43">
        <v>4150</v>
      </c>
      <c r="F10989" s="43"/>
      <c r="G10989" s="48">
        <f t="shared" si="277"/>
        <v>229033.29514275119</v>
      </c>
      <c r="H10989" s="389" t="s">
        <v>9567</v>
      </c>
    </row>
    <row r="10990" spans="1:9" x14ac:dyDescent="0.3">
      <c r="A10990" s="45">
        <v>45631</v>
      </c>
      <c r="B10990" s="394" t="s">
        <v>12055</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15068</v>
      </c>
      <c r="E10991" s="43">
        <v>10000</v>
      </c>
      <c r="F10991" s="43"/>
      <c r="G10991" s="48">
        <f t="shared" si="277"/>
        <v>70527.045142751187</v>
      </c>
      <c r="H10991" s="389" t="s">
        <v>9567</v>
      </c>
    </row>
    <row r="10992" spans="1:9" x14ac:dyDescent="0.3">
      <c r="A10992" s="45">
        <v>45632</v>
      </c>
      <c r="B10992" s="396" t="s">
        <v>13188</v>
      </c>
      <c r="C10992" s="5" t="s">
        <v>30</v>
      </c>
      <c r="D10992" s="5" t="s">
        <v>14225</v>
      </c>
      <c r="E10992" s="43">
        <v>3000</v>
      </c>
      <c r="F10992" s="43"/>
      <c r="G10992" s="48">
        <f t="shared" si="277"/>
        <v>67527.045142751187</v>
      </c>
      <c r="H10992" s="389" t="s">
        <v>9567</v>
      </c>
    </row>
    <row r="10993" spans="1:10" x14ac:dyDescent="0.3">
      <c r="A10993" s="45">
        <v>45632</v>
      </c>
      <c r="B10993" s="394" t="s">
        <v>12133</v>
      </c>
      <c r="C10993" s="186" t="s">
        <v>54</v>
      </c>
      <c r="D10993" s="186" t="s">
        <v>14367</v>
      </c>
      <c r="E10993" s="43">
        <v>28635</v>
      </c>
      <c r="F10993" s="43"/>
      <c r="G10993" s="48">
        <f t="shared" si="277"/>
        <v>38892.045142751187</v>
      </c>
      <c r="H10993" s="389" t="s">
        <v>9567</v>
      </c>
    </row>
    <row r="10994" spans="1:10" x14ac:dyDescent="0.3">
      <c r="A10994" s="45">
        <v>45632</v>
      </c>
      <c r="B10994" s="396" t="s">
        <v>25</v>
      </c>
      <c r="C10994" s="5" t="s">
        <v>26</v>
      </c>
      <c r="D10994" s="5" t="s">
        <v>11434</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13188</v>
      </c>
      <c r="C10996" s="5" t="s">
        <v>11174</v>
      </c>
      <c r="D10996" s="5" t="s">
        <v>15071</v>
      </c>
      <c r="E10996" s="43">
        <v>1200</v>
      </c>
      <c r="F10996" s="43"/>
      <c r="G10996" s="48">
        <f t="shared" si="277"/>
        <v>29692.045142751187</v>
      </c>
      <c r="H10996" s="389" t="s">
        <v>9567</v>
      </c>
    </row>
    <row r="10997" spans="1:10" x14ac:dyDescent="0.3">
      <c r="A10997" s="45">
        <v>45632</v>
      </c>
      <c r="B10997" s="565"/>
      <c r="C10997" s="480"/>
      <c r="D10997" s="491" t="s">
        <v>13564</v>
      </c>
      <c r="E10997" s="480"/>
      <c r="F10997" s="43">
        <v>1000000</v>
      </c>
      <c r="G10997" s="48">
        <f t="shared" si="277"/>
        <v>1029692.0451427512</v>
      </c>
      <c r="H10997" s="389" t="s">
        <v>9567</v>
      </c>
    </row>
    <row r="10998" spans="1:10" x14ac:dyDescent="0.3">
      <c r="A10998" s="45">
        <v>45632</v>
      </c>
      <c r="B10998" s="394" t="s">
        <v>12611</v>
      </c>
      <c r="C10998" s="186" t="s">
        <v>54</v>
      </c>
      <c r="D10998" s="186" t="s">
        <v>15074</v>
      </c>
      <c r="E10998" s="187">
        <f>72820+46050</f>
        <v>118870</v>
      </c>
      <c r="F10998" s="43"/>
      <c r="G10998" s="48">
        <f t="shared" si="277"/>
        <v>910822.04514275119</v>
      </c>
      <c r="H10998" s="389" t="s">
        <v>9567</v>
      </c>
      <c r="I10998" s="52">
        <f>E10998+E10970</f>
        <v>771370</v>
      </c>
    </row>
    <row r="10999" spans="1:10" x14ac:dyDescent="0.3">
      <c r="A10999" s="45">
        <v>45632</v>
      </c>
      <c r="B10999" s="396" t="s">
        <v>13188</v>
      </c>
      <c r="C10999" s="5" t="s">
        <v>11174</v>
      </c>
      <c r="D10999" s="5" t="s">
        <v>15072</v>
      </c>
      <c r="E10999" s="43">
        <v>1300</v>
      </c>
      <c r="F10999" s="43"/>
      <c r="G10999" s="48">
        <f t="shared" si="277"/>
        <v>909522.04514275119</v>
      </c>
      <c r="H10999" s="389" t="s">
        <v>9567</v>
      </c>
    </row>
    <row r="11000" spans="1:10" x14ac:dyDescent="0.3">
      <c r="A11000" s="45">
        <v>45632</v>
      </c>
      <c r="B11000" s="394" t="s">
        <v>13379</v>
      </c>
      <c r="C11000" s="186" t="s">
        <v>54</v>
      </c>
      <c r="D11000" s="186" t="s">
        <v>15073</v>
      </c>
      <c r="E11000" s="187">
        <v>81000</v>
      </c>
      <c r="F11000" s="43"/>
      <c r="G11000" s="48">
        <f t="shared" si="277"/>
        <v>828522.04514275119</v>
      </c>
      <c r="H11000" s="389" t="s">
        <v>9567</v>
      </c>
    </row>
    <row r="11001" spans="1:10" x14ac:dyDescent="0.3">
      <c r="A11001" s="45">
        <v>45632</v>
      </c>
      <c r="B11001" s="396" t="s">
        <v>14882</v>
      </c>
      <c r="C11001" s="5" t="s">
        <v>5793</v>
      </c>
      <c r="D11001" s="5" t="s">
        <v>40</v>
      </c>
      <c r="E11001" s="43">
        <v>1000</v>
      </c>
      <c r="F11001" s="43"/>
      <c r="G11001" s="48">
        <f t="shared" si="277"/>
        <v>827522.04514275119</v>
      </c>
      <c r="H11001" s="389" t="s">
        <v>9567</v>
      </c>
    </row>
    <row r="11002" spans="1:10" x14ac:dyDescent="0.3">
      <c r="A11002" s="45">
        <v>45632</v>
      </c>
      <c r="B11002" s="394" t="s">
        <v>14701</v>
      </c>
      <c r="C11002" s="186" t="s">
        <v>54</v>
      </c>
      <c r="D11002" s="186" t="s">
        <v>15075</v>
      </c>
      <c r="E11002" s="187">
        <v>346954.16666666669</v>
      </c>
      <c r="F11002" s="43"/>
      <c r="G11002" s="48">
        <f t="shared" si="277"/>
        <v>480567.8784760845</v>
      </c>
      <c r="H11002" s="389" t="s">
        <v>9567</v>
      </c>
    </row>
    <row r="11003" spans="1:10" x14ac:dyDescent="0.3">
      <c r="A11003" s="45">
        <v>45632</v>
      </c>
      <c r="B11003" s="394" t="s">
        <v>13321</v>
      </c>
      <c r="C11003" s="186" t="s">
        <v>54</v>
      </c>
      <c r="D11003" s="186" t="s">
        <v>6952</v>
      </c>
      <c r="E11003" s="187">
        <v>59000</v>
      </c>
      <c r="F11003" s="43"/>
      <c r="G11003" s="48">
        <f t="shared" si="277"/>
        <v>421567.8784760845</v>
      </c>
      <c r="H11003" s="389" t="s">
        <v>9567</v>
      </c>
    </row>
    <row r="11004" spans="1:10" x14ac:dyDescent="0.3">
      <c r="A11004" s="45">
        <v>45632</v>
      </c>
      <c r="B11004" s="394" t="s">
        <v>14882</v>
      </c>
      <c r="C11004" s="186" t="s">
        <v>54</v>
      </c>
      <c r="D11004" s="186" t="s">
        <v>15079</v>
      </c>
      <c r="E11004" s="187">
        <v>121090</v>
      </c>
      <c r="F11004" s="43"/>
      <c r="G11004" s="48">
        <f t="shared" si="277"/>
        <v>300477.8784760845</v>
      </c>
      <c r="H11004" s="389" t="s">
        <v>9567</v>
      </c>
      <c r="J11004" s="52">
        <v>1070</v>
      </c>
    </row>
    <row r="11005" spans="1:10" x14ac:dyDescent="0.3">
      <c r="A11005" s="45">
        <v>45632</v>
      </c>
      <c r="B11005" s="396"/>
      <c r="C11005" s="186" t="s">
        <v>54</v>
      </c>
      <c r="D11005" s="186" t="s">
        <v>15076</v>
      </c>
      <c r="E11005" s="187">
        <f>46670+54750</f>
        <v>101420</v>
      </c>
      <c r="F11005" s="43"/>
      <c r="G11005" s="48">
        <f t="shared" si="277"/>
        <v>199057.8784760845</v>
      </c>
      <c r="H11005" s="389" t="s">
        <v>9567</v>
      </c>
      <c r="J11005" s="52">
        <v>4500</v>
      </c>
    </row>
    <row r="11006" spans="1:10" x14ac:dyDescent="0.3">
      <c r="A11006" s="45">
        <v>45632</v>
      </c>
      <c r="B11006" s="396" t="s">
        <v>13188</v>
      </c>
      <c r="C11006" s="5" t="s">
        <v>5793</v>
      </c>
      <c r="D11006" s="5" t="s">
        <v>40</v>
      </c>
      <c r="E11006" s="43">
        <v>600</v>
      </c>
      <c r="F11006" s="43"/>
      <c r="G11006" s="48">
        <f t="shared" si="277"/>
        <v>198457.8784760845</v>
      </c>
      <c r="H11006" s="389" t="s">
        <v>9567</v>
      </c>
      <c r="J11006" s="52">
        <v>150</v>
      </c>
    </row>
    <row r="11007" spans="1:10" x14ac:dyDescent="0.3">
      <c r="A11007" s="45">
        <v>45632</v>
      </c>
      <c r="B11007" s="394" t="s">
        <v>13138</v>
      </c>
      <c r="C11007" s="186" t="s">
        <v>54</v>
      </c>
      <c r="D11007" s="186" t="s">
        <v>15077</v>
      </c>
      <c r="E11007" s="187">
        <v>85220</v>
      </c>
      <c r="F11007" s="43"/>
      <c r="G11007" s="48">
        <f t="shared" si="277"/>
        <v>113237.8784760845</v>
      </c>
      <c r="H11007" s="389" t="s">
        <v>9567</v>
      </c>
      <c r="J11007" s="52">
        <f>SUM(J11004:J11006)</f>
        <v>5720</v>
      </c>
    </row>
    <row r="11008" spans="1:10" x14ac:dyDescent="0.3">
      <c r="A11008" s="45">
        <v>45632</v>
      </c>
      <c r="B11008" s="394" t="s">
        <v>12133</v>
      </c>
      <c r="C11008" s="186" t="s">
        <v>54</v>
      </c>
      <c r="D11008" s="186" t="s">
        <v>15078</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14831</v>
      </c>
      <c r="E11009" s="43">
        <v>2500</v>
      </c>
      <c r="F11009" s="43"/>
      <c r="G11009" s="48">
        <f t="shared" si="277"/>
        <v>31687.878476084501</v>
      </c>
      <c r="H11009" s="389" t="s">
        <v>9567</v>
      </c>
    </row>
    <row r="11010" spans="1:11" x14ac:dyDescent="0.3">
      <c r="A11010" s="45">
        <v>45633</v>
      </c>
      <c r="B11010" s="396" t="s">
        <v>14701</v>
      </c>
      <c r="C11010" s="5" t="s">
        <v>84</v>
      </c>
      <c r="D11010" s="5" t="s">
        <v>15080</v>
      </c>
      <c r="E11010" s="43">
        <v>10000</v>
      </c>
      <c r="F11010" s="43"/>
      <c r="G11010" s="48">
        <f t="shared" si="277"/>
        <v>21687.878476084501</v>
      </c>
      <c r="H11010" s="389" t="s">
        <v>9567</v>
      </c>
      <c r="J11010" s="52">
        <v>3930</v>
      </c>
    </row>
    <row r="11011" spans="1:11" x14ac:dyDescent="0.3">
      <c r="A11011" s="45">
        <v>45633</v>
      </c>
      <c r="B11011" s="396" t="s">
        <v>14310</v>
      </c>
      <c r="C11011" s="5" t="s">
        <v>11569</v>
      </c>
      <c r="D11011" s="5" t="s">
        <v>15081</v>
      </c>
      <c r="E11011" s="43">
        <v>1070</v>
      </c>
      <c r="F11011" s="43"/>
      <c r="G11011" s="48">
        <f t="shared" si="277"/>
        <v>20617.878476084501</v>
      </c>
      <c r="H11011" s="389" t="s">
        <v>9567</v>
      </c>
      <c r="J11011" s="52">
        <v>5000</v>
      </c>
    </row>
    <row r="11012" spans="1:11" x14ac:dyDescent="0.3">
      <c r="A11012" s="45">
        <v>45633</v>
      </c>
      <c r="B11012" s="396" t="s">
        <v>13379</v>
      </c>
      <c r="C11012" s="5" t="s">
        <v>11174</v>
      </c>
      <c r="D11012" s="5" t="s">
        <v>15082</v>
      </c>
      <c r="E11012" s="43">
        <v>4500</v>
      </c>
      <c r="F11012" s="43"/>
      <c r="G11012" s="48">
        <f t="shared" si="277"/>
        <v>16117.878476084501</v>
      </c>
      <c r="H11012" s="389" t="s">
        <v>9567</v>
      </c>
    </row>
    <row r="11013" spans="1:11" x14ac:dyDescent="0.3">
      <c r="A11013" s="45">
        <v>45633</v>
      </c>
      <c r="B11013" s="396" t="s">
        <v>13833</v>
      </c>
      <c r="C11013" s="5" t="s">
        <v>14807</v>
      </c>
      <c r="D11013" s="5" t="s">
        <v>15083</v>
      </c>
      <c r="E11013" s="43">
        <v>15000</v>
      </c>
      <c r="F11013" s="43"/>
      <c r="G11013" s="48">
        <f t="shared" si="277"/>
        <v>1117.878476084501</v>
      </c>
      <c r="H11013" s="389" t="s">
        <v>9567</v>
      </c>
      <c r="J11013" s="52">
        <v>10</v>
      </c>
      <c r="K11013" s="52">
        <v>25000</v>
      </c>
    </row>
    <row r="11014" spans="1:11" x14ac:dyDescent="0.3">
      <c r="A11014" s="45">
        <v>45633</v>
      </c>
      <c r="B11014" s="396" t="s">
        <v>13188</v>
      </c>
      <c r="C11014" s="5" t="s">
        <v>11174</v>
      </c>
      <c r="D11014" s="5" t="s">
        <v>15084</v>
      </c>
      <c r="E11014" s="43">
        <v>320</v>
      </c>
      <c r="F11014" s="43"/>
      <c r="G11014" s="48">
        <f t="shared" si="277"/>
        <v>797.87847608450102</v>
      </c>
      <c r="H11014" s="389" t="s">
        <v>9567</v>
      </c>
      <c r="J11014" s="52">
        <v>31</v>
      </c>
      <c r="K11014" s="52">
        <f>K11013/30*J11013</f>
        <v>8333.3333333333339</v>
      </c>
    </row>
    <row r="11015" spans="1:11" x14ac:dyDescent="0.3">
      <c r="A11015" s="45">
        <v>45633</v>
      </c>
      <c r="B11015" s="396" t="s">
        <v>13188</v>
      </c>
      <c r="C11015" s="5" t="s">
        <v>30</v>
      </c>
      <c r="D11015" s="5" t="s">
        <v>15085</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5"/>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14701</v>
      </c>
      <c r="C11017" s="186" t="s">
        <v>54</v>
      </c>
      <c r="D11017" s="186" t="s">
        <v>15080</v>
      </c>
      <c r="E11017" s="187">
        <v>91500</v>
      </c>
      <c r="F11017" s="43"/>
      <c r="G11017" s="48">
        <f t="shared" si="278"/>
        <v>408797.8784760845</v>
      </c>
      <c r="H11017" s="389" t="s">
        <v>9567</v>
      </c>
    </row>
    <row r="11018" spans="1:11" x14ac:dyDescent="0.3">
      <c r="A11018" s="45">
        <v>45635</v>
      </c>
      <c r="B11018" s="396" t="s">
        <v>12080</v>
      </c>
      <c r="C11018" s="5" t="s">
        <v>57</v>
      </c>
      <c r="D11018" s="5" t="s">
        <v>294</v>
      </c>
      <c r="E11018" s="43">
        <v>5000</v>
      </c>
      <c r="F11018" s="43"/>
      <c r="G11018" s="48">
        <f t="shared" si="278"/>
        <v>403797.8784760845</v>
      </c>
      <c r="H11018" s="389" t="s">
        <v>9567</v>
      </c>
    </row>
    <row r="11019" spans="1:11" x14ac:dyDescent="0.3">
      <c r="A11019" s="45">
        <v>45635</v>
      </c>
      <c r="B11019" s="394" t="s">
        <v>14882</v>
      </c>
      <c r="C11019" s="186" t="s">
        <v>54</v>
      </c>
      <c r="D11019" s="186" t="s">
        <v>15096</v>
      </c>
      <c r="E11019" s="187">
        <v>45000</v>
      </c>
      <c r="F11019" s="43"/>
      <c r="G11019" s="48">
        <f t="shared" si="278"/>
        <v>358797.8784760845</v>
      </c>
      <c r="H11019" s="389" t="s">
        <v>9567</v>
      </c>
    </row>
    <row r="11020" spans="1:11" x14ac:dyDescent="0.3">
      <c r="A11020" s="45">
        <v>45635</v>
      </c>
      <c r="B11020" s="396" t="s">
        <v>14882</v>
      </c>
      <c r="C11020" s="5" t="s">
        <v>5793</v>
      </c>
      <c r="D11020" s="5" t="s">
        <v>15097</v>
      </c>
      <c r="E11020" s="43">
        <v>16000</v>
      </c>
      <c r="F11020" s="43"/>
      <c r="G11020" s="48">
        <f t="shared" si="278"/>
        <v>342797.8784760845</v>
      </c>
      <c r="H11020" s="389" t="s">
        <v>9567</v>
      </c>
    </row>
    <row r="11021" spans="1:11" x14ac:dyDescent="0.3">
      <c r="A11021" s="45">
        <v>45635</v>
      </c>
      <c r="B11021" s="396" t="s">
        <v>14310</v>
      </c>
      <c r="C11021" s="5" t="s">
        <v>5793</v>
      </c>
      <c r="D11021" s="5" t="s">
        <v>15098</v>
      </c>
      <c r="E11021" s="43">
        <v>5000</v>
      </c>
      <c r="F11021" s="43"/>
      <c r="G11021" s="48">
        <f t="shared" si="278"/>
        <v>337797.8784760845</v>
      </c>
      <c r="H11021" s="389" t="s">
        <v>9567</v>
      </c>
    </row>
    <row r="11022" spans="1:11" x14ac:dyDescent="0.3">
      <c r="A11022" s="45">
        <v>45635</v>
      </c>
      <c r="B11022" s="394" t="s">
        <v>13833</v>
      </c>
      <c r="C11022" s="186" t="s">
        <v>54</v>
      </c>
      <c r="D11022" s="186" t="s">
        <v>15099</v>
      </c>
      <c r="E11022" s="187">
        <v>120000</v>
      </c>
      <c r="F11022" s="43"/>
      <c r="G11022" s="48">
        <f t="shared" si="278"/>
        <v>217797.8784760845</v>
      </c>
      <c r="H11022" s="389" t="s">
        <v>9567</v>
      </c>
    </row>
    <row r="11023" spans="1:11" x14ac:dyDescent="0.3">
      <c r="A11023" s="45">
        <v>45635</v>
      </c>
      <c r="B11023" s="396" t="s">
        <v>14685</v>
      </c>
      <c r="C11023" s="5" t="s">
        <v>5288</v>
      </c>
      <c r="D11023" s="5" t="s">
        <v>15100</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12055</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14031</v>
      </c>
      <c r="C11026" s="186" t="s">
        <v>54</v>
      </c>
      <c r="D11026" s="186" t="s">
        <v>15101</v>
      </c>
      <c r="E11026" s="187">
        <f>35000+70000</f>
        <v>105000</v>
      </c>
      <c r="F11026" s="43"/>
      <c r="G11026" s="48">
        <f t="shared" si="279"/>
        <v>25797.878476084501</v>
      </c>
      <c r="H11026" s="389" t="s">
        <v>9567</v>
      </c>
    </row>
    <row r="11027" spans="1:8" x14ac:dyDescent="0.3">
      <c r="A11027" s="45">
        <v>45636</v>
      </c>
      <c r="B11027" s="396" t="s">
        <v>25</v>
      </c>
      <c r="C11027" s="5" t="s">
        <v>26</v>
      </c>
      <c r="D11027" s="5" t="s">
        <v>11434</v>
      </c>
      <c r="E11027" s="43">
        <v>4000</v>
      </c>
      <c r="F11027" s="43"/>
      <c r="G11027" s="48">
        <f t="shared" si="279"/>
        <v>21797.878476084501</v>
      </c>
      <c r="H11027" s="389" t="s">
        <v>9567</v>
      </c>
    </row>
    <row r="11028" spans="1:8" x14ac:dyDescent="0.3">
      <c r="A11028" s="45">
        <v>45636</v>
      </c>
      <c r="B11028" s="396" t="s">
        <v>13379</v>
      </c>
      <c r="C11028" s="5" t="s">
        <v>11569</v>
      </c>
      <c r="D11028" s="5" t="s">
        <v>294</v>
      </c>
      <c r="E11028" s="43">
        <v>5260</v>
      </c>
      <c r="F11028" s="43"/>
      <c r="G11028" s="48">
        <f t="shared" si="279"/>
        <v>16537.878476084501</v>
      </c>
      <c r="H11028" s="389" t="s">
        <v>9567</v>
      </c>
    </row>
    <row r="11029" spans="1:8" x14ac:dyDescent="0.3">
      <c r="A11029" s="45">
        <v>45636</v>
      </c>
      <c r="B11029" s="396" t="s">
        <v>14882</v>
      </c>
      <c r="C11029" s="5" t="s">
        <v>5793</v>
      </c>
      <c r="D11029" s="5" t="s">
        <v>40</v>
      </c>
      <c r="E11029" s="43">
        <v>1000</v>
      </c>
      <c r="F11029" s="43"/>
      <c r="G11029" s="48">
        <f t="shared" si="279"/>
        <v>15537.878476084501</v>
      </c>
      <c r="H11029" s="389" t="s">
        <v>9567</v>
      </c>
    </row>
    <row r="11030" spans="1:8" x14ac:dyDescent="0.3">
      <c r="A11030" s="45">
        <v>45636</v>
      </c>
      <c r="B11030" s="394" t="s">
        <v>13902</v>
      </c>
      <c r="C11030" s="186" t="s">
        <v>54</v>
      </c>
      <c r="D11030" s="186" t="s">
        <v>15108</v>
      </c>
      <c r="E11030" s="187">
        <v>12000</v>
      </c>
      <c r="F11030" s="43"/>
      <c r="G11030" s="48">
        <f t="shared" si="279"/>
        <v>3537.878476084501</v>
      </c>
      <c r="H11030" s="389" t="s">
        <v>9567</v>
      </c>
    </row>
    <row r="11031" spans="1:8" x14ac:dyDescent="0.3">
      <c r="A11031" s="45">
        <v>45636</v>
      </c>
      <c r="B11031" s="565"/>
      <c r="C11031" s="480"/>
      <c r="D11031" s="491" t="s">
        <v>4106</v>
      </c>
      <c r="E11031" s="480"/>
      <c r="F11031" s="43">
        <v>150000</v>
      </c>
      <c r="G11031" s="48">
        <f t="shared" si="279"/>
        <v>153537.8784760845</v>
      </c>
      <c r="H11031" s="389" t="s">
        <v>9567</v>
      </c>
    </row>
    <row r="11032" spans="1:8" x14ac:dyDescent="0.3">
      <c r="A11032" s="45">
        <v>45636</v>
      </c>
      <c r="B11032" s="396" t="s">
        <v>15001</v>
      </c>
      <c r="C11032" s="5" t="s">
        <v>11174</v>
      </c>
      <c r="D11032" s="5" t="s">
        <v>15116</v>
      </c>
      <c r="E11032" s="43">
        <v>57800</v>
      </c>
      <c r="F11032" s="43"/>
      <c r="G11032" s="48">
        <f t="shared" si="279"/>
        <v>95737.878476084501</v>
      </c>
      <c r="H11032" s="389" t="s">
        <v>9567</v>
      </c>
    </row>
    <row r="11033" spans="1:8" x14ac:dyDescent="0.3">
      <c r="A11033" s="45">
        <v>45636</v>
      </c>
      <c r="B11033" s="396" t="s">
        <v>14701</v>
      </c>
      <c r="C11033" s="5" t="s">
        <v>84</v>
      </c>
      <c r="D11033" s="5" t="s">
        <v>15109</v>
      </c>
      <c r="E11033" s="43">
        <v>5000</v>
      </c>
      <c r="F11033" s="43"/>
      <c r="G11033" s="48">
        <f t="shared" si="279"/>
        <v>90737.878476084501</v>
      </c>
      <c r="H11033" s="389" t="s">
        <v>9567</v>
      </c>
    </row>
    <row r="11034" spans="1:8" x14ac:dyDescent="0.3">
      <c r="A11034" s="45">
        <v>45636</v>
      </c>
      <c r="B11034" s="396" t="s">
        <v>14248</v>
      </c>
      <c r="C11034" s="5" t="s">
        <v>10474</v>
      </c>
      <c r="D11034" s="5" t="s">
        <v>15110</v>
      </c>
      <c r="E11034" s="43">
        <v>4000</v>
      </c>
      <c r="F11034" s="43"/>
      <c r="G11034" s="48">
        <f t="shared" si="279"/>
        <v>86737.878476084501</v>
      </c>
      <c r="H11034" s="389" t="s">
        <v>9567</v>
      </c>
    </row>
    <row r="11035" spans="1:8" x14ac:dyDescent="0.3">
      <c r="A11035" s="45">
        <v>45636</v>
      </c>
      <c r="B11035" s="396" t="s">
        <v>14685</v>
      </c>
      <c r="C11035" s="5" t="s">
        <v>10474</v>
      </c>
      <c r="D11035" s="5" t="s">
        <v>15111</v>
      </c>
      <c r="E11035" s="43">
        <v>34000</v>
      </c>
      <c r="F11035" s="43"/>
      <c r="G11035" s="48">
        <f t="shared" si="279"/>
        <v>52737.878476084501</v>
      </c>
      <c r="H11035" s="389" t="s">
        <v>9567</v>
      </c>
    </row>
    <row r="11036" spans="1:8" x14ac:dyDescent="0.3">
      <c r="A11036" s="45">
        <v>45636</v>
      </c>
      <c r="B11036" s="396" t="s">
        <v>14248</v>
      </c>
      <c r="C11036" s="5" t="s">
        <v>11174</v>
      </c>
      <c r="D11036" s="5" t="s">
        <v>15112</v>
      </c>
      <c r="E11036" s="43">
        <v>14200</v>
      </c>
      <c r="F11036" s="43"/>
      <c r="G11036" s="48">
        <f t="shared" si="279"/>
        <v>38537.878476084501</v>
      </c>
      <c r="H11036" s="389" t="s">
        <v>9567</v>
      </c>
    </row>
    <row r="11037" spans="1:8" x14ac:dyDescent="0.3">
      <c r="A11037" s="45">
        <v>45637</v>
      </c>
      <c r="B11037" s="396" t="s">
        <v>12230</v>
      </c>
      <c r="C11037" s="5" t="s">
        <v>26</v>
      </c>
      <c r="D11037" s="5" t="s">
        <v>15113</v>
      </c>
      <c r="E11037" s="43">
        <v>5000</v>
      </c>
      <c r="F11037" s="43"/>
      <c r="G11037" s="48">
        <f t="shared" si="279"/>
        <v>33537.878476084501</v>
      </c>
      <c r="H11037" s="389" t="s">
        <v>9567</v>
      </c>
    </row>
    <row r="11038" spans="1:8" x14ac:dyDescent="0.3">
      <c r="A11038" s="45">
        <v>45637</v>
      </c>
      <c r="B11038" s="396" t="s">
        <v>13188</v>
      </c>
      <c r="C11038" s="5" t="s">
        <v>11174</v>
      </c>
      <c r="D11038" s="5" t="s">
        <v>15114</v>
      </c>
      <c r="E11038" s="43">
        <v>2250</v>
      </c>
      <c r="F11038" s="43"/>
      <c r="G11038" s="48">
        <f t="shared" si="279"/>
        <v>31287.878476084501</v>
      </c>
      <c r="H11038" s="389" t="s">
        <v>9567</v>
      </c>
    </row>
    <row r="11039" spans="1:8" x14ac:dyDescent="0.3">
      <c r="A11039" s="45">
        <v>45637</v>
      </c>
      <c r="B11039" s="565"/>
      <c r="C11039" s="480"/>
      <c r="D11039" s="491" t="s">
        <v>14134</v>
      </c>
      <c r="E11039" s="480"/>
      <c r="F11039" s="43">
        <v>150000</v>
      </c>
      <c r="G11039" s="48">
        <f t="shared" si="279"/>
        <v>181287.8784760845</v>
      </c>
      <c r="H11039" s="389" t="s">
        <v>9567</v>
      </c>
    </row>
    <row r="11040" spans="1:8" x14ac:dyDescent="0.3">
      <c r="A11040" s="45">
        <v>45637</v>
      </c>
      <c r="B11040" s="396" t="s">
        <v>15001</v>
      </c>
      <c r="C11040" s="5" t="s">
        <v>11174</v>
      </c>
      <c r="D11040" s="5" t="s">
        <v>15117</v>
      </c>
      <c r="E11040" s="43">
        <v>27000</v>
      </c>
      <c r="F11040" s="43"/>
      <c r="G11040" s="48">
        <f t="shared" si="279"/>
        <v>154287.8784760845</v>
      </c>
      <c r="H11040" s="389" t="s">
        <v>9567</v>
      </c>
    </row>
    <row r="11041" spans="1:9" x14ac:dyDescent="0.3">
      <c r="A11041" s="45">
        <v>45637</v>
      </c>
      <c r="B11041" s="396" t="s">
        <v>14882</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15118</v>
      </c>
      <c r="E11042" s="43">
        <v>50000</v>
      </c>
      <c r="F11042" s="43"/>
      <c r="G11042" s="48">
        <f t="shared" si="279"/>
        <v>101687.8784760845</v>
      </c>
      <c r="H11042" s="389" t="s">
        <v>9567</v>
      </c>
      <c r="I11042" s="52">
        <v>1100000</v>
      </c>
    </row>
    <row r="11043" spans="1:9" x14ac:dyDescent="0.3">
      <c r="A11043" s="45">
        <v>45637</v>
      </c>
      <c r="B11043" s="396" t="s">
        <v>15061</v>
      </c>
      <c r="C11043" s="5" t="s">
        <v>68</v>
      </c>
      <c r="D11043" s="5" t="s">
        <v>15119</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15120</v>
      </c>
      <c r="E11044" s="43">
        <v>16000</v>
      </c>
      <c r="F11044" s="43"/>
      <c r="G11044" s="48">
        <f t="shared" si="279"/>
        <v>65687.878476084501</v>
      </c>
      <c r="H11044" s="389" t="s">
        <v>9567</v>
      </c>
      <c r="I11044" s="52">
        <f>I11042-I11043</f>
        <v>850000</v>
      </c>
    </row>
    <row r="11045" spans="1:9" x14ac:dyDescent="0.3">
      <c r="A11045" s="45">
        <v>45637</v>
      </c>
      <c r="B11045" s="396" t="s">
        <v>15001</v>
      </c>
      <c r="C11045" s="5" t="s">
        <v>5793</v>
      </c>
      <c r="D11045" s="5" t="s">
        <v>40</v>
      </c>
      <c r="E11045" s="43">
        <v>800</v>
      </c>
      <c r="F11045" s="43"/>
      <c r="G11045" s="48">
        <f t="shared" si="279"/>
        <v>64887.878476084501</v>
      </c>
      <c r="H11045" s="389" t="s">
        <v>9567</v>
      </c>
    </row>
    <row r="11046" spans="1:9" x14ac:dyDescent="0.3">
      <c r="A11046" s="45">
        <v>45637</v>
      </c>
      <c r="B11046" s="396" t="s">
        <v>14882</v>
      </c>
      <c r="C11046" s="5" t="s">
        <v>11174</v>
      </c>
      <c r="D11046" s="5" t="s">
        <v>13685</v>
      </c>
      <c r="E11046" s="43">
        <v>14700</v>
      </c>
      <c r="F11046" s="43"/>
      <c r="G11046" s="48">
        <f t="shared" si="279"/>
        <v>50187.878476084501</v>
      </c>
      <c r="H11046" s="389" t="s">
        <v>9567</v>
      </c>
    </row>
    <row r="11047" spans="1:9" x14ac:dyDescent="0.3">
      <c r="A11047" s="45">
        <v>45637</v>
      </c>
      <c r="B11047" s="394" t="s">
        <v>12080</v>
      </c>
      <c r="C11047" s="186" t="s">
        <v>54</v>
      </c>
      <c r="D11047" s="186" t="s">
        <v>15122</v>
      </c>
      <c r="E11047" s="187">
        <v>28000</v>
      </c>
      <c r="F11047" s="43"/>
      <c r="G11047" s="48">
        <f t="shared" si="279"/>
        <v>22187.878476084501</v>
      </c>
      <c r="H11047" s="389" t="s">
        <v>9567</v>
      </c>
    </row>
    <row r="11048" spans="1:9" x14ac:dyDescent="0.3">
      <c r="A11048" s="45">
        <v>45637</v>
      </c>
      <c r="B11048" s="396" t="s">
        <v>12133</v>
      </c>
      <c r="C11048" s="5" t="s">
        <v>26</v>
      </c>
      <c r="D11048" s="5" t="s">
        <v>15123</v>
      </c>
      <c r="E11048" s="43">
        <v>1500</v>
      </c>
      <c r="F11048" s="43"/>
      <c r="G11048" s="48">
        <f t="shared" si="279"/>
        <v>20687.878476084501</v>
      </c>
      <c r="H11048" s="389" t="s">
        <v>9567</v>
      </c>
    </row>
    <row r="11049" spans="1:9" x14ac:dyDescent="0.3">
      <c r="A11049" s="45">
        <v>45638</v>
      </c>
      <c r="B11049" s="396" t="s">
        <v>25</v>
      </c>
      <c r="C11049" s="5" t="s">
        <v>26</v>
      </c>
      <c r="D11049" s="5" t="s">
        <v>11434</v>
      </c>
      <c r="E11049" s="43">
        <v>4000</v>
      </c>
      <c r="F11049" s="43"/>
      <c r="G11049" s="48">
        <f t="shared" si="279"/>
        <v>16687.878476084501</v>
      </c>
      <c r="H11049" s="389" t="s">
        <v>9567</v>
      </c>
    </row>
    <row r="11050" spans="1:9" x14ac:dyDescent="0.3">
      <c r="A11050" s="45">
        <v>45638</v>
      </c>
      <c r="B11050" s="396" t="s">
        <v>14590</v>
      </c>
      <c r="C11050" s="5" t="s">
        <v>4550</v>
      </c>
      <c r="D11050" s="5" t="s">
        <v>15124</v>
      </c>
      <c r="E11050" s="43">
        <v>10000</v>
      </c>
      <c r="F11050" s="43"/>
      <c r="G11050" s="48">
        <f t="shared" si="279"/>
        <v>6687.878476084501</v>
      </c>
      <c r="H11050" s="389" t="s">
        <v>9567</v>
      </c>
    </row>
    <row r="11051" spans="1:9" x14ac:dyDescent="0.3">
      <c r="A11051" s="45">
        <v>45638</v>
      </c>
      <c r="B11051" s="396" t="s">
        <v>25</v>
      </c>
      <c r="C11051" s="5" t="s">
        <v>30</v>
      </c>
      <c r="D11051" s="5" t="s">
        <v>14126</v>
      </c>
      <c r="E11051" s="43">
        <v>1000</v>
      </c>
      <c r="F11051" s="43"/>
      <c r="G11051" s="48">
        <f t="shared" si="279"/>
        <v>5687.878476084501</v>
      </c>
      <c r="H11051" s="389" t="s">
        <v>9567</v>
      </c>
    </row>
    <row r="11052" spans="1:9" x14ac:dyDescent="0.3">
      <c r="A11052" s="45">
        <v>45638</v>
      </c>
      <c r="B11052" s="396" t="s">
        <v>14882</v>
      </c>
      <c r="C11052" s="5" t="s">
        <v>5793</v>
      </c>
      <c r="D11052" s="5" t="s">
        <v>40</v>
      </c>
      <c r="E11052" s="43">
        <v>1000</v>
      </c>
      <c r="F11052" s="43"/>
      <c r="G11052" s="48">
        <f t="shared" si="279"/>
        <v>4687.878476084501</v>
      </c>
      <c r="H11052" s="389" t="s">
        <v>9567</v>
      </c>
    </row>
    <row r="11053" spans="1:9" x14ac:dyDescent="0.3">
      <c r="A11053" s="45">
        <v>45638</v>
      </c>
      <c r="B11053" s="565"/>
      <c r="C11053" s="480"/>
      <c r="D11053" s="491" t="s">
        <v>15125</v>
      </c>
      <c r="E11053" s="480"/>
      <c r="F11053" s="43">
        <v>50000</v>
      </c>
      <c r="G11053" s="48">
        <f t="shared" si="279"/>
        <v>54687.878476084501</v>
      </c>
      <c r="H11053" s="389" t="s">
        <v>9567</v>
      </c>
    </row>
    <row r="11054" spans="1:9" x14ac:dyDescent="0.3">
      <c r="A11054" s="45">
        <v>45638</v>
      </c>
      <c r="B11054" s="396" t="s">
        <v>25</v>
      </c>
      <c r="C11054" s="5" t="s">
        <v>84</v>
      </c>
      <c r="D11054" s="5" t="s">
        <v>15126</v>
      </c>
      <c r="E11054" s="43">
        <v>1000</v>
      </c>
      <c r="F11054" s="43"/>
      <c r="G11054" s="48">
        <f t="shared" si="279"/>
        <v>53687.878476084501</v>
      </c>
      <c r="H11054" s="389" t="s">
        <v>9567</v>
      </c>
    </row>
    <row r="11055" spans="1:9" x14ac:dyDescent="0.3">
      <c r="A11055" s="45">
        <v>45638</v>
      </c>
      <c r="B11055" s="396" t="s">
        <v>25</v>
      </c>
      <c r="C11055" s="5" t="s">
        <v>26</v>
      </c>
      <c r="D11055" s="5" t="s">
        <v>15127</v>
      </c>
      <c r="E11055" s="43">
        <v>22000</v>
      </c>
      <c r="F11055" s="43"/>
      <c r="G11055" s="48">
        <f t="shared" si="279"/>
        <v>31687.878476084501</v>
      </c>
      <c r="H11055" s="389" t="s">
        <v>9567</v>
      </c>
    </row>
    <row r="11056" spans="1:9" x14ac:dyDescent="0.3">
      <c r="A11056" s="45">
        <v>45638</v>
      </c>
      <c r="B11056" s="396" t="s">
        <v>12080</v>
      </c>
      <c r="C11056" s="5" t="s">
        <v>5793</v>
      </c>
      <c r="D11056" s="5" t="s">
        <v>40</v>
      </c>
      <c r="E11056" s="43">
        <v>1000</v>
      </c>
      <c r="F11056" s="43"/>
      <c r="G11056" s="48">
        <f t="shared" si="279"/>
        <v>30687.878476084501</v>
      </c>
      <c r="H11056" s="389" t="s">
        <v>9567</v>
      </c>
    </row>
    <row r="11057" spans="1:9" x14ac:dyDescent="0.3">
      <c r="A11057" s="45">
        <v>45638</v>
      </c>
      <c r="B11057" s="396" t="s">
        <v>14248</v>
      </c>
      <c r="C11057" s="5" t="s">
        <v>26</v>
      </c>
      <c r="D11057" s="5" t="s">
        <v>15128</v>
      </c>
      <c r="E11057" s="43">
        <v>10000</v>
      </c>
      <c r="F11057" s="43"/>
      <c r="G11057" s="48">
        <f t="shared" si="279"/>
        <v>20687.878476084501</v>
      </c>
      <c r="H11057" s="389" t="s">
        <v>9567</v>
      </c>
    </row>
    <row r="11058" spans="1:9" x14ac:dyDescent="0.3">
      <c r="A11058" s="45">
        <v>45639</v>
      </c>
      <c r="B11058" s="396" t="s">
        <v>14031</v>
      </c>
      <c r="C11058" s="5" t="s">
        <v>11174</v>
      </c>
      <c r="D11058" s="5" t="s">
        <v>15129</v>
      </c>
      <c r="E11058" s="43">
        <v>16500</v>
      </c>
      <c r="F11058" s="43"/>
      <c r="G11058" s="48">
        <f t="shared" si="279"/>
        <v>4187.878476084501</v>
      </c>
      <c r="H11058" s="389" t="s">
        <v>9567</v>
      </c>
    </row>
    <row r="11059" spans="1:9" x14ac:dyDescent="0.3">
      <c r="A11059" s="45">
        <v>45639</v>
      </c>
      <c r="B11059" s="396" t="s">
        <v>15025</v>
      </c>
      <c r="C11059" s="5" t="s">
        <v>11174</v>
      </c>
      <c r="D11059" s="5" t="s">
        <v>15130</v>
      </c>
      <c r="E11059" s="65">
        <v>3000</v>
      </c>
      <c r="F11059" s="43"/>
      <c r="G11059" s="48">
        <f t="shared" si="279"/>
        <v>1187.878476084501</v>
      </c>
      <c r="H11059" s="389" t="s">
        <v>9567</v>
      </c>
    </row>
    <row r="11060" spans="1:9" x14ac:dyDescent="0.3">
      <c r="A11060" s="45">
        <v>45640</v>
      </c>
      <c r="B11060" s="565"/>
      <c r="C11060" s="480"/>
      <c r="D11060" s="491" t="s">
        <v>5431</v>
      </c>
      <c r="E11060" s="480"/>
      <c r="F11060" s="43">
        <v>100000</v>
      </c>
      <c r="G11060" s="48">
        <f t="shared" si="279"/>
        <v>101187.8784760845</v>
      </c>
      <c r="H11060" s="389" t="s">
        <v>9567</v>
      </c>
      <c r="I11060" s="52">
        <f>8500*4</f>
        <v>34000</v>
      </c>
    </row>
    <row r="11061" spans="1:9" x14ac:dyDescent="0.3">
      <c r="A11061" s="45">
        <v>45640</v>
      </c>
      <c r="B11061" s="396" t="s">
        <v>12080</v>
      </c>
      <c r="C11061" s="5" t="s">
        <v>5793</v>
      </c>
      <c r="D11061" s="5" t="s">
        <v>15132</v>
      </c>
      <c r="E11061" s="43">
        <v>7500</v>
      </c>
      <c r="F11061" s="43"/>
      <c r="G11061" s="48">
        <f t="shared" si="279"/>
        <v>93687.878476084501</v>
      </c>
      <c r="H11061" s="389" t="s">
        <v>9567</v>
      </c>
    </row>
    <row r="11062" spans="1:9" x14ac:dyDescent="0.3">
      <c r="A11062" s="45">
        <v>45640</v>
      </c>
      <c r="B11062" s="396" t="s">
        <v>12080</v>
      </c>
      <c r="C11062" s="5" t="s">
        <v>26</v>
      </c>
      <c r="D11062" s="5" t="s">
        <v>15133</v>
      </c>
      <c r="E11062" s="43">
        <v>2500</v>
      </c>
      <c r="F11062" s="43"/>
      <c r="G11062" s="48">
        <f t="shared" si="279"/>
        <v>91187.878476084501</v>
      </c>
      <c r="H11062" s="389" t="s">
        <v>9567</v>
      </c>
      <c r="I11062" s="52">
        <v>34000</v>
      </c>
    </row>
    <row r="11063" spans="1:9" x14ac:dyDescent="0.3">
      <c r="A11063" s="45">
        <v>45640</v>
      </c>
      <c r="B11063" s="396" t="s">
        <v>15025</v>
      </c>
      <c r="C11063" s="5" t="s">
        <v>15134</v>
      </c>
      <c r="D11063" s="5" t="s">
        <v>15135</v>
      </c>
      <c r="E11063" s="43">
        <v>17000</v>
      </c>
      <c r="F11063" s="43"/>
      <c r="G11063" s="48">
        <f t="shared" si="279"/>
        <v>74187.878476084501</v>
      </c>
      <c r="H11063" s="389" t="s">
        <v>9567</v>
      </c>
    </row>
    <row r="11064" spans="1:9" x14ac:dyDescent="0.3">
      <c r="A11064" s="45">
        <v>45640</v>
      </c>
      <c r="B11064" s="396" t="s">
        <v>13188</v>
      </c>
      <c r="C11064" s="5" t="s">
        <v>14463</v>
      </c>
      <c r="D11064" s="5" t="s">
        <v>15136</v>
      </c>
      <c r="E11064" s="43">
        <v>20000</v>
      </c>
      <c r="F11064" s="43"/>
      <c r="G11064" s="48">
        <f t="shared" si="279"/>
        <v>54187.878476084501</v>
      </c>
      <c r="H11064" s="389" t="s">
        <v>9567</v>
      </c>
      <c r="I11064" s="52">
        <f>I11062*18%</f>
        <v>6120</v>
      </c>
    </row>
    <row r="11065" spans="1:9" x14ac:dyDescent="0.3">
      <c r="A11065" s="45">
        <v>45640</v>
      </c>
      <c r="B11065" s="396" t="s">
        <v>13833</v>
      </c>
      <c r="C11065" s="5" t="s">
        <v>14807</v>
      </c>
      <c r="D11065" s="5" t="s">
        <v>15137</v>
      </c>
      <c r="E11065" s="43">
        <v>35000</v>
      </c>
      <c r="F11065" s="43"/>
      <c r="G11065" s="48">
        <f t="shared" si="279"/>
        <v>19187.878476084501</v>
      </c>
      <c r="H11065" s="389" t="s">
        <v>9567</v>
      </c>
      <c r="I11065" s="52">
        <f>I11064+I11062</f>
        <v>40120</v>
      </c>
    </row>
    <row r="11066" spans="1:9" x14ac:dyDescent="0.3">
      <c r="A11066" s="45">
        <v>45640</v>
      </c>
      <c r="B11066" s="396" t="s">
        <v>13188</v>
      </c>
      <c r="C11066" s="5" t="s">
        <v>5793</v>
      </c>
      <c r="D11066" s="5" t="s">
        <v>15138</v>
      </c>
      <c r="E11066" s="43">
        <v>950</v>
      </c>
      <c r="F11066" s="43"/>
      <c r="G11066" s="48">
        <f t="shared" si="279"/>
        <v>18237.878476084501</v>
      </c>
      <c r="H11066" s="389" t="s">
        <v>9567</v>
      </c>
    </row>
    <row r="11067" spans="1:9" x14ac:dyDescent="0.3">
      <c r="A11067" s="45">
        <v>45640</v>
      </c>
      <c r="B11067" s="396" t="s">
        <v>14685</v>
      </c>
      <c r="C11067" s="5" t="s">
        <v>5793</v>
      </c>
      <c r="D11067" s="5" t="s">
        <v>40</v>
      </c>
      <c r="E11067" s="43">
        <v>1200</v>
      </c>
      <c r="F11067" s="43"/>
      <c r="G11067" s="48">
        <f t="shared" si="279"/>
        <v>17037.878476084501</v>
      </c>
      <c r="H11067" s="389" t="s">
        <v>9567</v>
      </c>
    </row>
    <row r="11068" spans="1:9" x14ac:dyDescent="0.3">
      <c r="A11068" s="45">
        <v>45642</v>
      </c>
      <c r="B11068" s="396" t="s">
        <v>14701</v>
      </c>
      <c r="C11068" s="5" t="s">
        <v>26</v>
      </c>
      <c r="D11068" s="5" t="s">
        <v>11536</v>
      </c>
      <c r="E11068" s="43">
        <v>1330</v>
      </c>
      <c r="F11068" s="43"/>
      <c r="G11068" s="48">
        <f t="shared" si="279"/>
        <v>15707.878476084501</v>
      </c>
      <c r="H11068" s="389" t="s">
        <v>9567</v>
      </c>
    </row>
    <row r="11069" spans="1:9" x14ac:dyDescent="0.3">
      <c r="A11069" s="45">
        <v>45642</v>
      </c>
      <c r="B11069" s="396" t="s">
        <v>25</v>
      </c>
      <c r="C11069" s="5" t="s">
        <v>26</v>
      </c>
      <c r="D11069" s="5" t="s">
        <v>11434</v>
      </c>
      <c r="E11069" s="43">
        <v>4000</v>
      </c>
      <c r="F11069" s="43"/>
      <c r="G11069" s="48">
        <f t="shared" si="279"/>
        <v>11707.878476084501</v>
      </c>
      <c r="H11069" s="389" t="s">
        <v>9567</v>
      </c>
    </row>
    <row r="11070" spans="1:9" x14ac:dyDescent="0.3">
      <c r="A11070" s="45">
        <v>45642</v>
      </c>
      <c r="B11070" s="396" t="s">
        <v>14685</v>
      </c>
      <c r="C11070" s="5" t="s">
        <v>11174</v>
      </c>
      <c r="D11070" s="5" t="s">
        <v>15141</v>
      </c>
      <c r="E11070" s="43">
        <v>2000</v>
      </c>
      <c r="F11070" s="43"/>
      <c r="G11070" s="48">
        <f t="shared" si="279"/>
        <v>9707.878476084501</v>
      </c>
      <c r="H11070" s="389" t="s">
        <v>9567</v>
      </c>
    </row>
    <row r="11071" spans="1:9" x14ac:dyDescent="0.3">
      <c r="A11071" s="45">
        <v>45642</v>
      </c>
      <c r="B11071" s="565"/>
      <c r="C11071" s="480"/>
      <c r="D11071" s="491" t="s">
        <v>14134</v>
      </c>
      <c r="E11071" s="480"/>
      <c r="F11071" s="43">
        <v>100000</v>
      </c>
      <c r="G11071" s="48">
        <f t="shared" si="279"/>
        <v>109707.8784760845</v>
      </c>
      <c r="H11071" s="389" t="s">
        <v>9567</v>
      </c>
    </row>
    <row r="11072" spans="1:9" x14ac:dyDescent="0.3">
      <c r="A11072" s="45">
        <v>45642</v>
      </c>
      <c r="B11072" s="396" t="s">
        <v>15061</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14126</v>
      </c>
      <c r="E11073" s="43">
        <v>2000</v>
      </c>
      <c r="F11073" s="43"/>
      <c r="G11073" s="48">
        <f t="shared" si="279"/>
        <v>87707.878476084501</v>
      </c>
      <c r="H11073" s="389" t="s">
        <v>9567</v>
      </c>
    </row>
    <row r="11074" spans="1:8" x14ac:dyDescent="0.3">
      <c r="A11074" s="45">
        <v>45642</v>
      </c>
      <c r="B11074" s="396" t="s">
        <v>14685</v>
      </c>
      <c r="C11074" s="5" t="s">
        <v>5288</v>
      </c>
      <c r="D11074" s="5" t="s">
        <v>15142</v>
      </c>
      <c r="E11074" s="43">
        <v>15000</v>
      </c>
      <c r="F11074" s="43"/>
      <c r="G11074" s="48">
        <f t="shared" si="279"/>
        <v>72707.878476084501</v>
      </c>
      <c r="H11074" s="389" t="s">
        <v>9567</v>
      </c>
    </row>
    <row r="11075" spans="1:8" x14ac:dyDescent="0.3">
      <c r="A11075" s="45">
        <v>45643</v>
      </c>
      <c r="B11075" s="396"/>
      <c r="C11075" s="5" t="s">
        <v>14</v>
      </c>
      <c r="D11075" s="5" t="s">
        <v>13624</v>
      </c>
      <c r="E11075" s="43">
        <v>30865</v>
      </c>
      <c r="F11075" s="43"/>
      <c r="G11075" s="48">
        <f t="shared" si="279"/>
        <v>41842.878476084501</v>
      </c>
      <c r="H11075" s="389" t="s">
        <v>9567</v>
      </c>
    </row>
    <row r="11076" spans="1:8" x14ac:dyDescent="0.3">
      <c r="A11076" s="45">
        <v>45643</v>
      </c>
      <c r="B11076" s="396" t="s">
        <v>14524</v>
      </c>
      <c r="C11076" s="5" t="s">
        <v>11174</v>
      </c>
      <c r="D11076" s="5" t="s">
        <v>15143</v>
      </c>
      <c r="E11076" s="43">
        <v>2170</v>
      </c>
      <c r="F11076" s="43"/>
      <c r="G11076" s="48">
        <f t="shared" si="279"/>
        <v>39672.878476084501</v>
      </c>
      <c r="H11076" s="389" t="s">
        <v>9567</v>
      </c>
    </row>
    <row r="11077" spans="1:8" x14ac:dyDescent="0.3">
      <c r="A11077" s="45">
        <v>45643</v>
      </c>
      <c r="B11077" s="396" t="s">
        <v>15144</v>
      </c>
      <c r="C11077" s="5" t="s">
        <v>11174</v>
      </c>
      <c r="D11077" s="172" t="s">
        <v>15145</v>
      </c>
      <c r="E11077" s="43">
        <v>4800</v>
      </c>
      <c r="F11077" s="43"/>
      <c r="G11077" s="48">
        <f t="shared" si="279"/>
        <v>34872.878476084501</v>
      </c>
      <c r="H11077" s="389" t="s">
        <v>9567</v>
      </c>
    </row>
    <row r="11078" spans="1:8" x14ac:dyDescent="0.3">
      <c r="A11078" s="45">
        <v>45643</v>
      </c>
      <c r="B11078" s="396" t="s">
        <v>25</v>
      </c>
      <c r="C11078" s="5" t="s">
        <v>26</v>
      </c>
      <c r="D11078" s="5" t="s">
        <v>11434</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15146</v>
      </c>
      <c r="C11080" s="5" t="s">
        <v>26</v>
      </c>
      <c r="D11080" s="5" t="s">
        <v>15147</v>
      </c>
      <c r="E11080" s="43">
        <v>1500</v>
      </c>
      <c r="F11080" s="43"/>
      <c r="G11080" s="48">
        <f t="shared" si="279"/>
        <v>22372.878476084501</v>
      </c>
      <c r="H11080" s="389" t="s">
        <v>9567</v>
      </c>
    </row>
    <row r="11081" spans="1:8" x14ac:dyDescent="0.3">
      <c r="A11081" s="45">
        <v>45643</v>
      </c>
      <c r="B11081" s="396" t="s">
        <v>13833</v>
      </c>
      <c r="C11081" s="5" t="s">
        <v>9451</v>
      </c>
      <c r="D11081" s="5" t="s">
        <v>15148</v>
      </c>
      <c r="E11081" s="43">
        <v>9000</v>
      </c>
      <c r="F11081" s="43"/>
      <c r="G11081" s="48">
        <f t="shared" si="279"/>
        <v>13372.878476084501</v>
      </c>
      <c r="H11081" s="389" t="s">
        <v>9567</v>
      </c>
    </row>
    <row r="11082" spans="1:8" x14ac:dyDescent="0.3">
      <c r="A11082" s="45">
        <v>45644</v>
      </c>
      <c r="B11082" s="396" t="s">
        <v>14590</v>
      </c>
      <c r="C11082" s="5" t="s">
        <v>4550</v>
      </c>
      <c r="D11082" s="5" t="s">
        <v>3910</v>
      </c>
      <c r="E11082" s="43">
        <v>5000</v>
      </c>
      <c r="F11082" s="43"/>
      <c r="G11082" s="48">
        <f t="shared" si="279"/>
        <v>8372.878476084501</v>
      </c>
      <c r="H11082" s="389" t="s">
        <v>9567</v>
      </c>
    </row>
    <row r="11083" spans="1:8" x14ac:dyDescent="0.3">
      <c r="A11083" s="45">
        <v>45644</v>
      </c>
      <c r="B11083" s="396" t="s">
        <v>14590</v>
      </c>
      <c r="C11083" s="5" t="s">
        <v>5793</v>
      </c>
      <c r="D11083" s="5" t="s">
        <v>15151</v>
      </c>
      <c r="E11083" s="43">
        <v>5000</v>
      </c>
      <c r="F11083" s="43"/>
      <c r="G11083" s="48">
        <f t="shared" si="279"/>
        <v>3372.878476084501</v>
      </c>
      <c r="H11083" s="389" t="s">
        <v>9567</v>
      </c>
    </row>
    <row r="11084" spans="1:8" x14ac:dyDescent="0.3">
      <c r="A11084" s="45">
        <v>45644</v>
      </c>
      <c r="B11084" s="565"/>
      <c r="C11084" s="480"/>
      <c r="D11084" s="491" t="s">
        <v>4106</v>
      </c>
      <c r="E11084" s="480"/>
      <c r="F11084" s="43">
        <v>100000</v>
      </c>
      <c r="G11084" s="48">
        <f t="shared" si="279"/>
        <v>103372.8784760845</v>
      </c>
      <c r="H11084" s="389" t="s">
        <v>9567</v>
      </c>
    </row>
    <row r="11085" spans="1:8" x14ac:dyDescent="0.3">
      <c r="A11085" s="45">
        <v>45644</v>
      </c>
      <c r="B11085" s="396" t="s">
        <v>14104</v>
      </c>
      <c r="C11085" s="5" t="s">
        <v>14472</v>
      </c>
      <c r="D11085" s="5" t="s">
        <v>294</v>
      </c>
      <c r="E11085" s="43">
        <v>31000</v>
      </c>
      <c r="F11085" s="43"/>
      <c r="G11085" s="48">
        <f t="shared" si="279"/>
        <v>72372.878476084501</v>
      </c>
      <c r="H11085" s="389" t="s">
        <v>9567</v>
      </c>
    </row>
    <row r="11086" spans="1:8" x14ac:dyDescent="0.3">
      <c r="A11086" s="45">
        <v>45644</v>
      </c>
      <c r="B11086" s="396" t="s">
        <v>13709</v>
      </c>
      <c r="C11086" s="5" t="s">
        <v>11174</v>
      </c>
      <c r="D11086" s="5" t="s">
        <v>15152</v>
      </c>
      <c r="E11086" s="43">
        <v>23000</v>
      </c>
      <c r="F11086" s="43"/>
      <c r="G11086" s="48">
        <f t="shared" si="279"/>
        <v>49372.878476084501</v>
      </c>
      <c r="H11086" s="389" t="s">
        <v>9567</v>
      </c>
    </row>
    <row r="11087" spans="1:8" x14ac:dyDescent="0.3">
      <c r="A11087" s="45">
        <v>45644</v>
      </c>
      <c r="B11087" s="394" t="s">
        <v>12133</v>
      </c>
      <c r="C11087" s="186" t="s">
        <v>54</v>
      </c>
      <c r="D11087" s="186" t="s">
        <v>15153</v>
      </c>
      <c r="E11087" s="187">
        <v>5000</v>
      </c>
      <c r="F11087" s="43"/>
      <c r="G11087" s="48">
        <f t="shared" si="279"/>
        <v>44372.878476084501</v>
      </c>
      <c r="H11087" s="389" t="s">
        <v>9567</v>
      </c>
    </row>
    <row r="11088" spans="1:8" x14ac:dyDescent="0.3">
      <c r="A11088" s="45">
        <v>45644</v>
      </c>
      <c r="B11088" s="396" t="s">
        <v>12133</v>
      </c>
      <c r="C11088" s="5" t="s">
        <v>5162</v>
      </c>
      <c r="D11088" s="5" t="s">
        <v>294</v>
      </c>
      <c r="E11088" s="43">
        <v>6000</v>
      </c>
      <c r="F11088" s="43"/>
      <c r="G11088" s="48">
        <f t="shared" si="279"/>
        <v>38372.878476084501</v>
      </c>
      <c r="H11088" s="389" t="s">
        <v>9567</v>
      </c>
    </row>
    <row r="11089" spans="1:9" x14ac:dyDescent="0.3">
      <c r="A11089" s="45">
        <v>45644</v>
      </c>
      <c r="B11089" s="396" t="s">
        <v>12080</v>
      </c>
      <c r="C11089" s="5" t="s">
        <v>84</v>
      </c>
      <c r="D11089" s="5" t="s">
        <v>15154</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14126</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12230</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11434</v>
      </c>
      <c r="E11093" s="43">
        <v>3000</v>
      </c>
      <c r="F11093" s="43"/>
      <c r="G11093" s="48">
        <f t="shared" si="280"/>
        <v>4502.878476084501</v>
      </c>
      <c r="H11093" s="389" t="s">
        <v>9567</v>
      </c>
    </row>
    <row r="11094" spans="1:9" x14ac:dyDescent="0.3">
      <c r="A11094" s="45">
        <v>45645</v>
      </c>
      <c r="B11094" s="396" t="s">
        <v>25</v>
      </c>
      <c r="C11094" s="5" t="s">
        <v>26</v>
      </c>
      <c r="D11094" s="5" t="s">
        <v>15156</v>
      </c>
      <c r="E11094" s="43">
        <v>600</v>
      </c>
      <c r="F11094" s="43"/>
      <c r="G11094" s="48">
        <f t="shared" si="280"/>
        <v>3902.878476084501</v>
      </c>
      <c r="H11094" s="389" t="s">
        <v>9567</v>
      </c>
    </row>
    <row r="11095" spans="1:9" x14ac:dyDescent="0.3">
      <c r="A11095" s="45">
        <v>45646</v>
      </c>
      <c r="B11095" s="565"/>
      <c r="C11095" s="480"/>
      <c r="D11095" s="491" t="s">
        <v>4106</v>
      </c>
      <c r="E11095" s="480"/>
      <c r="F11095" s="43">
        <v>200000</v>
      </c>
      <c r="G11095" s="48">
        <f t="shared" si="280"/>
        <v>203902.8784760845</v>
      </c>
      <c r="H11095" s="389" t="s">
        <v>9567</v>
      </c>
    </row>
    <row r="11096" spans="1:9" x14ac:dyDescent="0.3">
      <c r="A11096" s="45">
        <v>45646</v>
      </c>
      <c r="B11096" s="396" t="s">
        <v>13902</v>
      </c>
      <c r="C11096" s="5" t="s">
        <v>30</v>
      </c>
      <c r="D11096" s="5" t="s">
        <v>15161</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15146</v>
      </c>
      <c r="C11098" s="5" t="s">
        <v>5793</v>
      </c>
      <c r="D11098" s="5" t="s">
        <v>14388</v>
      </c>
      <c r="E11098" s="43">
        <v>3500</v>
      </c>
      <c r="F11098" s="43"/>
      <c r="G11098" s="48">
        <f t="shared" si="280"/>
        <v>149902.8784760845</v>
      </c>
      <c r="H11098" s="389" t="s">
        <v>9567</v>
      </c>
    </row>
    <row r="11099" spans="1:9" x14ac:dyDescent="0.3">
      <c r="A11099" s="45">
        <v>45646</v>
      </c>
      <c r="B11099" s="396" t="s">
        <v>15162</v>
      </c>
      <c r="C11099" s="5" t="s">
        <v>11174</v>
      </c>
      <c r="D11099" s="5" t="s">
        <v>15163</v>
      </c>
      <c r="E11099" s="43">
        <f>2300+2360</f>
        <v>4660</v>
      </c>
      <c r="F11099" s="43"/>
      <c r="G11099" s="48">
        <f t="shared" si="280"/>
        <v>145242.8784760845</v>
      </c>
      <c r="H11099" s="389" t="s">
        <v>9567</v>
      </c>
    </row>
    <row r="11100" spans="1:9" x14ac:dyDescent="0.3">
      <c r="A11100" s="45">
        <v>45646</v>
      </c>
      <c r="B11100" s="396" t="s">
        <v>14685</v>
      </c>
      <c r="C11100" s="5" t="s">
        <v>11174</v>
      </c>
      <c r="D11100" s="5" t="s">
        <v>15164</v>
      </c>
      <c r="E11100" s="43">
        <f>750+1600</f>
        <v>2350</v>
      </c>
      <c r="F11100" s="43"/>
      <c r="G11100" s="48">
        <f t="shared" si="280"/>
        <v>142892.8784760845</v>
      </c>
      <c r="H11100" s="389" t="s">
        <v>9567</v>
      </c>
    </row>
    <row r="11101" spans="1:9" x14ac:dyDescent="0.3">
      <c r="A11101" s="45">
        <v>45646</v>
      </c>
      <c r="B11101" s="396" t="s">
        <v>15146</v>
      </c>
      <c r="C11101" s="5" t="s">
        <v>11174</v>
      </c>
      <c r="D11101" s="5" t="s">
        <v>15167</v>
      </c>
      <c r="E11101" s="43">
        <v>1370</v>
      </c>
      <c r="F11101" s="43"/>
      <c r="G11101" s="48">
        <f t="shared" si="280"/>
        <v>141522.8784760845</v>
      </c>
      <c r="H11101" s="389" t="s">
        <v>9567</v>
      </c>
    </row>
    <row r="11102" spans="1:9" x14ac:dyDescent="0.3">
      <c r="A11102" s="45">
        <v>45646</v>
      </c>
      <c r="B11102" s="396" t="s">
        <v>14031</v>
      </c>
      <c r="C11102" s="5" t="s">
        <v>26</v>
      </c>
      <c r="D11102" s="5" t="s">
        <v>15166</v>
      </c>
      <c r="E11102" s="43">
        <v>10000</v>
      </c>
      <c r="F11102" s="43"/>
      <c r="G11102" s="48">
        <f t="shared" si="280"/>
        <v>131522.8784760845</v>
      </c>
      <c r="H11102" s="389" t="s">
        <v>9567</v>
      </c>
      <c r="I11102" s="52">
        <v>2360</v>
      </c>
    </row>
    <row r="11103" spans="1:9" x14ac:dyDescent="0.3">
      <c r="A11103" s="45">
        <v>45646</v>
      </c>
      <c r="B11103" s="396" t="s">
        <v>14685</v>
      </c>
      <c r="C11103" s="5" t="s">
        <v>5793</v>
      </c>
      <c r="D11103" s="5" t="s">
        <v>40</v>
      </c>
      <c r="E11103" s="43">
        <v>1000</v>
      </c>
      <c r="F11103" s="43"/>
      <c r="G11103" s="48">
        <f t="shared" si="280"/>
        <v>130522.8784760845</v>
      </c>
      <c r="H11103" s="389" t="s">
        <v>9567</v>
      </c>
    </row>
    <row r="11104" spans="1:9" x14ac:dyDescent="0.3">
      <c r="A11104" s="45">
        <v>45646</v>
      </c>
      <c r="B11104" s="396" t="s">
        <v>14882</v>
      </c>
      <c r="C11104" s="5" t="s">
        <v>5793</v>
      </c>
      <c r="D11104" s="5" t="s">
        <v>15165</v>
      </c>
      <c r="E11104" s="43">
        <v>5000</v>
      </c>
      <c r="F11104" s="43"/>
      <c r="G11104" s="48">
        <f t="shared" si="280"/>
        <v>125522.8784760845</v>
      </c>
      <c r="H11104" s="389" t="s">
        <v>9567</v>
      </c>
    </row>
    <row r="11105" spans="1:9" x14ac:dyDescent="0.3">
      <c r="A11105" s="45">
        <v>45646</v>
      </c>
      <c r="B11105" s="396" t="s">
        <v>25</v>
      </c>
      <c r="C11105" s="5" t="s">
        <v>7214</v>
      </c>
      <c r="D11105" s="5" t="s">
        <v>15168</v>
      </c>
      <c r="E11105" s="43">
        <v>3500</v>
      </c>
      <c r="F11105" s="43"/>
      <c r="G11105" s="48">
        <f t="shared" si="280"/>
        <v>122022.8784760845</v>
      </c>
      <c r="H11105" s="389" t="s">
        <v>9567</v>
      </c>
      <c r="I11105" s="52">
        <v>250</v>
      </c>
    </row>
    <row r="11106" spans="1:9" x14ac:dyDescent="0.3">
      <c r="A11106" s="45">
        <v>45647</v>
      </c>
      <c r="B11106" s="396" t="s">
        <v>15169</v>
      </c>
      <c r="C11106" s="5" t="s">
        <v>26</v>
      </c>
      <c r="D11106" s="5" t="s">
        <v>15170</v>
      </c>
      <c r="E11106" s="43">
        <v>10000</v>
      </c>
      <c r="F11106" s="43"/>
      <c r="G11106" s="48">
        <f t="shared" si="280"/>
        <v>112022.8784760845</v>
      </c>
      <c r="H11106" s="389" t="s">
        <v>9567</v>
      </c>
    </row>
    <row r="11107" spans="1:9" x14ac:dyDescent="0.3">
      <c r="A11107" s="45">
        <v>45647</v>
      </c>
      <c r="B11107" s="396" t="s">
        <v>15144</v>
      </c>
      <c r="C11107" s="5" t="s">
        <v>11174</v>
      </c>
      <c r="D11107" s="5" t="s">
        <v>15172</v>
      </c>
      <c r="E11107" s="43">
        <v>4900</v>
      </c>
      <c r="F11107" s="43"/>
      <c r="G11107" s="48">
        <f t="shared" si="280"/>
        <v>107122.8784760845</v>
      </c>
      <c r="H11107" s="389" t="s">
        <v>9567</v>
      </c>
      <c r="I11107" s="52">
        <v>350</v>
      </c>
    </row>
    <row r="11108" spans="1:9" x14ac:dyDescent="0.3">
      <c r="A11108" s="45">
        <v>45647</v>
      </c>
      <c r="B11108" s="396" t="s">
        <v>15001</v>
      </c>
      <c r="C11108" s="5" t="s">
        <v>11174</v>
      </c>
      <c r="D11108" s="5" t="s">
        <v>15173</v>
      </c>
      <c r="E11108" s="43">
        <v>1500</v>
      </c>
      <c r="F11108" s="43"/>
      <c r="G11108" s="48">
        <f t="shared" si="280"/>
        <v>105622.8784760845</v>
      </c>
      <c r="H11108" s="389" t="s">
        <v>9567</v>
      </c>
    </row>
    <row r="11109" spans="1:9" x14ac:dyDescent="0.3">
      <c r="A11109" s="45">
        <v>45647</v>
      </c>
      <c r="B11109" s="396" t="s">
        <v>15144</v>
      </c>
      <c r="C11109" s="5" t="s">
        <v>11174</v>
      </c>
      <c r="D11109" s="5" t="s">
        <v>13685</v>
      </c>
      <c r="E11109" s="43">
        <v>3540</v>
      </c>
      <c r="F11109" s="43"/>
      <c r="G11109" s="48">
        <f t="shared" si="280"/>
        <v>102082.8784760845</v>
      </c>
      <c r="H11109" s="389" t="s">
        <v>9567</v>
      </c>
    </row>
    <row r="11110" spans="1:9" x14ac:dyDescent="0.3">
      <c r="A11110" s="45">
        <v>45647</v>
      </c>
      <c r="B11110" s="396" t="s">
        <v>13902</v>
      </c>
      <c r="C11110" s="5" t="s">
        <v>30</v>
      </c>
      <c r="D11110" s="5" t="s">
        <v>14126</v>
      </c>
      <c r="E11110" s="43">
        <v>2000</v>
      </c>
      <c r="F11110" s="43"/>
      <c r="G11110" s="48">
        <f t="shared" si="280"/>
        <v>100082.8784760845</v>
      </c>
      <c r="H11110" s="389" t="s">
        <v>9567</v>
      </c>
    </row>
    <row r="11111" spans="1:9" x14ac:dyDescent="0.3">
      <c r="A11111" s="45">
        <v>45647</v>
      </c>
      <c r="B11111" s="396" t="s">
        <v>13709</v>
      </c>
      <c r="C11111" s="5" t="s">
        <v>11174</v>
      </c>
      <c r="D11111" s="5" t="s">
        <v>15171</v>
      </c>
      <c r="E11111" s="43">
        <v>25000</v>
      </c>
      <c r="F11111" s="43"/>
      <c r="G11111" s="48">
        <f t="shared" si="280"/>
        <v>75082.878476084501</v>
      </c>
      <c r="H11111" s="389" t="s">
        <v>9567</v>
      </c>
      <c r="I11111" s="52">
        <f>E11109+E11108+E11107+E11110</f>
        <v>11940</v>
      </c>
    </row>
    <row r="11112" spans="1:9" x14ac:dyDescent="0.3">
      <c r="A11112" s="45">
        <v>45647</v>
      </c>
      <c r="B11112" s="396" t="s">
        <v>15001</v>
      </c>
      <c r="C11112" s="5" t="s">
        <v>5793</v>
      </c>
      <c r="D11112" s="5" t="s">
        <v>15174</v>
      </c>
      <c r="E11112" s="43">
        <v>1030</v>
      </c>
      <c r="F11112" s="43"/>
      <c r="G11112" s="48">
        <f t="shared" si="280"/>
        <v>74052.878476084501</v>
      </c>
      <c r="H11112" s="389" t="s">
        <v>9567</v>
      </c>
      <c r="I11112" s="52">
        <v>300</v>
      </c>
    </row>
    <row r="11113" spans="1:9" x14ac:dyDescent="0.3">
      <c r="A11113" s="45">
        <v>45647</v>
      </c>
      <c r="B11113" s="406" t="s">
        <v>15144</v>
      </c>
      <c r="C11113" s="61" t="s">
        <v>11174</v>
      </c>
      <c r="D11113" s="61" t="s">
        <v>15172</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11434</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15176</v>
      </c>
      <c r="E11115" s="43">
        <v>500</v>
      </c>
      <c r="F11115" s="43"/>
      <c r="G11115" s="48">
        <f t="shared" si="280"/>
        <v>60552.878476084501</v>
      </c>
      <c r="H11115" s="389" t="s">
        <v>9567</v>
      </c>
    </row>
    <row r="11116" spans="1:9" x14ac:dyDescent="0.3">
      <c r="A11116" s="45">
        <v>45647</v>
      </c>
      <c r="B11116" s="396" t="s">
        <v>14031</v>
      </c>
      <c r="C11116" s="5" t="s">
        <v>26</v>
      </c>
      <c r="D11116" s="5" t="s">
        <v>15177</v>
      </c>
      <c r="E11116" s="43">
        <v>1000</v>
      </c>
      <c r="F11116" s="43"/>
      <c r="G11116" s="48">
        <f t="shared" si="280"/>
        <v>59552.878476084501</v>
      </c>
      <c r="H11116" s="389" t="s">
        <v>9567</v>
      </c>
    </row>
    <row r="11117" spans="1:9" x14ac:dyDescent="0.3">
      <c r="A11117" s="45">
        <v>45647</v>
      </c>
      <c r="B11117" s="396" t="s">
        <v>25</v>
      </c>
      <c r="C11117" s="5" t="s">
        <v>84</v>
      </c>
      <c r="D11117" s="5" t="s">
        <v>15179</v>
      </c>
      <c r="E11117" s="43">
        <v>15000</v>
      </c>
      <c r="F11117" s="43"/>
      <c r="G11117" s="48">
        <f t="shared" si="280"/>
        <v>44552.878476084501</v>
      </c>
      <c r="H11117" s="389" t="s">
        <v>9567</v>
      </c>
    </row>
    <row r="11118" spans="1:9" x14ac:dyDescent="0.3">
      <c r="A11118" s="45">
        <v>45647</v>
      </c>
      <c r="B11118" s="396" t="s">
        <v>13902</v>
      </c>
      <c r="C11118" s="5" t="s">
        <v>84</v>
      </c>
      <c r="D11118" s="5" t="s">
        <v>15178</v>
      </c>
      <c r="E11118" s="43">
        <v>3000</v>
      </c>
      <c r="F11118" s="43"/>
      <c r="G11118" s="48">
        <f t="shared" si="280"/>
        <v>41552.878476084501</v>
      </c>
      <c r="H11118" s="389" t="s">
        <v>9567</v>
      </c>
      <c r="I11118" s="52">
        <v>10000</v>
      </c>
    </row>
    <row r="11119" spans="1:9" x14ac:dyDescent="0.3">
      <c r="A11119" s="45">
        <v>45647</v>
      </c>
      <c r="B11119" s="396" t="s">
        <v>14685</v>
      </c>
      <c r="C11119" s="5" t="s">
        <v>5793</v>
      </c>
      <c r="D11119" s="5" t="s">
        <v>40</v>
      </c>
      <c r="E11119" s="43">
        <v>1800</v>
      </c>
      <c r="F11119" s="43"/>
      <c r="G11119" s="48">
        <f t="shared" si="280"/>
        <v>39752.878476084501</v>
      </c>
      <c r="H11119" s="389" t="s">
        <v>9567</v>
      </c>
      <c r="I11119" s="52">
        <v>2000</v>
      </c>
    </row>
    <row r="11120" spans="1:9" x14ac:dyDescent="0.3">
      <c r="A11120" s="45">
        <v>45647</v>
      </c>
      <c r="B11120" s="396" t="s">
        <v>14882</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15144</v>
      </c>
      <c r="C11121" s="5" t="s">
        <v>11174</v>
      </c>
      <c r="D11121" s="5" t="s">
        <v>11242</v>
      </c>
      <c r="E11121" s="43">
        <v>13000</v>
      </c>
      <c r="F11121" s="43"/>
      <c r="G11121" s="48">
        <f t="shared" si="280"/>
        <v>24952.878476084501</v>
      </c>
      <c r="H11121" s="389" t="s">
        <v>9567</v>
      </c>
    </row>
    <row r="11122" spans="1:9" x14ac:dyDescent="0.3">
      <c r="A11122" s="45">
        <v>45649</v>
      </c>
      <c r="B11122" s="396" t="s">
        <v>14590</v>
      </c>
      <c r="C11122" s="5" t="s">
        <v>11174</v>
      </c>
      <c r="D11122" s="5" t="s">
        <v>15180</v>
      </c>
      <c r="E11122" s="43">
        <v>17000</v>
      </c>
      <c r="F11122" s="43"/>
      <c r="G11122" s="48">
        <f t="shared" si="280"/>
        <v>7952.878476084501</v>
      </c>
      <c r="H11122" s="389" t="s">
        <v>9567</v>
      </c>
    </row>
    <row r="11123" spans="1:9" x14ac:dyDescent="0.3">
      <c r="A11123" s="45">
        <v>45649</v>
      </c>
      <c r="B11123" s="396" t="s">
        <v>25</v>
      </c>
      <c r="C11123" s="5" t="s">
        <v>26</v>
      </c>
      <c r="D11123" s="5" t="s">
        <v>11434</v>
      </c>
      <c r="E11123" s="43">
        <v>3500</v>
      </c>
      <c r="F11123" s="43"/>
      <c r="G11123" s="48">
        <f t="shared" si="280"/>
        <v>4452.878476084501</v>
      </c>
      <c r="H11123" s="389" t="s">
        <v>9567</v>
      </c>
      <c r="I11123" s="52">
        <v>1030</v>
      </c>
    </row>
    <row r="11124" spans="1:9" x14ac:dyDescent="0.3">
      <c r="A11124" s="45">
        <v>45649</v>
      </c>
      <c r="B11124" s="565"/>
      <c r="C11124" s="480"/>
      <c r="D11124" s="491" t="s">
        <v>4106</v>
      </c>
      <c r="E11124" s="480"/>
      <c r="F11124" s="43">
        <v>200000</v>
      </c>
      <c r="G11124" s="48">
        <f t="shared" si="280"/>
        <v>204452.8784760845</v>
      </c>
      <c r="H11124" s="389" t="s">
        <v>9567</v>
      </c>
      <c r="I11124" s="52">
        <v>9500</v>
      </c>
    </row>
    <row r="11125" spans="1:9" x14ac:dyDescent="0.3">
      <c r="A11125" s="45">
        <v>45649</v>
      </c>
      <c r="B11125" s="396" t="s">
        <v>15033</v>
      </c>
      <c r="C11125" s="5" t="s">
        <v>9758</v>
      </c>
      <c r="D11125" s="5" t="s">
        <v>15181</v>
      </c>
      <c r="E11125" s="43">
        <v>5000</v>
      </c>
      <c r="F11125" s="43"/>
      <c r="G11125" s="48">
        <f t="shared" si="280"/>
        <v>199452.8784760845</v>
      </c>
      <c r="H11125" s="389" t="s">
        <v>9567</v>
      </c>
      <c r="I11125" s="52">
        <f>SUM(I11123:I11124)</f>
        <v>10530</v>
      </c>
    </row>
    <row r="11126" spans="1:9" x14ac:dyDescent="0.3">
      <c r="A11126" s="45">
        <v>45649</v>
      </c>
      <c r="B11126" s="396" t="s">
        <v>13833</v>
      </c>
      <c r="C11126" s="5" t="s">
        <v>84</v>
      </c>
      <c r="D11126" s="5" t="s">
        <v>15182</v>
      </c>
      <c r="E11126" s="43">
        <v>5000</v>
      </c>
      <c r="F11126" s="43"/>
      <c r="G11126" s="48">
        <f t="shared" si="280"/>
        <v>194452.8784760845</v>
      </c>
      <c r="H11126" s="389" t="s">
        <v>9567</v>
      </c>
      <c r="I11126" s="52">
        <f>I11120-I11125</f>
        <v>1470</v>
      </c>
    </row>
    <row r="11127" spans="1:9" x14ac:dyDescent="0.3">
      <c r="A11127" s="45">
        <v>45649</v>
      </c>
      <c r="B11127" s="396" t="s">
        <v>13981</v>
      </c>
      <c r="C11127" s="5" t="s">
        <v>84</v>
      </c>
      <c r="D11127" s="5" t="s">
        <v>14977</v>
      </c>
      <c r="E11127" s="43">
        <v>1000</v>
      </c>
      <c r="F11127" s="43"/>
      <c r="G11127" s="48">
        <f t="shared" si="280"/>
        <v>193452.8784760845</v>
      </c>
      <c r="H11127" s="389" t="s">
        <v>9567</v>
      </c>
      <c r="I11127" s="52">
        <v>320</v>
      </c>
    </row>
    <row r="11128" spans="1:9" x14ac:dyDescent="0.3">
      <c r="A11128" s="45">
        <v>45649</v>
      </c>
      <c r="B11128" s="396" t="s">
        <v>13138</v>
      </c>
      <c r="C11128" s="5" t="s">
        <v>11174</v>
      </c>
      <c r="D11128" s="5" t="s">
        <v>15183</v>
      </c>
      <c r="E11128" s="43">
        <v>30000</v>
      </c>
      <c r="F11128" s="43"/>
      <c r="G11128" s="48">
        <f t="shared" si="280"/>
        <v>163452.8784760845</v>
      </c>
      <c r="H11128" s="389" t="s">
        <v>9567</v>
      </c>
      <c r="I11128" s="52">
        <f>I11126-I11127</f>
        <v>1150</v>
      </c>
    </row>
    <row r="11129" spans="1:9" x14ac:dyDescent="0.3">
      <c r="A11129" s="45">
        <v>45649</v>
      </c>
      <c r="B11129" s="396" t="s">
        <v>13138</v>
      </c>
      <c r="C11129" s="5" t="s">
        <v>30</v>
      </c>
      <c r="D11129" s="5" t="s">
        <v>15184</v>
      </c>
      <c r="E11129" s="43">
        <v>2000</v>
      </c>
      <c r="F11129" s="43"/>
      <c r="G11129" s="48">
        <f t="shared" si="280"/>
        <v>161452.8784760845</v>
      </c>
      <c r="H11129" s="389" t="s">
        <v>9567</v>
      </c>
    </row>
    <row r="11130" spans="1:9" x14ac:dyDescent="0.3">
      <c r="A11130" s="45">
        <v>45649</v>
      </c>
      <c r="B11130" s="396" t="s">
        <v>14701</v>
      </c>
      <c r="C11130" s="5" t="s">
        <v>84</v>
      </c>
      <c r="D11130" s="5" t="s">
        <v>15185</v>
      </c>
      <c r="E11130" s="43">
        <v>20000</v>
      </c>
      <c r="F11130" s="43"/>
      <c r="G11130" s="48">
        <f t="shared" si="280"/>
        <v>141452.8784760845</v>
      </c>
      <c r="H11130" s="389" t="s">
        <v>9567</v>
      </c>
    </row>
    <row r="11131" spans="1:9" x14ac:dyDescent="0.3">
      <c r="A11131" s="45">
        <v>45649</v>
      </c>
      <c r="B11131" s="396" t="s">
        <v>14701</v>
      </c>
      <c r="C11131" s="5" t="s">
        <v>84</v>
      </c>
      <c r="D11131" s="5" t="s">
        <v>15186</v>
      </c>
      <c r="E11131" s="43">
        <v>10000</v>
      </c>
      <c r="F11131" s="43"/>
      <c r="G11131" s="48">
        <f t="shared" si="280"/>
        <v>131452.8784760845</v>
      </c>
      <c r="H11131" s="389" t="s">
        <v>9567</v>
      </c>
    </row>
    <row r="11132" spans="1:9" x14ac:dyDescent="0.3">
      <c r="A11132" s="45">
        <v>45649</v>
      </c>
      <c r="B11132" s="396" t="s">
        <v>14701</v>
      </c>
      <c r="C11132" s="5" t="s">
        <v>84</v>
      </c>
      <c r="D11132" s="5" t="s">
        <v>15187</v>
      </c>
      <c r="E11132" s="43">
        <v>5000</v>
      </c>
      <c r="F11132" s="43"/>
      <c r="G11132" s="48">
        <f t="shared" si="280"/>
        <v>126452.8784760845</v>
      </c>
      <c r="H11132" s="389" t="s">
        <v>9567</v>
      </c>
    </row>
    <row r="11133" spans="1:9" x14ac:dyDescent="0.3">
      <c r="A11133" s="45">
        <v>45649</v>
      </c>
      <c r="B11133" s="396" t="s">
        <v>14701</v>
      </c>
      <c r="C11133" s="5" t="s">
        <v>84</v>
      </c>
      <c r="D11133" s="5" t="s">
        <v>15188</v>
      </c>
      <c r="E11133" s="43">
        <v>2000</v>
      </c>
      <c r="F11133" s="43"/>
      <c r="G11133" s="48">
        <f t="shared" si="280"/>
        <v>124452.8784760845</v>
      </c>
      <c r="H11133" s="389" t="s">
        <v>9567</v>
      </c>
    </row>
    <row r="11134" spans="1:9" x14ac:dyDescent="0.3">
      <c r="A11134" s="45">
        <v>45649</v>
      </c>
      <c r="B11134" s="396" t="s">
        <v>14701</v>
      </c>
      <c r="C11134" s="5" t="s">
        <v>84</v>
      </c>
      <c r="D11134" s="5" t="s">
        <v>15189</v>
      </c>
      <c r="E11134" s="43">
        <v>3000</v>
      </c>
      <c r="F11134" s="43"/>
      <c r="G11134" s="48">
        <f t="shared" si="280"/>
        <v>121452.8784760845</v>
      </c>
      <c r="H11134" s="389" t="s">
        <v>9567</v>
      </c>
    </row>
    <row r="11135" spans="1:9" x14ac:dyDescent="0.3">
      <c r="A11135" s="45">
        <v>45649</v>
      </c>
      <c r="B11135" s="396" t="s">
        <v>14701</v>
      </c>
      <c r="C11135" s="5" t="s">
        <v>18</v>
      </c>
      <c r="D11135" s="5" t="s">
        <v>4187</v>
      </c>
      <c r="E11135" s="43">
        <v>5000</v>
      </c>
      <c r="F11135" s="43"/>
      <c r="G11135" s="48">
        <f t="shared" si="280"/>
        <v>116452.8784760845</v>
      </c>
      <c r="H11135" s="389" t="s">
        <v>9567</v>
      </c>
    </row>
    <row r="11136" spans="1:9" x14ac:dyDescent="0.3">
      <c r="A11136" s="45">
        <v>45649</v>
      </c>
      <c r="B11136" s="396" t="s">
        <v>15144</v>
      </c>
      <c r="C11136" s="5" t="s">
        <v>5793</v>
      </c>
      <c r="D11136" s="5" t="s">
        <v>40</v>
      </c>
      <c r="E11136" s="43">
        <v>1000</v>
      </c>
      <c r="F11136" s="43"/>
      <c r="G11136" s="48">
        <f t="shared" si="280"/>
        <v>115452.8784760845</v>
      </c>
      <c r="H11136" s="389" t="s">
        <v>9567</v>
      </c>
    </row>
    <row r="11137" spans="1:10" x14ac:dyDescent="0.3">
      <c r="A11137" s="45">
        <v>45649</v>
      </c>
      <c r="B11137" s="396" t="s">
        <v>15162</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11434</v>
      </c>
      <c r="E11139" s="43">
        <v>3000</v>
      </c>
      <c r="F11139" s="43"/>
      <c r="G11139" s="48">
        <f t="shared" si="280"/>
        <v>106452.8784760845</v>
      </c>
      <c r="H11139" s="389" t="s">
        <v>9567</v>
      </c>
    </row>
    <row r="11140" spans="1:10" x14ac:dyDescent="0.3">
      <c r="A11140" s="45">
        <v>45650</v>
      </c>
      <c r="B11140" s="396" t="s">
        <v>12230</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15190</v>
      </c>
      <c r="E11141" s="43">
        <v>5000</v>
      </c>
      <c r="F11141" s="43"/>
      <c r="G11141" s="48">
        <f t="shared" si="280"/>
        <v>99952.878476084501</v>
      </c>
      <c r="H11141" s="389" t="s">
        <v>9567</v>
      </c>
    </row>
    <row r="11142" spans="1:10" x14ac:dyDescent="0.3">
      <c r="A11142" s="45">
        <v>45650</v>
      </c>
      <c r="B11142" s="396" t="s">
        <v>15162</v>
      </c>
      <c r="C11142" s="5" t="s">
        <v>84</v>
      </c>
      <c r="D11142" s="5" t="s">
        <v>15191</v>
      </c>
      <c r="E11142" s="43">
        <v>1000</v>
      </c>
      <c r="F11142" s="43"/>
      <c r="G11142" s="48">
        <f t="shared" ref="G11142:G11208" si="281">G11141+F11142-E11142</f>
        <v>98952.878476084501</v>
      </c>
      <c r="H11142" s="389" t="s">
        <v>9567</v>
      </c>
    </row>
    <row r="11143" spans="1:10" x14ac:dyDescent="0.3">
      <c r="A11143" s="45">
        <v>45650</v>
      </c>
      <c r="B11143" s="396" t="s">
        <v>14248</v>
      </c>
      <c r="C11143" s="5" t="s">
        <v>11174</v>
      </c>
      <c r="D11143" s="5" t="s">
        <v>14682</v>
      </c>
      <c r="E11143" s="43">
        <v>250</v>
      </c>
      <c r="F11143" s="43"/>
      <c r="G11143" s="48">
        <f t="shared" si="281"/>
        <v>98702.878476084501</v>
      </c>
      <c r="H11143" s="389" t="s">
        <v>9567</v>
      </c>
    </row>
    <row r="11144" spans="1:10" x14ac:dyDescent="0.3">
      <c r="A11144" s="45">
        <v>45650</v>
      </c>
      <c r="B11144" s="396" t="s">
        <v>14701</v>
      </c>
      <c r="C11144" s="5" t="s">
        <v>11174</v>
      </c>
      <c r="D11144" s="5" t="s">
        <v>15193</v>
      </c>
      <c r="E11144" s="43">
        <v>18400</v>
      </c>
      <c r="F11144" s="43"/>
      <c r="G11144" s="48">
        <f t="shared" si="281"/>
        <v>80302.878476084501</v>
      </c>
      <c r="H11144" s="389" t="s">
        <v>9567</v>
      </c>
    </row>
    <row r="11145" spans="1:10" x14ac:dyDescent="0.3">
      <c r="A11145" s="45">
        <v>45650</v>
      </c>
      <c r="B11145" s="396" t="s">
        <v>5958</v>
      </c>
      <c r="C11145" s="5" t="s">
        <v>14586</v>
      </c>
      <c r="D11145" s="5" t="s">
        <v>15192</v>
      </c>
      <c r="E11145" s="43">
        <v>3000</v>
      </c>
      <c r="F11145" s="43"/>
      <c r="G11145" s="48">
        <f t="shared" si="281"/>
        <v>77302.878476084501</v>
      </c>
      <c r="H11145" s="389" t="s">
        <v>9567</v>
      </c>
    </row>
    <row r="11146" spans="1:10" x14ac:dyDescent="0.3">
      <c r="A11146" s="45">
        <v>45650</v>
      </c>
      <c r="B11146" s="396" t="s">
        <v>13321</v>
      </c>
      <c r="C11146" s="5" t="s">
        <v>14400</v>
      </c>
      <c r="D11146" s="5" t="s">
        <v>294</v>
      </c>
      <c r="E11146" s="43">
        <v>50000</v>
      </c>
      <c r="F11146" s="43"/>
      <c r="G11146" s="48">
        <f t="shared" si="281"/>
        <v>27302.878476084501</v>
      </c>
      <c r="H11146" s="389" t="s">
        <v>9567</v>
      </c>
    </row>
    <row r="11147" spans="1:10" x14ac:dyDescent="0.3">
      <c r="A11147" s="45">
        <v>45650</v>
      </c>
      <c r="B11147" s="396" t="s">
        <v>14524</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12230</v>
      </c>
      <c r="C11149" s="5" t="s">
        <v>11174</v>
      </c>
      <c r="D11149" s="5" t="s">
        <v>15194</v>
      </c>
      <c r="E11149" s="43">
        <v>4000</v>
      </c>
      <c r="F11149" s="43"/>
      <c r="G11149" s="48">
        <f t="shared" si="281"/>
        <v>5702.878476084501</v>
      </c>
      <c r="H11149" s="389" t="s">
        <v>9567</v>
      </c>
      <c r="J11149" s="52">
        <v>15000</v>
      </c>
    </row>
    <row r="11150" spans="1:10" x14ac:dyDescent="0.3">
      <c r="A11150" s="45">
        <v>45652</v>
      </c>
      <c r="B11150" s="396" t="s">
        <v>25</v>
      </c>
      <c r="C11150" s="5" t="s">
        <v>26</v>
      </c>
      <c r="D11150" s="5" t="s">
        <v>11434</v>
      </c>
      <c r="E11150" s="43">
        <v>4000</v>
      </c>
      <c r="F11150" s="43"/>
      <c r="G11150" s="48">
        <f t="shared" si="281"/>
        <v>1702.878476084501</v>
      </c>
      <c r="H11150" s="389" t="s">
        <v>9567</v>
      </c>
      <c r="J11150" s="52">
        <v>15000</v>
      </c>
    </row>
    <row r="11151" spans="1:10" x14ac:dyDescent="0.3">
      <c r="A11151" s="45">
        <v>45652</v>
      </c>
      <c r="B11151" s="565"/>
      <c r="C11151" s="480"/>
      <c r="D11151" s="491" t="s">
        <v>4106</v>
      </c>
      <c r="E11151" s="480"/>
      <c r="F11151" s="43">
        <v>200000</v>
      </c>
      <c r="G11151" s="48">
        <f t="shared" si="281"/>
        <v>201702.8784760845</v>
      </c>
      <c r="H11151" s="389" t="s">
        <v>9567</v>
      </c>
      <c r="J11151" s="52">
        <v>75000</v>
      </c>
    </row>
    <row r="11152" spans="1:10" x14ac:dyDescent="0.3">
      <c r="A11152" s="45">
        <v>45652</v>
      </c>
      <c r="B11152" s="396" t="s">
        <v>13321</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15197</v>
      </c>
      <c r="E11153" s="43">
        <v>15000</v>
      </c>
      <c r="F11153" s="43"/>
      <c r="G11153" s="48">
        <f t="shared" si="281"/>
        <v>171702.8784760845</v>
      </c>
      <c r="H11153" s="389" t="s">
        <v>9567</v>
      </c>
    </row>
    <row r="11154" spans="1:10" x14ac:dyDescent="0.3">
      <c r="A11154" s="45">
        <v>45652</v>
      </c>
      <c r="B11154" s="396" t="s">
        <v>12133</v>
      </c>
      <c r="C11154" s="5" t="s">
        <v>5162</v>
      </c>
      <c r="D11154" s="5" t="s">
        <v>15204</v>
      </c>
      <c r="E11154" s="43">
        <v>15000</v>
      </c>
      <c r="F11154" s="43"/>
      <c r="G11154" s="48">
        <f t="shared" si="281"/>
        <v>156702.8784760845</v>
      </c>
      <c r="H11154" s="389" t="s">
        <v>9567</v>
      </c>
      <c r="J11154" s="52">
        <v>20000</v>
      </c>
    </row>
    <row r="11155" spans="1:10" x14ac:dyDescent="0.3">
      <c r="A11155" s="45">
        <v>45652</v>
      </c>
      <c r="B11155" s="565"/>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15199</v>
      </c>
      <c r="E11156" s="43">
        <v>15000</v>
      </c>
      <c r="F11156" s="43"/>
      <c r="G11156" s="48">
        <f t="shared" si="281"/>
        <v>241702.8784760845</v>
      </c>
      <c r="H11156" s="389" t="s">
        <v>9567</v>
      </c>
      <c r="J11156" s="52">
        <v>28000</v>
      </c>
    </row>
    <row r="11157" spans="1:10" x14ac:dyDescent="0.3">
      <c r="A11157" s="45">
        <v>45652</v>
      </c>
      <c r="B11157" s="396" t="s">
        <v>12230</v>
      </c>
      <c r="C11157" s="5" t="s">
        <v>11174</v>
      </c>
      <c r="D11157" s="5" t="s">
        <v>15200</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14626</v>
      </c>
      <c r="E11159" s="43">
        <v>2000</v>
      </c>
      <c r="F11159" s="43"/>
      <c r="G11159" s="48">
        <f t="shared" si="281"/>
        <v>179702.8784760845</v>
      </c>
      <c r="H11159" s="389" t="s">
        <v>9567</v>
      </c>
    </row>
    <row r="11160" spans="1:10" x14ac:dyDescent="0.3">
      <c r="A11160" s="45">
        <v>45653</v>
      </c>
      <c r="B11160" s="396" t="s">
        <v>25</v>
      </c>
      <c r="C11160" s="5" t="s">
        <v>26</v>
      </c>
      <c r="D11160" s="5" t="s">
        <v>11434</v>
      </c>
      <c r="E11160" s="43">
        <v>5000</v>
      </c>
      <c r="F11160" s="43"/>
      <c r="G11160" s="48">
        <f t="shared" si="281"/>
        <v>174702.8784760845</v>
      </c>
      <c r="H11160" s="389" t="s">
        <v>9567</v>
      </c>
    </row>
    <row r="11161" spans="1:10" x14ac:dyDescent="0.3">
      <c r="A11161" s="45">
        <v>45653</v>
      </c>
      <c r="B11161" s="396" t="s">
        <v>12080</v>
      </c>
      <c r="C11161" s="5" t="s">
        <v>3207</v>
      </c>
      <c r="D11161" s="5" t="s">
        <v>294</v>
      </c>
      <c r="E11161" s="43">
        <v>15000</v>
      </c>
      <c r="F11161" s="43"/>
      <c r="G11161" s="48">
        <f t="shared" si="281"/>
        <v>159702.8784760845</v>
      </c>
      <c r="H11161" s="389" t="s">
        <v>9567</v>
      </c>
    </row>
    <row r="11162" spans="1:10" x14ac:dyDescent="0.3">
      <c r="A11162" s="45">
        <v>45653</v>
      </c>
      <c r="B11162" s="396" t="s">
        <v>14685</v>
      </c>
      <c r="C11162" s="5" t="s">
        <v>5793</v>
      </c>
      <c r="D11162" s="5" t="s">
        <v>40</v>
      </c>
      <c r="E11162" s="43">
        <v>2000</v>
      </c>
      <c r="F11162" s="43"/>
      <c r="G11162" s="48">
        <f t="shared" si="281"/>
        <v>157702.8784760845</v>
      </c>
      <c r="H11162" s="389" t="s">
        <v>9567</v>
      </c>
    </row>
    <row r="11163" spans="1:10" x14ac:dyDescent="0.3">
      <c r="A11163" s="45">
        <v>45653</v>
      </c>
      <c r="B11163" s="396" t="s">
        <v>14524</v>
      </c>
      <c r="C11163" s="5" t="s">
        <v>5793</v>
      </c>
      <c r="D11163" s="5" t="s">
        <v>40</v>
      </c>
      <c r="E11163" s="43">
        <v>1200</v>
      </c>
      <c r="F11163" s="43"/>
      <c r="G11163" s="48">
        <f t="shared" si="281"/>
        <v>156502.8784760845</v>
      </c>
      <c r="H11163" s="389" t="s">
        <v>9567</v>
      </c>
    </row>
    <row r="11164" spans="1:10" x14ac:dyDescent="0.3">
      <c r="A11164" s="45">
        <v>45653</v>
      </c>
      <c r="B11164" s="396" t="s">
        <v>14590</v>
      </c>
      <c r="C11164" s="5" t="s">
        <v>5793</v>
      </c>
      <c r="D11164" s="5" t="s">
        <v>40</v>
      </c>
      <c r="E11164" s="43">
        <v>1500</v>
      </c>
      <c r="F11164" s="43"/>
      <c r="G11164" s="48">
        <f t="shared" si="281"/>
        <v>155002.8784760845</v>
      </c>
      <c r="H11164" s="389" t="s">
        <v>9567</v>
      </c>
    </row>
    <row r="11165" spans="1:10" x14ac:dyDescent="0.3">
      <c r="A11165" s="45">
        <v>45653</v>
      </c>
      <c r="B11165" s="396" t="s">
        <v>13833</v>
      </c>
      <c r="C11165" s="5" t="s">
        <v>11174</v>
      </c>
      <c r="D11165" s="5" t="s">
        <v>15202</v>
      </c>
      <c r="E11165" s="43">
        <v>26500</v>
      </c>
      <c r="F11165" s="43"/>
      <c r="G11165" s="48">
        <f t="shared" si="281"/>
        <v>128502.8784760845</v>
      </c>
      <c r="H11165" s="389" t="s">
        <v>9567</v>
      </c>
      <c r="I11165" s="52">
        <v>4150</v>
      </c>
    </row>
    <row r="11166" spans="1:10" x14ac:dyDescent="0.3">
      <c r="A11166" s="45">
        <v>45653</v>
      </c>
      <c r="B11166" s="396"/>
      <c r="C11166" s="5" t="s">
        <v>57</v>
      </c>
      <c r="D11166" s="5" t="s">
        <v>15208</v>
      </c>
      <c r="E11166" s="43">
        <v>5000</v>
      </c>
      <c r="F11166" s="43"/>
      <c r="G11166" s="48">
        <f t="shared" si="281"/>
        <v>123502.8784760845</v>
      </c>
      <c r="H11166" s="389" t="s">
        <v>9567</v>
      </c>
      <c r="I11166" s="52">
        <v>2000</v>
      </c>
    </row>
    <row r="11167" spans="1:10" x14ac:dyDescent="0.3">
      <c r="A11167" s="45">
        <v>45653</v>
      </c>
      <c r="B11167" s="396" t="s">
        <v>14701</v>
      </c>
      <c r="C11167" s="5" t="s">
        <v>84</v>
      </c>
      <c r="D11167" s="5" t="s">
        <v>15209</v>
      </c>
      <c r="E11167" s="43">
        <v>5000</v>
      </c>
      <c r="F11167" s="43"/>
      <c r="G11167" s="48">
        <f t="shared" si="281"/>
        <v>118502.8784760845</v>
      </c>
      <c r="H11167" s="389" t="s">
        <v>9567</v>
      </c>
      <c r="I11167" s="52">
        <v>350</v>
      </c>
    </row>
    <row r="11168" spans="1:10" x14ac:dyDescent="0.3">
      <c r="A11168" s="45">
        <v>45653</v>
      </c>
      <c r="B11168" s="396" t="s">
        <v>13833</v>
      </c>
      <c r="C11168" s="5" t="s">
        <v>14807</v>
      </c>
      <c r="D11168" s="5" t="s">
        <v>15210</v>
      </c>
      <c r="E11168" s="43">
        <v>5000</v>
      </c>
      <c r="F11168" s="43"/>
      <c r="G11168" s="48">
        <f t="shared" si="281"/>
        <v>113502.8784760845</v>
      </c>
      <c r="H11168" s="389" t="s">
        <v>9567</v>
      </c>
      <c r="I11168" s="52">
        <f>SUM(I11165:I11167)</f>
        <v>6500</v>
      </c>
    </row>
    <row r="11169" spans="1:10" x14ac:dyDescent="0.3">
      <c r="A11169" s="45">
        <v>45654</v>
      </c>
      <c r="B11169" s="396" t="s">
        <v>12230</v>
      </c>
      <c r="C11169" s="5" t="s">
        <v>1074</v>
      </c>
      <c r="D11169" s="5" t="s">
        <v>13624</v>
      </c>
      <c r="E11169" s="43">
        <v>40311</v>
      </c>
      <c r="F11169" s="43"/>
      <c r="G11169" s="48">
        <f t="shared" si="281"/>
        <v>73191.878476084501</v>
      </c>
      <c r="H11169" s="389" t="s">
        <v>9567</v>
      </c>
    </row>
    <row r="11170" spans="1:10" x14ac:dyDescent="0.3">
      <c r="A11170" s="45">
        <v>45654</v>
      </c>
      <c r="B11170" s="396" t="s">
        <v>25</v>
      </c>
      <c r="C11170" s="5" t="s">
        <v>1074</v>
      </c>
      <c r="D11170" s="5" t="s">
        <v>13624</v>
      </c>
      <c r="E11170" s="43">
        <v>54688</v>
      </c>
      <c r="F11170" s="43"/>
      <c r="G11170" s="48">
        <f t="shared" si="281"/>
        <v>18503.878476084501</v>
      </c>
      <c r="H11170" s="389" t="s">
        <v>9567</v>
      </c>
    </row>
    <row r="11171" spans="1:10" x14ac:dyDescent="0.3">
      <c r="A11171" s="45">
        <v>45654</v>
      </c>
      <c r="B11171" s="396" t="s">
        <v>14248</v>
      </c>
      <c r="C11171" s="5" t="s">
        <v>11174</v>
      </c>
      <c r="D11171" s="5" t="s">
        <v>15211</v>
      </c>
      <c r="E11171" s="43">
        <v>550</v>
      </c>
      <c r="F11171" s="43"/>
      <c r="G11171" s="48">
        <f t="shared" si="281"/>
        <v>17953.878476084501</v>
      </c>
      <c r="H11171" s="389" t="s">
        <v>9567</v>
      </c>
      <c r="I11171" s="52">
        <v>150</v>
      </c>
    </row>
    <row r="11172" spans="1:10" x14ac:dyDescent="0.3">
      <c r="A11172" s="45">
        <v>45654</v>
      </c>
      <c r="B11172" s="396"/>
      <c r="C11172" s="5" t="s">
        <v>4550</v>
      </c>
      <c r="D11172" s="5" t="s">
        <v>15212</v>
      </c>
      <c r="E11172" s="43">
        <v>5000</v>
      </c>
      <c r="F11172" s="43"/>
      <c r="G11172" s="48">
        <f t="shared" si="281"/>
        <v>12953.878476084501</v>
      </c>
      <c r="H11172" s="389" t="s">
        <v>9567</v>
      </c>
    </row>
    <row r="11173" spans="1:10" x14ac:dyDescent="0.3">
      <c r="A11173" s="45">
        <v>45654</v>
      </c>
      <c r="B11173" s="396" t="s">
        <v>14524</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11434</v>
      </c>
      <c r="E11174" s="43">
        <v>4000</v>
      </c>
      <c r="F11174" s="43"/>
      <c r="G11174" s="48">
        <f t="shared" si="281"/>
        <v>8703.878476084501</v>
      </c>
      <c r="H11174" s="389" t="s">
        <v>9567</v>
      </c>
    </row>
    <row r="11175" spans="1:10" x14ac:dyDescent="0.3">
      <c r="A11175" s="45">
        <v>45654</v>
      </c>
      <c r="B11175" s="396" t="s">
        <v>15162</v>
      </c>
      <c r="C11175" s="5" t="s">
        <v>26</v>
      </c>
      <c r="D11175" s="5" t="s">
        <v>15213</v>
      </c>
      <c r="E11175" s="43">
        <v>500</v>
      </c>
      <c r="F11175" s="43"/>
      <c r="G11175" s="48">
        <f t="shared" si="281"/>
        <v>8203.878476084501</v>
      </c>
      <c r="H11175" s="389" t="s">
        <v>9567</v>
      </c>
    </row>
    <row r="11176" spans="1:10" x14ac:dyDescent="0.3">
      <c r="A11176" s="45">
        <v>45654</v>
      </c>
      <c r="B11176" s="565"/>
      <c r="C11176" s="480"/>
      <c r="D11176" s="491" t="s">
        <v>5431</v>
      </c>
      <c r="E11176" s="480"/>
      <c r="F11176" s="43">
        <v>20000</v>
      </c>
      <c r="G11176" s="48">
        <f t="shared" si="281"/>
        <v>28203.878476084501</v>
      </c>
      <c r="H11176" s="389" t="s">
        <v>9567</v>
      </c>
      <c r="J11176" s="52">
        <v>16000</v>
      </c>
    </row>
    <row r="11177" spans="1:10" x14ac:dyDescent="0.3">
      <c r="A11177" s="45">
        <v>45654</v>
      </c>
      <c r="B11177" s="396" t="s">
        <v>15144</v>
      </c>
      <c r="C11177" s="5" t="s">
        <v>11174</v>
      </c>
      <c r="D11177" s="5" t="s">
        <v>15214</v>
      </c>
      <c r="E11177" s="43">
        <v>11900</v>
      </c>
      <c r="F11177" s="43"/>
      <c r="G11177" s="48">
        <f t="shared" si="281"/>
        <v>16303.878476084501</v>
      </c>
      <c r="H11177" s="389" t="s">
        <v>9567</v>
      </c>
    </row>
    <row r="11178" spans="1:10" x14ac:dyDescent="0.3">
      <c r="A11178" s="45">
        <v>45654</v>
      </c>
      <c r="B11178" s="396" t="s">
        <v>15001</v>
      </c>
      <c r="C11178" s="5" t="s">
        <v>11174</v>
      </c>
      <c r="D11178" s="5" t="s">
        <v>15215</v>
      </c>
      <c r="E11178" s="43">
        <v>4800</v>
      </c>
      <c r="F11178" s="43"/>
      <c r="G11178" s="48">
        <f t="shared" si="281"/>
        <v>11503.878476084501</v>
      </c>
      <c r="H11178" s="389" t="s">
        <v>9567</v>
      </c>
    </row>
    <row r="11179" spans="1:10" x14ac:dyDescent="0.3">
      <c r="A11179" s="45">
        <v>45656</v>
      </c>
      <c r="B11179" s="396" t="s">
        <v>25</v>
      </c>
      <c r="C11179" s="5" t="s">
        <v>26</v>
      </c>
      <c r="D11179" s="5" t="s">
        <v>11434</v>
      </c>
      <c r="E11179" s="43">
        <v>4000</v>
      </c>
      <c r="F11179" s="43"/>
      <c r="G11179" s="48">
        <f t="shared" si="281"/>
        <v>7503.878476084501</v>
      </c>
      <c r="H11179" s="389" t="s">
        <v>9567</v>
      </c>
    </row>
    <row r="11180" spans="1:10" x14ac:dyDescent="0.3">
      <c r="A11180" s="45">
        <v>45656</v>
      </c>
      <c r="B11180" s="396"/>
      <c r="C11180" s="5" t="s">
        <v>30</v>
      </c>
      <c r="D11180" s="5" t="s">
        <v>14626</v>
      </c>
      <c r="E11180" s="43">
        <v>1500</v>
      </c>
      <c r="F11180" s="43"/>
      <c r="G11180" s="48">
        <f t="shared" si="281"/>
        <v>6003.878476084501</v>
      </c>
      <c r="H11180" s="389" t="s">
        <v>9567</v>
      </c>
    </row>
    <row r="11181" spans="1:10" x14ac:dyDescent="0.3">
      <c r="A11181" s="45">
        <v>45656</v>
      </c>
      <c r="B11181" s="396" t="s">
        <v>15162</v>
      </c>
      <c r="C11181" s="5" t="s">
        <v>11174</v>
      </c>
      <c r="D11181" s="5" t="s">
        <v>15218</v>
      </c>
      <c r="E11181" s="43">
        <v>1130</v>
      </c>
      <c r="F11181" s="43"/>
      <c r="G11181" s="48">
        <f t="shared" si="281"/>
        <v>4873.878476084501</v>
      </c>
      <c r="H11181" s="389" t="s">
        <v>9567</v>
      </c>
    </row>
    <row r="11182" spans="1:10" x14ac:dyDescent="0.3">
      <c r="A11182" s="45">
        <v>45656</v>
      </c>
      <c r="B11182" s="396" t="s">
        <v>13833</v>
      </c>
      <c r="C11182" s="5" t="s">
        <v>5793</v>
      </c>
      <c r="D11182" s="5" t="s">
        <v>40</v>
      </c>
      <c r="E11182" s="43">
        <v>1600</v>
      </c>
      <c r="F11182" s="43"/>
      <c r="G11182" s="48">
        <f t="shared" si="281"/>
        <v>3273.878476084501</v>
      </c>
      <c r="H11182" s="389" t="s">
        <v>9567</v>
      </c>
    </row>
    <row r="11183" spans="1:10" x14ac:dyDescent="0.3">
      <c r="A11183" s="45">
        <v>45656</v>
      </c>
      <c r="B11183" s="396" t="s">
        <v>14248</v>
      </c>
      <c r="C11183" s="5" t="s">
        <v>5793</v>
      </c>
      <c r="D11183" s="5" t="s">
        <v>40</v>
      </c>
      <c r="E11183" s="43">
        <v>1500</v>
      </c>
      <c r="F11183" s="43"/>
      <c r="G11183" s="48">
        <f t="shared" si="281"/>
        <v>1773.878476084501</v>
      </c>
      <c r="H11183" s="389" t="s">
        <v>9567</v>
      </c>
    </row>
    <row r="11184" spans="1:10" x14ac:dyDescent="0.3">
      <c r="A11184" s="45">
        <v>45656</v>
      </c>
      <c r="B11184" s="565"/>
      <c r="C11184" s="480"/>
      <c r="D11184" s="491" t="s">
        <v>4106</v>
      </c>
      <c r="E11184" s="480"/>
      <c r="F11184" s="43">
        <v>200000</v>
      </c>
      <c r="G11184" s="48">
        <f t="shared" si="281"/>
        <v>201773.8784760845</v>
      </c>
      <c r="H11184" s="389" t="s">
        <v>9567</v>
      </c>
      <c r="J11184" s="52">
        <v>16000</v>
      </c>
    </row>
    <row r="11185" spans="1:9" x14ac:dyDescent="0.3">
      <c r="A11185" s="45">
        <v>45656</v>
      </c>
      <c r="B11185" s="396" t="s">
        <v>12133</v>
      </c>
      <c r="C11185" s="5" t="s">
        <v>5162</v>
      </c>
      <c r="D11185" s="5" t="s">
        <v>15219</v>
      </c>
      <c r="E11185" s="43">
        <v>5000</v>
      </c>
      <c r="F11185" s="43"/>
      <c r="G11185" s="48">
        <f t="shared" si="281"/>
        <v>196773.8784760845</v>
      </c>
      <c r="H11185" s="389" t="s">
        <v>9567</v>
      </c>
    </row>
    <row r="11186" spans="1:9" x14ac:dyDescent="0.3">
      <c r="A11186" s="45">
        <v>45656</v>
      </c>
      <c r="B11186" s="396" t="s">
        <v>15061</v>
      </c>
      <c r="C11186" s="5" t="s">
        <v>6430</v>
      </c>
      <c r="D11186" s="5" t="s">
        <v>294</v>
      </c>
      <c r="E11186" s="43">
        <v>2000</v>
      </c>
      <c r="F11186" s="43"/>
      <c r="G11186" s="48">
        <f t="shared" si="281"/>
        <v>194773.8784760845</v>
      </c>
      <c r="H11186" s="389" t="s">
        <v>9567</v>
      </c>
    </row>
    <row r="11187" spans="1:9" x14ac:dyDescent="0.3">
      <c r="A11187" s="45">
        <v>45656</v>
      </c>
      <c r="B11187" s="396" t="s">
        <v>15162</v>
      </c>
      <c r="C11187" s="5" t="s">
        <v>11174</v>
      </c>
      <c r="D11187" s="5" t="s">
        <v>15222</v>
      </c>
      <c r="E11187" s="43">
        <v>1800</v>
      </c>
      <c r="F11187" s="43"/>
      <c r="G11187" s="48">
        <f t="shared" si="281"/>
        <v>192973.8784760845</v>
      </c>
      <c r="H11187" s="389" t="s">
        <v>9567</v>
      </c>
    </row>
    <row r="11188" spans="1:9" x14ac:dyDescent="0.3">
      <c r="A11188" s="45">
        <v>45656</v>
      </c>
      <c r="B11188" s="396" t="s">
        <v>15144</v>
      </c>
      <c r="C11188" s="5" t="s">
        <v>6430</v>
      </c>
      <c r="D11188" s="5" t="s">
        <v>15223</v>
      </c>
      <c r="E11188" s="43">
        <v>15000</v>
      </c>
      <c r="F11188" s="43"/>
      <c r="G11188" s="48">
        <f t="shared" si="281"/>
        <v>177973.8784760845</v>
      </c>
      <c r="H11188" s="389" t="s">
        <v>9567</v>
      </c>
    </row>
    <row r="11189" spans="1:9" x14ac:dyDescent="0.3">
      <c r="A11189" s="45">
        <v>45656</v>
      </c>
      <c r="B11189" s="396" t="s">
        <v>15144</v>
      </c>
      <c r="C11189" s="5" t="s">
        <v>14492</v>
      </c>
      <c r="D11189" s="5" t="s">
        <v>15221</v>
      </c>
      <c r="E11189" s="43">
        <v>3000</v>
      </c>
      <c r="F11189" s="43"/>
      <c r="G11189" s="48">
        <f t="shared" si="281"/>
        <v>174973.8784760845</v>
      </c>
      <c r="H11189" s="389" t="s">
        <v>9567</v>
      </c>
    </row>
    <row r="11190" spans="1:9" x14ac:dyDescent="0.3">
      <c r="A11190" s="45">
        <v>45656</v>
      </c>
      <c r="B11190" s="396" t="s">
        <v>15162</v>
      </c>
      <c r="C11190" s="5" t="s">
        <v>30</v>
      </c>
      <c r="D11190" s="5" t="s">
        <v>15085</v>
      </c>
      <c r="E11190" s="43">
        <v>500</v>
      </c>
      <c r="F11190" s="43"/>
      <c r="G11190" s="48">
        <f t="shared" si="281"/>
        <v>174473.8784760845</v>
      </c>
      <c r="H11190" s="389" t="s">
        <v>9567</v>
      </c>
    </row>
    <row r="11191" spans="1:9" x14ac:dyDescent="0.3">
      <c r="A11191" s="45">
        <v>45656</v>
      </c>
      <c r="B11191" s="396" t="s">
        <v>13833</v>
      </c>
      <c r="C11191" s="5" t="s">
        <v>5793</v>
      </c>
      <c r="D11191" s="5" t="s">
        <v>15224</v>
      </c>
      <c r="E11191" s="43">
        <v>3200</v>
      </c>
      <c r="F11191" s="43"/>
      <c r="G11191" s="48">
        <f t="shared" si="281"/>
        <v>171273.8784760845</v>
      </c>
      <c r="H11191" s="389" t="s">
        <v>9567</v>
      </c>
    </row>
    <row r="11192" spans="1:9" x14ac:dyDescent="0.3">
      <c r="A11192" s="45">
        <v>45656</v>
      </c>
      <c r="B11192" s="396" t="s">
        <v>13833</v>
      </c>
      <c r="C11192" s="5" t="s">
        <v>11174</v>
      </c>
      <c r="D11192" s="5" t="s">
        <v>15226</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14701</v>
      </c>
      <c r="C11194" s="5" t="s">
        <v>5288</v>
      </c>
      <c r="D11194" s="5" t="s">
        <v>294</v>
      </c>
      <c r="E11194" s="43">
        <v>4470</v>
      </c>
      <c r="F11194" s="43"/>
      <c r="G11194" s="48">
        <f t="shared" si="281"/>
        <v>149243.8784760845</v>
      </c>
      <c r="H11194" s="389" t="s">
        <v>9567</v>
      </c>
    </row>
    <row r="11195" spans="1:9" x14ac:dyDescent="0.3">
      <c r="A11195" s="45">
        <v>45656</v>
      </c>
      <c r="B11195" s="396" t="s">
        <v>12230</v>
      </c>
      <c r="C11195" s="5" t="s">
        <v>5288</v>
      </c>
      <c r="D11195" s="5" t="s">
        <v>15225</v>
      </c>
      <c r="E11195" s="43">
        <v>60000</v>
      </c>
      <c r="F11195" s="43"/>
      <c r="G11195" s="48">
        <f t="shared" si="281"/>
        <v>89243.878476084501</v>
      </c>
      <c r="H11195" s="389" t="s">
        <v>9567</v>
      </c>
    </row>
    <row r="11196" spans="1:9" x14ac:dyDescent="0.3">
      <c r="A11196" s="45">
        <v>45657</v>
      </c>
      <c r="B11196" s="396" t="s">
        <v>13902</v>
      </c>
      <c r="C11196" s="5" t="s">
        <v>30</v>
      </c>
      <c r="D11196" s="5" t="s">
        <v>14626</v>
      </c>
      <c r="E11196" s="43">
        <v>2000</v>
      </c>
      <c r="F11196" s="43"/>
      <c r="G11196" s="48">
        <f t="shared" si="281"/>
        <v>87243.878476084501</v>
      </c>
      <c r="H11196" s="389" t="s">
        <v>9567</v>
      </c>
    </row>
    <row r="11197" spans="1:9" x14ac:dyDescent="0.3">
      <c r="A11197" s="45">
        <v>45657</v>
      </c>
      <c r="B11197" s="396" t="s">
        <v>14524</v>
      </c>
      <c r="C11197" s="5" t="s">
        <v>11174</v>
      </c>
      <c r="D11197" s="5" t="s">
        <v>15247</v>
      </c>
      <c r="E11197" s="43">
        <v>1600</v>
      </c>
      <c r="F11197" s="43"/>
      <c r="G11197" s="48">
        <f t="shared" si="281"/>
        <v>85643.878476084501</v>
      </c>
      <c r="H11197" s="389" t="s">
        <v>9567</v>
      </c>
      <c r="I11197" s="52">
        <v>950</v>
      </c>
    </row>
    <row r="11198" spans="1:9" x14ac:dyDescent="0.3">
      <c r="A11198" s="45">
        <v>45657</v>
      </c>
      <c r="B11198" s="396" t="s">
        <v>13833</v>
      </c>
      <c r="C11198" s="5" t="s">
        <v>11174</v>
      </c>
      <c r="D11198" s="5" t="s">
        <v>15248</v>
      </c>
      <c r="E11198" s="43">
        <v>950</v>
      </c>
      <c r="F11198" s="43"/>
      <c r="G11198" s="48">
        <f t="shared" si="281"/>
        <v>84693.878476084501</v>
      </c>
      <c r="H11198" s="389" t="s">
        <v>9567</v>
      </c>
      <c r="I11198" s="52">
        <f>SUM(I11197:I11197)</f>
        <v>950</v>
      </c>
    </row>
    <row r="11199" spans="1:9" x14ac:dyDescent="0.3">
      <c r="A11199" s="45">
        <v>45657</v>
      </c>
      <c r="B11199" s="396" t="s">
        <v>15162</v>
      </c>
      <c r="C11199" s="5" t="s">
        <v>5793</v>
      </c>
      <c r="D11199" s="5" t="s">
        <v>40</v>
      </c>
      <c r="E11199" s="43">
        <v>2200</v>
      </c>
      <c r="F11199" s="43"/>
      <c r="G11199" s="48">
        <f t="shared" si="281"/>
        <v>82493.878476084501</v>
      </c>
      <c r="H11199" s="389" t="s">
        <v>9567</v>
      </c>
    </row>
    <row r="11200" spans="1:9" x14ac:dyDescent="0.3">
      <c r="A11200" s="45">
        <v>45657</v>
      </c>
      <c r="B11200" s="396" t="s">
        <v>15001</v>
      </c>
      <c r="C11200" s="5" t="s">
        <v>9451</v>
      </c>
      <c r="D11200" s="5" t="s">
        <v>40</v>
      </c>
      <c r="E11200" s="43">
        <v>30000</v>
      </c>
      <c r="F11200" s="43"/>
      <c r="G11200" s="48">
        <f t="shared" si="281"/>
        <v>52493.878476084501</v>
      </c>
      <c r="H11200" s="389" t="s">
        <v>9567</v>
      </c>
    </row>
    <row r="11201" spans="1:10" x14ac:dyDescent="0.3">
      <c r="A11201" s="45">
        <v>45657</v>
      </c>
      <c r="B11201" s="396" t="s">
        <v>15144</v>
      </c>
      <c r="C11201" s="5" t="s">
        <v>26</v>
      </c>
      <c r="D11201" s="5" t="s">
        <v>15249</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11434</v>
      </c>
      <c r="E11203" s="43">
        <v>2000</v>
      </c>
      <c r="F11203" s="43"/>
      <c r="G11203" s="48">
        <f t="shared" si="281"/>
        <v>43493.878476084501</v>
      </c>
      <c r="H11203" s="389" t="s">
        <v>9567</v>
      </c>
    </row>
    <row r="11204" spans="1:10" x14ac:dyDescent="0.3">
      <c r="A11204" s="45">
        <v>45657</v>
      </c>
      <c r="B11204" s="396" t="s">
        <v>12230</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15001</v>
      </c>
      <c r="C11207" s="5" t="s">
        <v>11174</v>
      </c>
      <c r="D11207" s="5" t="s">
        <v>15250</v>
      </c>
      <c r="E11207" s="43">
        <v>3900</v>
      </c>
      <c r="F11207" s="43"/>
      <c r="G11207" s="48">
        <f t="shared" si="281"/>
        <v>33773.878476084501</v>
      </c>
      <c r="H11207" s="389" t="s">
        <v>9567</v>
      </c>
    </row>
    <row r="11208" spans="1:10" x14ac:dyDescent="0.3">
      <c r="A11208" s="45">
        <v>45658</v>
      </c>
      <c r="B11208" s="396" t="s">
        <v>15033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15251</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11434</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12133</v>
      </c>
      <c r="C11212" s="5" t="s">
        <v>84</v>
      </c>
      <c r="D11212" s="5" t="s">
        <v>15256</v>
      </c>
      <c r="E11212" s="43">
        <v>1000</v>
      </c>
      <c r="F11212" s="43"/>
      <c r="G11212" s="48">
        <f t="shared" si="282"/>
        <v>4973.878476084501</v>
      </c>
      <c r="H11212" s="389" t="s">
        <v>9567</v>
      </c>
    </row>
    <row r="11213" spans="1:10" x14ac:dyDescent="0.3">
      <c r="A11213" s="45">
        <v>45659</v>
      </c>
      <c r="B11213" s="565"/>
      <c r="C11213" s="480"/>
      <c r="D11213" s="491" t="s">
        <v>5431</v>
      </c>
      <c r="E11213" s="480"/>
      <c r="F11213" s="43">
        <v>50000</v>
      </c>
      <c r="G11213" s="48">
        <f t="shared" si="282"/>
        <v>54973.878476084501</v>
      </c>
      <c r="H11213" s="389" t="s">
        <v>9567</v>
      </c>
      <c r="J11213" s="52">
        <v>16000</v>
      </c>
    </row>
    <row r="11214" spans="1:10" x14ac:dyDescent="0.3">
      <c r="A11214" s="45">
        <v>45659</v>
      </c>
      <c r="B11214" s="396" t="s">
        <v>14685</v>
      </c>
      <c r="C11214" s="5" t="s">
        <v>11174</v>
      </c>
      <c r="D11214" s="5" t="s">
        <v>15172</v>
      </c>
      <c r="E11214" s="43">
        <v>16820</v>
      </c>
      <c r="F11214" s="43"/>
      <c r="G11214" s="48">
        <f t="shared" ref="G11214:G11277" si="283">G11213+F11214-E11214</f>
        <v>38153.878476084501</v>
      </c>
      <c r="H11214" s="389" t="s">
        <v>9567</v>
      </c>
    </row>
    <row r="11215" spans="1:10" x14ac:dyDescent="0.3">
      <c r="A11215" s="45">
        <v>45659</v>
      </c>
      <c r="B11215" s="396" t="s">
        <v>13833</v>
      </c>
      <c r="C11215" s="5" t="s">
        <v>5793</v>
      </c>
      <c r="D11215" s="5" t="s">
        <v>40</v>
      </c>
      <c r="E11215" s="43">
        <v>800</v>
      </c>
      <c r="F11215" s="43"/>
      <c r="G11215" s="48">
        <f t="shared" si="283"/>
        <v>37353.878476084501</v>
      </c>
      <c r="H11215" s="389" t="s">
        <v>9567</v>
      </c>
    </row>
    <row r="11216" spans="1:10" x14ac:dyDescent="0.3">
      <c r="A11216" s="45">
        <v>45659</v>
      </c>
      <c r="B11216" s="396" t="s">
        <v>14248</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11434</v>
      </c>
      <c r="E11217" s="43">
        <v>4000</v>
      </c>
      <c r="F11217" s="43"/>
      <c r="G11217" s="48">
        <f t="shared" si="283"/>
        <v>31053.878476084501</v>
      </c>
      <c r="H11217" s="389" t="s">
        <v>9567</v>
      </c>
    </row>
    <row r="11218" spans="1:10" x14ac:dyDescent="0.3">
      <c r="A11218" s="45">
        <v>45659</v>
      </c>
      <c r="B11218" s="396" t="s">
        <v>13902</v>
      </c>
      <c r="C11218" s="5" t="s">
        <v>30</v>
      </c>
      <c r="D11218" s="5" t="s">
        <v>14626</v>
      </c>
      <c r="E11218" s="43">
        <v>2000</v>
      </c>
      <c r="F11218" s="43"/>
      <c r="G11218" s="48">
        <f t="shared" si="283"/>
        <v>29053.878476084501</v>
      </c>
      <c r="H11218" s="389" t="s">
        <v>9567</v>
      </c>
    </row>
    <row r="11219" spans="1:10" x14ac:dyDescent="0.3">
      <c r="A11219" s="45">
        <v>45659</v>
      </c>
      <c r="B11219" s="565"/>
      <c r="C11219" s="480"/>
      <c r="D11219" s="491" t="s">
        <v>15257</v>
      </c>
      <c r="E11219" s="480"/>
      <c r="F11219" s="43">
        <v>14000</v>
      </c>
      <c r="G11219" s="48">
        <f t="shared" si="283"/>
        <v>43053.878476084501</v>
      </c>
      <c r="H11219" s="389" t="s">
        <v>9567</v>
      </c>
      <c r="J11219" s="52">
        <v>32500000</v>
      </c>
    </row>
    <row r="11220" spans="1:10" x14ac:dyDescent="0.3">
      <c r="A11220" s="45">
        <v>45659</v>
      </c>
      <c r="B11220" s="396" t="s">
        <v>14685</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14590</v>
      </c>
      <c r="C11221" s="5" t="s">
        <v>5793</v>
      </c>
      <c r="D11221" s="5" t="s">
        <v>40</v>
      </c>
      <c r="E11221" s="43">
        <v>1500</v>
      </c>
      <c r="F11221" s="43"/>
      <c r="G11221" s="48">
        <f t="shared" si="283"/>
        <v>38553.878476084501</v>
      </c>
      <c r="H11221" s="389" t="s">
        <v>9567</v>
      </c>
    </row>
    <row r="11222" spans="1:10" x14ac:dyDescent="0.3">
      <c r="A11222" s="45">
        <v>45660</v>
      </c>
      <c r="B11222" s="396" t="s">
        <v>14248</v>
      </c>
      <c r="C11222" s="5" t="s">
        <v>11174</v>
      </c>
      <c r="D11222" s="5" t="s">
        <v>15262</v>
      </c>
      <c r="E11222" s="43">
        <v>22350</v>
      </c>
      <c r="F11222" s="43"/>
      <c r="G11222" s="48">
        <f t="shared" si="283"/>
        <v>16203.878476084501</v>
      </c>
      <c r="H11222" s="389" t="s">
        <v>9567</v>
      </c>
    </row>
    <row r="11223" spans="1:10" x14ac:dyDescent="0.3">
      <c r="A11223" s="45">
        <v>45660</v>
      </c>
      <c r="B11223" s="396" t="s">
        <v>13833</v>
      </c>
      <c r="C11223" s="5" t="s">
        <v>11174</v>
      </c>
      <c r="D11223" s="5" t="s">
        <v>15263</v>
      </c>
      <c r="E11223" s="43">
        <v>12000</v>
      </c>
      <c r="F11223" s="43"/>
      <c r="G11223" s="48">
        <f t="shared" si="283"/>
        <v>4203.878476084501</v>
      </c>
      <c r="H11223" s="389" t="s">
        <v>9567</v>
      </c>
      <c r="I11223" s="52">
        <v>14000</v>
      </c>
    </row>
    <row r="11224" spans="1:10" x14ac:dyDescent="0.3">
      <c r="A11224" s="45">
        <v>45660</v>
      </c>
      <c r="B11224" s="396" t="s">
        <v>13833</v>
      </c>
      <c r="C11224" s="5" t="s">
        <v>11174</v>
      </c>
      <c r="D11224" s="5" t="s">
        <v>40</v>
      </c>
      <c r="E11224" s="43">
        <v>800</v>
      </c>
      <c r="F11224" s="43"/>
      <c r="G11224" s="48">
        <f t="shared" si="283"/>
        <v>3403.878476084501</v>
      </c>
      <c r="H11224" s="389" t="s">
        <v>9567</v>
      </c>
    </row>
    <row r="11225" spans="1:10" x14ac:dyDescent="0.3">
      <c r="A11225" s="45">
        <v>45660</v>
      </c>
      <c r="B11225" s="565"/>
      <c r="C11225" s="480"/>
      <c r="D11225" s="491" t="s">
        <v>4106</v>
      </c>
      <c r="E11225" s="480"/>
      <c r="F11225" s="43">
        <v>175000</v>
      </c>
      <c r="G11225" s="48">
        <f t="shared" si="283"/>
        <v>178403.8784760845</v>
      </c>
      <c r="H11225" s="389" t="s">
        <v>9567</v>
      </c>
      <c r="J11225" s="52">
        <v>32500000</v>
      </c>
    </row>
    <row r="11226" spans="1:10" x14ac:dyDescent="0.3">
      <c r="A11226" s="45">
        <v>45660</v>
      </c>
      <c r="B11226" s="396" t="s">
        <v>13833</v>
      </c>
      <c r="C11226" s="5" t="s">
        <v>9287</v>
      </c>
      <c r="D11226" s="5" t="s">
        <v>15258</v>
      </c>
      <c r="E11226" s="43">
        <v>35000</v>
      </c>
      <c r="F11226" s="43"/>
      <c r="G11226" s="48">
        <f t="shared" si="283"/>
        <v>143403.8784760845</v>
      </c>
      <c r="H11226" s="389" t="s">
        <v>9567</v>
      </c>
    </row>
    <row r="11227" spans="1:10" x14ac:dyDescent="0.3">
      <c r="A11227" s="45">
        <v>45660</v>
      </c>
      <c r="B11227" s="396" t="s">
        <v>15061</v>
      </c>
      <c r="C11227" s="5" t="s">
        <v>68</v>
      </c>
      <c r="D11227" s="5" t="s">
        <v>294</v>
      </c>
      <c r="E11227" s="43">
        <v>5000</v>
      </c>
      <c r="F11227" s="43"/>
      <c r="G11227" s="48">
        <f t="shared" si="283"/>
        <v>138403.8784760845</v>
      </c>
      <c r="H11227" s="389" t="s">
        <v>9567</v>
      </c>
    </row>
    <row r="11228" spans="1:10" x14ac:dyDescent="0.3">
      <c r="A11228" s="45">
        <v>45660</v>
      </c>
      <c r="B11228" s="396" t="s">
        <v>12080</v>
      </c>
      <c r="C11228" s="5" t="s">
        <v>3207</v>
      </c>
      <c r="D11228" s="5" t="s">
        <v>294</v>
      </c>
      <c r="E11228" s="43">
        <v>50000</v>
      </c>
      <c r="F11228" s="43"/>
      <c r="G11228" s="48">
        <f t="shared" si="283"/>
        <v>88403.878476084501</v>
      </c>
      <c r="H11228" s="389" t="s">
        <v>9567</v>
      </c>
    </row>
    <row r="11229" spans="1:10" x14ac:dyDescent="0.3">
      <c r="A11229" s="45">
        <v>45660</v>
      </c>
      <c r="B11229" s="396" t="s">
        <v>15061</v>
      </c>
      <c r="C11229" s="5" t="s">
        <v>57</v>
      </c>
      <c r="D11229" s="5" t="s">
        <v>12407</v>
      </c>
      <c r="E11229" s="43">
        <v>5000</v>
      </c>
      <c r="F11229" s="43"/>
      <c r="G11229" s="48">
        <f t="shared" si="283"/>
        <v>83403.878476084501</v>
      </c>
      <c r="H11229" s="389" t="s">
        <v>9567</v>
      </c>
    </row>
    <row r="11230" spans="1:10" x14ac:dyDescent="0.3">
      <c r="A11230" s="45">
        <v>45660</v>
      </c>
      <c r="B11230" s="396" t="s">
        <v>13833</v>
      </c>
      <c r="C11230" s="5" t="s">
        <v>11174</v>
      </c>
      <c r="D11230" s="5" t="s">
        <v>15259</v>
      </c>
      <c r="E11230" s="43">
        <v>29200</v>
      </c>
      <c r="F11230" s="43"/>
      <c r="G11230" s="48">
        <f t="shared" si="283"/>
        <v>54203.878476084501</v>
      </c>
      <c r="H11230" s="389" t="s">
        <v>9567</v>
      </c>
    </row>
    <row r="11231" spans="1:10" x14ac:dyDescent="0.3">
      <c r="A11231" s="45">
        <v>45660</v>
      </c>
      <c r="B11231" s="396" t="s">
        <v>15001</v>
      </c>
      <c r="C11231" s="5" t="s">
        <v>9451</v>
      </c>
      <c r="D11231" s="5" t="s">
        <v>15260</v>
      </c>
      <c r="E11231" s="43">
        <v>27000</v>
      </c>
      <c r="F11231" s="43"/>
      <c r="G11231" s="48">
        <f t="shared" si="283"/>
        <v>27203.878476084501</v>
      </c>
      <c r="H11231" s="389" t="s">
        <v>9567</v>
      </c>
    </row>
    <row r="11232" spans="1:10" x14ac:dyDescent="0.3">
      <c r="A11232" s="45">
        <v>45660</v>
      </c>
      <c r="B11232" s="396" t="s">
        <v>13833</v>
      </c>
      <c r="C11232" s="5" t="s">
        <v>14807</v>
      </c>
      <c r="D11232" s="5" t="s">
        <v>15261</v>
      </c>
      <c r="E11232" s="43">
        <v>15000</v>
      </c>
      <c r="F11232" s="43"/>
      <c r="G11232" s="48">
        <f t="shared" si="283"/>
        <v>12203.878476084501</v>
      </c>
      <c r="H11232" s="389" t="s">
        <v>9567</v>
      </c>
    </row>
    <row r="11233" spans="1:10" x14ac:dyDescent="0.3">
      <c r="A11233" s="45">
        <v>45660</v>
      </c>
      <c r="B11233" s="396" t="s">
        <v>14590</v>
      </c>
      <c r="C11233" s="5" t="s">
        <v>4550</v>
      </c>
      <c r="D11233" s="5" t="s">
        <v>15264</v>
      </c>
      <c r="E11233" s="43">
        <v>5000</v>
      </c>
      <c r="F11233" s="43"/>
      <c r="G11233" s="48">
        <f t="shared" si="283"/>
        <v>7203.878476084501</v>
      </c>
      <c r="H11233" s="389" t="s">
        <v>9567</v>
      </c>
    </row>
    <row r="11234" spans="1:10" x14ac:dyDescent="0.3">
      <c r="A11234" s="45">
        <v>45660</v>
      </c>
      <c r="B11234" s="396" t="s">
        <v>13902</v>
      </c>
      <c r="C11234" s="5" t="s">
        <v>11174</v>
      </c>
      <c r="D11234" s="5" t="s">
        <v>15265</v>
      </c>
      <c r="E11234" s="43">
        <v>1100</v>
      </c>
      <c r="F11234" s="43"/>
      <c r="G11234" s="48">
        <f t="shared" si="283"/>
        <v>6103.878476084501</v>
      </c>
      <c r="H11234" s="389" t="s">
        <v>9567</v>
      </c>
    </row>
    <row r="11235" spans="1:10" x14ac:dyDescent="0.3">
      <c r="A11235" s="45">
        <v>45661</v>
      </c>
      <c r="B11235" s="396" t="s">
        <v>25</v>
      </c>
      <c r="C11235" s="5" t="s">
        <v>26</v>
      </c>
      <c r="D11235" s="5" t="s">
        <v>11434</v>
      </c>
      <c r="E11235" s="43">
        <v>3000</v>
      </c>
      <c r="F11235" s="43"/>
      <c r="G11235" s="48">
        <f t="shared" si="283"/>
        <v>3103.878476084501</v>
      </c>
      <c r="H11235" s="389" t="s">
        <v>9567</v>
      </c>
    </row>
    <row r="11236" spans="1:10" x14ac:dyDescent="0.3">
      <c r="A11236" s="45">
        <v>45663</v>
      </c>
      <c r="B11236" s="565"/>
      <c r="C11236" s="480"/>
      <c r="D11236" s="491" t="s">
        <v>11014</v>
      </c>
      <c r="E11236" s="480"/>
      <c r="F11236" s="43">
        <v>2000000</v>
      </c>
      <c r="G11236" s="48">
        <f t="shared" si="283"/>
        <v>2003103.8784760844</v>
      </c>
      <c r="H11236" s="389" t="s">
        <v>9567</v>
      </c>
      <c r="J11236" s="52">
        <v>32500000</v>
      </c>
    </row>
    <row r="11237" spans="1:10" x14ac:dyDescent="0.3">
      <c r="A11237" s="45">
        <v>45663</v>
      </c>
      <c r="B11237" s="396" t="s">
        <v>13902</v>
      </c>
      <c r="C11237" s="5" t="s">
        <v>5793</v>
      </c>
      <c r="D11237" s="5" t="s">
        <v>40</v>
      </c>
      <c r="E11237" s="43">
        <v>2000</v>
      </c>
      <c r="F11237" s="43"/>
      <c r="G11237" s="48">
        <f t="shared" si="283"/>
        <v>2001103.8784760844</v>
      </c>
      <c r="H11237" s="389" t="s">
        <v>9567</v>
      </c>
    </row>
    <row r="11238" spans="1:10" x14ac:dyDescent="0.3">
      <c r="A11238" s="45">
        <v>45663</v>
      </c>
      <c r="B11238" s="396" t="s">
        <v>12080</v>
      </c>
      <c r="C11238" s="5" t="s">
        <v>5793</v>
      </c>
      <c r="D11238" s="5" t="s">
        <v>15276</v>
      </c>
      <c r="E11238" s="43">
        <v>13200</v>
      </c>
      <c r="F11238" s="43"/>
      <c r="G11238" s="48">
        <f t="shared" si="283"/>
        <v>1987903.8784760844</v>
      </c>
      <c r="H11238" s="389" t="s">
        <v>9567</v>
      </c>
    </row>
    <row r="11239" spans="1:10" x14ac:dyDescent="0.3">
      <c r="A11239" s="45">
        <v>45663</v>
      </c>
      <c r="B11239" s="396" t="s">
        <v>13833</v>
      </c>
      <c r="C11239" s="5" t="s">
        <v>5793</v>
      </c>
      <c r="D11239" s="5" t="s">
        <v>15275</v>
      </c>
      <c r="E11239" s="43">
        <v>6400</v>
      </c>
      <c r="F11239" s="43"/>
      <c r="G11239" s="48">
        <f t="shared" si="283"/>
        <v>1981503.8784760844</v>
      </c>
      <c r="H11239" s="389" t="s">
        <v>9567</v>
      </c>
    </row>
    <row r="11240" spans="1:10" x14ac:dyDescent="0.3">
      <c r="A11240" s="45">
        <v>45663</v>
      </c>
      <c r="B11240" s="396" t="s">
        <v>14524</v>
      </c>
      <c r="C11240" s="5" t="s">
        <v>11174</v>
      </c>
      <c r="D11240" s="5" t="s">
        <v>13267</v>
      </c>
      <c r="E11240" s="43">
        <v>2900</v>
      </c>
      <c r="F11240" s="43"/>
      <c r="G11240" s="48">
        <f t="shared" si="283"/>
        <v>1978603.8784760844</v>
      </c>
      <c r="H11240" s="389" t="s">
        <v>9567</v>
      </c>
    </row>
    <row r="11241" spans="1:10" x14ac:dyDescent="0.3">
      <c r="A11241" s="45">
        <v>45663</v>
      </c>
      <c r="B11241" s="396" t="s">
        <v>15146</v>
      </c>
      <c r="C11241" s="5" t="s">
        <v>30</v>
      </c>
      <c r="D11241" s="5" t="s">
        <v>14626</v>
      </c>
      <c r="E11241" s="43">
        <v>2000</v>
      </c>
      <c r="F11241" s="43"/>
      <c r="G11241" s="48">
        <f t="shared" si="283"/>
        <v>1976603.8784760844</v>
      </c>
      <c r="H11241" s="389" t="s">
        <v>9567</v>
      </c>
    </row>
    <row r="11242" spans="1:10" x14ac:dyDescent="0.3">
      <c r="A11242" s="45">
        <v>45663</v>
      </c>
      <c r="B11242" s="394" t="s">
        <v>12055</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15061</v>
      </c>
      <c r="C11244" s="186" t="s">
        <v>54</v>
      </c>
      <c r="D11244" s="186" t="s">
        <v>15270</v>
      </c>
      <c r="E11244" s="187">
        <v>53270</v>
      </c>
      <c r="F11244" s="43"/>
      <c r="G11244" s="48">
        <f t="shared" si="283"/>
        <v>1511991.8784760844</v>
      </c>
      <c r="H11244" s="389" t="s">
        <v>9567</v>
      </c>
    </row>
    <row r="11245" spans="1:10" x14ac:dyDescent="0.3">
      <c r="A11245" s="45">
        <v>45663</v>
      </c>
      <c r="B11245" s="394" t="s">
        <v>12133</v>
      </c>
      <c r="C11245" s="186" t="s">
        <v>54</v>
      </c>
      <c r="D11245" s="186" t="s">
        <v>15271</v>
      </c>
      <c r="E11245" s="187">
        <v>44670</v>
      </c>
      <c r="F11245" s="43"/>
      <c r="G11245" s="48">
        <f t="shared" si="283"/>
        <v>1467321.8784760844</v>
      </c>
      <c r="H11245" s="389" t="s">
        <v>9567</v>
      </c>
    </row>
    <row r="11246" spans="1:10" x14ac:dyDescent="0.3">
      <c r="A11246" s="45">
        <v>45663</v>
      </c>
      <c r="B11246" s="394" t="s">
        <v>25</v>
      </c>
      <c r="C11246" s="186" t="s">
        <v>54</v>
      </c>
      <c r="D11246" s="186" t="s">
        <v>15272</v>
      </c>
      <c r="E11246" s="187">
        <v>8000</v>
      </c>
      <c r="F11246" s="43"/>
      <c r="G11246" s="48">
        <f t="shared" si="283"/>
        <v>1459321.8784760844</v>
      </c>
      <c r="H11246" s="389" t="s">
        <v>9567</v>
      </c>
    </row>
    <row r="11247" spans="1:10" x14ac:dyDescent="0.3">
      <c r="A11247" s="45">
        <v>45663</v>
      </c>
      <c r="B11247" s="394" t="s">
        <v>14590</v>
      </c>
      <c r="C11247" s="186" t="s">
        <v>54</v>
      </c>
      <c r="D11247" s="186" t="s">
        <v>13166</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13833</v>
      </c>
      <c r="C11249" s="5" t="s">
        <v>14807</v>
      </c>
      <c r="D11249" s="5" t="s">
        <v>15273</v>
      </c>
      <c r="E11249" s="43">
        <v>8000</v>
      </c>
      <c r="F11249" s="43"/>
      <c r="G11249" s="48">
        <f t="shared" si="283"/>
        <v>1398051.8784760844</v>
      </c>
      <c r="H11249" s="389" t="s">
        <v>9567</v>
      </c>
    </row>
    <row r="11250" spans="1:8" x14ac:dyDescent="0.3">
      <c r="A11250" s="45">
        <v>45663</v>
      </c>
      <c r="B11250" s="396" t="s">
        <v>13833</v>
      </c>
      <c r="C11250" s="5" t="s">
        <v>6028</v>
      </c>
      <c r="D11250" s="5" t="s">
        <v>294</v>
      </c>
      <c r="E11250" s="43">
        <v>22500</v>
      </c>
      <c r="F11250" s="43"/>
      <c r="G11250" s="48">
        <f t="shared" si="283"/>
        <v>1375551.8784760844</v>
      </c>
      <c r="H11250" s="389" t="s">
        <v>9567</v>
      </c>
    </row>
    <row r="11251" spans="1:8" x14ac:dyDescent="0.3">
      <c r="A11251" s="45">
        <v>45663</v>
      </c>
      <c r="B11251" s="396" t="s">
        <v>14524</v>
      </c>
      <c r="C11251" s="5" t="s">
        <v>15274</v>
      </c>
      <c r="D11251" s="5" t="s">
        <v>15277</v>
      </c>
      <c r="E11251" s="43">
        <v>7000</v>
      </c>
      <c r="F11251" s="43"/>
      <c r="G11251" s="48">
        <f t="shared" si="283"/>
        <v>1368551.8784760844</v>
      </c>
      <c r="H11251" s="389" t="s">
        <v>9567</v>
      </c>
    </row>
    <row r="11252" spans="1:8" x14ac:dyDescent="0.3">
      <c r="A11252" s="45">
        <v>45663</v>
      </c>
      <c r="B11252" s="394" t="s">
        <v>13902</v>
      </c>
      <c r="C11252" s="186" t="s">
        <v>54</v>
      </c>
      <c r="D11252" s="186" t="s">
        <v>15278</v>
      </c>
      <c r="E11252" s="187">
        <v>63180</v>
      </c>
      <c r="F11252" s="43"/>
      <c r="G11252" s="48">
        <f t="shared" si="283"/>
        <v>1305371.8784760844</v>
      </c>
      <c r="H11252" s="389" t="s">
        <v>9567</v>
      </c>
    </row>
    <row r="11253" spans="1:8" x14ac:dyDescent="0.3">
      <c r="A11253" s="45">
        <v>45663</v>
      </c>
      <c r="B11253" s="396" t="s">
        <v>13379</v>
      </c>
      <c r="C11253" s="5" t="s">
        <v>30</v>
      </c>
      <c r="D11253" s="5" t="s">
        <v>15281</v>
      </c>
      <c r="E11253" s="43">
        <v>500</v>
      </c>
      <c r="F11253" s="43"/>
      <c r="G11253" s="48">
        <f t="shared" si="283"/>
        <v>1304871.8784760844</v>
      </c>
      <c r="H11253" s="389" t="s">
        <v>9567</v>
      </c>
    </row>
    <row r="11254" spans="1:8" x14ac:dyDescent="0.3">
      <c r="A11254" s="45">
        <v>45663</v>
      </c>
      <c r="B11254" s="394" t="s">
        <v>12055</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11434</v>
      </c>
      <c r="E11255" s="43">
        <v>4000</v>
      </c>
      <c r="F11255" s="43"/>
      <c r="G11255" s="48">
        <f t="shared" si="283"/>
        <v>1272871.8784760844</v>
      </c>
      <c r="H11255" s="389" t="s">
        <v>9567</v>
      </c>
    </row>
    <row r="11256" spans="1:8" x14ac:dyDescent="0.3">
      <c r="A11256" s="45">
        <v>45664</v>
      </c>
      <c r="B11256" s="394" t="s">
        <v>13902</v>
      </c>
      <c r="C11256" s="186" t="s">
        <v>54</v>
      </c>
      <c r="D11256" s="186" t="s">
        <v>13803</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14701</v>
      </c>
      <c r="C11258" s="186" t="s">
        <v>54</v>
      </c>
      <c r="D11258" s="186" t="s">
        <v>15282</v>
      </c>
      <c r="E11258" s="187">
        <f>408000-40000</f>
        <v>368000</v>
      </c>
      <c r="F11258" s="43"/>
      <c r="G11258" s="48">
        <f t="shared" si="283"/>
        <v>849111.87847608444</v>
      </c>
      <c r="H11258" s="389" t="s">
        <v>9567</v>
      </c>
    </row>
    <row r="11259" spans="1:8" x14ac:dyDescent="0.3">
      <c r="A11259" s="45">
        <v>45664</v>
      </c>
      <c r="B11259" s="394" t="s">
        <v>13902</v>
      </c>
      <c r="C11259" s="186" t="s">
        <v>54</v>
      </c>
      <c r="D11259" s="186" t="s">
        <v>15283</v>
      </c>
      <c r="E11259" s="187">
        <v>107350</v>
      </c>
      <c r="F11259" s="43"/>
      <c r="G11259" s="48">
        <f t="shared" si="283"/>
        <v>741761.87847608444</v>
      </c>
      <c r="H11259" s="389" t="s">
        <v>9567</v>
      </c>
    </row>
    <row r="11260" spans="1:8" x14ac:dyDescent="0.3">
      <c r="A11260" s="45">
        <v>45664</v>
      </c>
      <c r="B11260" s="394" t="s">
        <v>12133</v>
      </c>
      <c r="C11260" s="186" t="s">
        <v>54</v>
      </c>
      <c r="D11260" s="186" t="s">
        <v>15284</v>
      </c>
      <c r="E11260" s="187">
        <v>59600</v>
      </c>
      <c r="F11260" s="43"/>
      <c r="G11260" s="48">
        <f t="shared" si="283"/>
        <v>682161.87847608444</v>
      </c>
      <c r="H11260" s="389" t="s">
        <v>9567</v>
      </c>
    </row>
    <row r="11261" spans="1:8" x14ac:dyDescent="0.3">
      <c r="A11261" s="45">
        <v>45664</v>
      </c>
      <c r="B11261" s="396" t="s">
        <v>13833</v>
      </c>
      <c r="C11261" s="5" t="s">
        <v>5793</v>
      </c>
      <c r="D11261" s="5" t="s">
        <v>15285</v>
      </c>
      <c r="E11261" s="43">
        <v>1400</v>
      </c>
      <c r="F11261" s="43"/>
      <c r="G11261" s="48">
        <f t="shared" si="283"/>
        <v>680761.87847608444</v>
      </c>
      <c r="H11261" s="389" t="s">
        <v>9567</v>
      </c>
    </row>
    <row r="11262" spans="1:8" x14ac:dyDescent="0.3">
      <c r="A11262" s="45">
        <v>45664</v>
      </c>
      <c r="B11262" s="396" t="s">
        <v>14685</v>
      </c>
      <c r="C11262" s="5" t="s">
        <v>5793</v>
      </c>
      <c r="D11262" s="5" t="s">
        <v>15285</v>
      </c>
      <c r="E11262" s="43">
        <v>1200</v>
      </c>
      <c r="F11262" s="43"/>
      <c r="G11262" s="48">
        <f t="shared" si="283"/>
        <v>679561.87847608444</v>
      </c>
      <c r="H11262" s="389" t="s">
        <v>9567</v>
      </c>
    </row>
    <row r="11263" spans="1:8" x14ac:dyDescent="0.3">
      <c r="A11263" s="45">
        <v>45664</v>
      </c>
      <c r="B11263" s="396" t="s">
        <v>12133</v>
      </c>
      <c r="C11263" s="5" t="s">
        <v>5793</v>
      </c>
      <c r="D11263" s="5" t="s">
        <v>15285</v>
      </c>
      <c r="E11263" s="43">
        <v>1500</v>
      </c>
      <c r="F11263" s="43"/>
      <c r="G11263" s="48">
        <f t="shared" si="283"/>
        <v>678061.87847608444</v>
      </c>
      <c r="H11263" s="389" t="s">
        <v>9567</v>
      </c>
    </row>
    <row r="11264" spans="1:8" x14ac:dyDescent="0.3">
      <c r="A11264" s="45">
        <v>45664</v>
      </c>
      <c r="B11264" s="396" t="s">
        <v>14524</v>
      </c>
      <c r="C11264" s="5" t="s">
        <v>5793</v>
      </c>
      <c r="D11264" s="5" t="s">
        <v>15285</v>
      </c>
      <c r="E11264" s="43">
        <v>800</v>
      </c>
      <c r="F11264" s="43"/>
      <c r="G11264" s="48">
        <f t="shared" si="283"/>
        <v>677261.87847608444</v>
      </c>
      <c r="H11264" s="389" t="s">
        <v>9567</v>
      </c>
    </row>
    <row r="11265" spans="1:8" x14ac:dyDescent="0.3">
      <c r="A11265" s="45">
        <v>45664</v>
      </c>
      <c r="B11265" s="396" t="s">
        <v>14524</v>
      </c>
      <c r="C11265" s="5" t="s">
        <v>11174</v>
      </c>
      <c r="D11265" s="5" t="s">
        <v>15286</v>
      </c>
      <c r="E11265" s="43">
        <v>8700</v>
      </c>
      <c r="F11265" s="43"/>
      <c r="G11265" s="48">
        <f t="shared" si="283"/>
        <v>668561.87847608444</v>
      </c>
      <c r="H11265" s="389" t="s">
        <v>9567</v>
      </c>
    </row>
    <row r="11266" spans="1:8" x14ac:dyDescent="0.3">
      <c r="A11266" s="45">
        <v>45664</v>
      </c>
      <c r="B11266" s="396" t="s">
        <v>10319</v>
      </c>
      <c r="C11266" s="5" t="s">
        <v>7737</v>
      </c>
      <c r="D11266" s="5" t="s">
        <v>14739</v>
      </c>
      <c r="E11266" s="43">
        <v>30000</v>
      </c>
      <c r="F11266" s="43"/>
      <c r="G11266" s="48">
        <f t="shared" si="283"/>
        <v>638561.87847608444</v>
      </c>
      <c r="H11266" s="389" t="s">
        <v>9567</v>
      </c>
    </row>
    <row r="11267" spans="1:8" x14ac:dyDescent="0.3">
      <c r="A11267" s="45">
        <v>45664</v>
      </c>
      <c r="B11267" s="394" t="s">
        <v>12080</v>
      </c>
      <c r="C11267" s="186" t="s">
        <v>54</v>
      </c>
      <c r="D11267" s="186" t="s">
        <v>12746</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14701</v>
      </c>
      <c r="C11269" s="186" t="s">
        <v>54</v>
      </c>
      <c r="D11269" s="186" t="s">
        <v>6952</v>
      </c>
      <c r="E11269" s="187">
        <v>59110</v>
      </c>
      <c r="F11269" s="43"/>
      <c r="G11269" s="48">
        <f t="shared" si="283"/>
        <v>338091.87847608444</v>
      </c>
      <c r="H11269" s="389" t="s">
        <v>9567</v>
      </c>
    </row>
    <row r="11270" spans="1:8" x14ac:dyDescent="0.3">
      <c r="A11270" s="45">
        <v>45664</v>
      </c>
      <c r="B11270" s="396" t="s">
        <v>13188</v>
      </c>
      <c r="C11270" s="5" t="s">
        <v>11174</v>
      </c>
      <c r="D11270" s="5" t="s">
        <v>12863</v>
      </c>
      <c r="E11270" s="43">
        <v>17000</v>
      </c>
      <c r="F11270" s="43"/>
      <c r="G11270" s="48">
        <f t="shared" si="283"/>
        <v>321091.87847608444</v>
      </c>
      <c r="H11270" s="389" t="s">
        <v>9567</v>
      </c>
    </row>
    <row r="11271" spans="1:8" x14ac:dyDescent="0.3">
      <c r="A11271" s="45">
        <v>45664</v>
      </c>
      <c r="B11271" s="396" t="s">
        <v>13902</v>
      </c>
      <c r="C11271" s="5" t="s">
        <v>11174</v>
      </c>
      <c r="D11271" s="5" t="s">
        <v>15287</v>
      </c>
      <c r="E11271" s="43">
        <v>32500</v>
      </c>
      <c r="F11271" s="43"/>
      <c r="G11271" s="48">
        <f t="shared" si="283"/>
        <v>288591.87847608444</v>
      </c>
      <c r="H11271" s="389" t="s">
        <v>9567</v>
      </c>
    </row>
    <row r="11272" spans="1:8" x14ac:dyDescent="0.3">
      <c r="A11272" s="45">
        <v>45664</v>
      </c>
      <c r="B11272" s="396" t="s">
        <v>13379</v>
      </c>
      <c r="C11272" s="5" t="s">
        <v>11174</v>
      </c>
      <c r="D11272" s="5" t="s">
        <v>12225</v>
      </c>
      <c r="E11272" s="43">
        <v>25200</v>
      </c>
      <c r="F11272" s="43"/>
      <c r="G11272" s="48">
        <f t="shared" si="283"/>
        <v>263391.87847608444</v>
      </c>
      <c r="H11272" s="389" t="s">
        <v>9567</v>
      </c>
    </row>
    <row r="11273" spans="1:8" x14ac:dyDescent="0.3">
      <c r="A11273" s="45">
        <v>45664</v>
      </c>
      <c r="B11273" s="396" t="s">
        <v>15146</v>
      </c>
      <c r="C11273" s="5" t="s">
        <v>11174</v>
      </c>
      <c r="D11273" s="5" t="s">
        <v>15288</v>
      </c>
      <c r="E11273" s="43">
        <v>23760</v>
      </c>
      <c r="F11273" s="43"/>
      <c r="G11273" s="48">
        <f t="shared" si="283"/>
        <v>239631.87847608444</v>
      </c>
      <c r="H11273" s="389" t="s">
        <v>9567</v>
      </c>
    </row>
    <row r="11274" spans="1:8" x14ac:dyDescent="0.3">
      <c r="A11274" s="45">
        <v>45664</v>
      </c>
      <c r="B11274" s="394" t="s">
        <v>14524</v>
      </c>
      <c r="C11274" s="186" t="s">
        <v>54</v>
      </c>
      <c r="D11274" s="186" t="s">
        <v>15289</v>
      </c>
      <c r="E11274" s="187">
        <v>45000</v>
      </c>
      <c r="F11274" s="43"/>
      <c r="G11274" s="48">
        <f t="shared" si="283"/>
        <v>194631.87847608444</v>
      </c>
      <c r="H11274" s="389" t="s">
        <v>9567</v>
      </c>
    </row>
    <row r="11275" spans="1:8" x14ac:dyDescent="0.3">
      <c r="A11275" s="45">
        <v>45664</v>
      </c>
      <c r="B11275" s="396" t="s">
        <v>13833</v>
      </c>
      <c r="C11275" s="5" t="s">
        <v>3220</v>
      </c>
      <c r="D11275" s="5" t="s">
        <v>294</v>
      </c>
      <c r="E11275" s="43">
        <v>10000</v>
      </c>
      <c r="F11275" s="43"/>
      <c r="G11275" s="48">
        <f t="shared" si="283"/>
        <v>184631.87847608444</v>
      </c>
      <c r="H11275" s="389" t="s">
        <v>9567</v>
      </c>
    </row>
    <row r="11276" spans="1:8" x14ac:dyDescent="0.3">
      <c r="A11276" s="45">
        <v>45664</v>
      </c>
      <c r="B11276" s="396" t="s">
        <v>14701</v>
      </c>
      <c r="C11276" s="5" t="s">
        <v>11174</v>
      </c>
      <c r="D11276" s="5" t="s">
        <v>15117</v>
      </c>
      <c r="E11276" s="43">
        <v>28830</v>
      </c>
      <c r="F11276" s="43"/>
      <c r="G11276" s="48">
        <f t="shared" si="283"/>
        <v>155801.87847608444</v>
      </c>
      <c r="H11276" s="389" t="s">
        <v>9567</v>
      </c>
    </row>
    <row r="11277" spans="1:8" x14ac:dyDescent="0.3">
      <c r="A11277" s="45">
        <v>45664</v>
      </c>
      <c r="B11277" s="396" t="s">
        <v>14882</v>
      </c>
      <c r="C11277" s="5" t="s">
        <v>11174</v>
      </c>
      <c r="D11277" s="5" t="s">
        <v>15290</v>
      </c>
      <c r="E11277" s="43">
        <v>8820</v>
      </c>
      <c r="F11277" s="43"/>
      <c r="G11277" s="48">
        <f t="shared" si="283"/>
        <v>146981.87847608444</v>
      </c>
      <c r="H11277" s="389" t="s">
        <v>9567</v>
      </c>
    </row>
    <row r="11278" spans="1:8" x14ac:dyDescent="0.3">
      <c r="A11278" s="45">
        <v>45664</v>
      </c>
      <c r="B11278" s="396" t="s">
        <v>12080</v>
      </c>
      <c r="C11278" s="5" t="s">
        <v>26</v>
      </c>
      <c r="D11278" s="5" t="s">
        <v>15291</v>
      </c>
      <c r="E11278" s="43">
        <v>3000</v>
      </c>
      <c r="F11278" s="43"/>
      <c r="G11278" s="48">
        <f t="shared" ref="G11278:G11342" si="284">G11277+F11278-E11278</f>
        <v>143981.87847608444</v>
      </c>
      <c r="H11278" s="389" t="s">
        <v>9567</v>
      </c>
    </row>
    <row r="11279" spans="1:8" x14ac:dyDescent="0.3">
      <c r="A11279" s="45">
        <v>45664</v>
      </c>
      <c r="B11279" s="396" t="s">
        <v>15146</v>
      </c>
      <c r="C11279" s="5" t="s">
        <v>5793</v>
      </c>
      <c r="D11279" s="5" t="s">
        <v>294</v>
      </c>
      <c r="E11279" s="43">
        <v>1700</v>
      </c>
      <c r="F11279" s="43"/>
      <c r="G11279" s="48">
        <f t="shared" si="284"/>
        <v>142281.87847608444</v>
      </c>
      <c r="H11279" s="389" t="s">
        <v>9567</v>
      </c>
    </row>
    <row r="11280" spans="1:8" x14ac:dyDescent="0.3">
      <c r="A11280" s="45">
        <v>45664</v>
      </c>
      <c r="B11280" s="396" t="s">
        <v>15146</v>
      </c>
      <c r="C11280" s="5" t="s">
        <v>13873</v>
      </c>
      <c r="D11280" s="5" t="s">
        <v>15292</v>
      </c>
      <c r="E11280" s="43">
        <v>1800</v>
      </c>
      <c r="F11280" s="43"/>
      <c r="G11280" s="48">
        <f t="shared" si="284"/>
        <v>140481.87847608444</v>
      </c>
      <c r="H11280" s="389" t="s">
        <v>9567</v>
      </c>
    </row>
    <row r="11281" spans="1:10" x14ac:dyDescent="0.3">
      <c r="A11281" s="45">
        <v>45664</v>
      </c>
      <c r="B11281" s="394" t="s">
        <v>13902</v>
      </c>
      <c r="C11281" s="186" t="s">
        <v>54</v>
      </c>
      <c r="D11281" s="186" t="s">
        <v>15294</v>
      </c>
      <c r="E11281" s="187">
        <v>35800</v>
      </c>
      <c r="F11281" s="43"/>
      <c r="G11281" s="48">
        <f t="shared" si="284"/>
        <v>104681.87847608444</v>
      </c>
      <c r="H11281" s="389" t="s">
        <v>9567</v>
      </c>
    </row>
    <row r="11282" spans="1:10" x14ac:dyDescent="0.3">
      <c r="A11282" s="45">
        <v>45664</v>
      </c>
      <c r="B11282" s="396" t="s">
        <v>14685</v>
      </c>
      <c r="C11282" s="5" t="s">
        <v>11174</v>
      </c>
      <c r="D11282" s="5" t="s">
        <v>15295</v>
      </c>
      <c r="E11282" s="43">
        <v>11800</v>
      </c>
      <c r="F11282" s="43"/>
      <c r="G11282" s="48">
        <f t="shared" si="284"/>
        <v>92881.878476084443</v>
      </c>
      <c r="H11282" s="389" t="s">
        <v>9567</v>
      </c>
    </row>
    <row r="11283" spans="1:10" x14ac:dyDescent="0.3">
      <c r="A11283" s="45">
        <v>45664</v>
      </c>
      <c r="B11283" s="565"/>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14248</v>
      </c>
      <c r="C11285" s="5" t="s">
        <v>5288</v>
      </c>
      <c r="D11285" s="5" t="s">
        <v>15306</v>
      </c>
      <c r="E11285" s="43">
        <v>100000</v>
      </c>
      <c r="F11285" s="43"/>
      <c r="G11285" s="48">
        <f t="shared" si="284"/>
        <v>474881.87847608444</v>
      </c>
      <c r="H11285" s="389" t="s">
        <v>9567</v>
      </c>
    </row>
    <row r="11286" spans="1:10" x14ac:dyDescent="0.3">
      <c r="A11286" s="45">
        <v>45664</v>
      </c>
      <c r="B11286" s="396" t="s">
        <v>15033</v>
      </c>
      <c r="C11286" s="5" t="s">
        <v>5793</v>
      </c>
      <c r="D11286" s="5" t="s">
        <v>40</v>
      </c>
      <c r="E11286" s="43">
        <v>600</v>
      </c>
      <c r="F11286" s="43"/>
      <c r="G11286" s="48">
        <f t="shared" si="284"/>
        <v>474281.87847608444</v>
      </c>
      <c r="H11286" s="389" t="s">
        <v>9567</v>
      </c>
    </row>
    <row r="11287" spans="1:10" x14ac:dyDescent="0.3">
      <c r="A11287" s="45">
        <v>45664</v>
      </c>
      <c r="B11287" s="394" t="s">
        <v>14882</v>
      </c>
      <c r="C11287" s="186" t="s">
        <v>54</v>
      </c>
      <c r="D11287" s="186" t="s">
        <v>15307</v>
      </c>
      <c r="E11287" s="187">
        <v>130161</v>
      </c>
      <c r="F11287" s="43"/>
      <c r="G11287" s="48">
        <f t="shared" si="284"/>
        <v>344120.87847608444</v>
      </c>
      <c r="H11287" s="389" t="s">
        <v>9567</v>
      </c>
    </row>
    <row r="11288" spans="1:10" x14ac:dyDescent="0.3">
      <c r="A11288" s="45">
        <v>45664</v>
      </c>
      <c r="B11288" s="396" t="s">
        <v>15146</v>
      </c>
      <c r="C11288" s="5" t="s">
        <v>11174</v>
      </c>
      <c r="D11288" s="5" t="s">
        <v>15296</v>
      </c>
      <c r="E11288" s="43">
        <v>31000</v>
      </c>
      <c r="F11288" s="43"/>
      <c r="G11288" s="48">
        <f t="shared" si="284"/>
        <v>313120.87847608444</v>
      </c>
      <c r="H11288" s="389" t="s">
        <v>9567</v>
      </c>
    </row>
    <row r="11289" spans="1:10" x14ac:dyDescent="0.3">
      <c r="A11289" s="45">
        <v>45664</v>
      </c>
      <c r="B11289" s="394" t="s">
        <v>13981</v>
      </c>
      <c r="C11289" s="186" t="s">
        <v>54</v>
      </c>
      <c r="D11289" s="186" t="s">
        <v>14671</v>
      </c>
      <c r="E11289" s="187">
        <v>32870</v>
      </c>
      <c r="F11289" s="43"/>
      <c r="G11289" s="48">
        <f t="shared" si="284"/>
        <v>280250.87847608444</v>
      </c>
      <c r="H11289" s="389" t="s">
        <v>9567</v>
      </c>
    </row>
    <row r="11290" spans="1:10" x14ac:dyDescent="0.3">
      <c r="A11290" s="45">
        <v>45664</v>
      </c>
      <c r="B11290" s="394" t="s">
        <v>14701</v>
      </c>
      <c r="C11290" s="186" t="s">
        <v>54</v>
      </c>
      <c r="D11290" s="186" t="s">
        <v>14883</v>
      </c>
      <c r="E11290" s="187">
        <v>54000</v>
      </c>
      <c r="F11290" s="43"/>
      <c r="G11290" s="48">
        <f t="shared" si="284"/>
        <v>226250.87847608444</v>
      </c>
      <c r="H11290" s="389" t="s">
        <v>9567</v>
      </c>
    </row>
    <row r="11291" spans="1:10" x14ac:dyDescent="0.3">
      <c r="A11291" s="45">
        <v>45664</v>
      </c>
      <c r="B11291" s="394" t="s">
        <v>12133</v>
      </c>
      <c r="C11291" s="186" t="s">
        <v>54</v>
      </c>
      <c r="D11291" s="186" t="s">
        <v>14367</v>
      </c>
      <c r="E11291" s="187">
        <v>28300</v>
      </c>
      <c r="F11291" s="43"/>
      <c r="G11291" s="48">
        <f t="shared" si="284"/>
        <v>197950.87847608444</v>
      </c>
      <c r="H11291" s="389" t="s">
        <v>9567</v>
      </c>
    </row>
    <row r="11292" spans="1:10" x14ac:dyDescent="0.3">
      <c r="A11292" s="45">
        <v>45664</v>
      </c>
      <c r="B11292" s="394" t="s">
        <v>15146</v>
      </c>
      <c r="C11292" s="186" t="s">
        <v>54</v>
      </c>
      <c r="D11292" s="186" t="s">
        <v>12520</v>
      </c>
      <c r="E11292" s="187">
        <f>38650+25000</f>
        <v>63650</v>
      </c>
      <c r="F11292" s="43"/>
      <c r="G11292" s="48">
        <f t="shared" si="284"/>
        <v>134300.87847608444</v>
      </c>
      <c r="H11292" s="389" t="s">
        <v>9567</v>
      </c>
    </row>
    <row r="11293" spans="1:10" x14ac:dyDescent="0.3">
      <c r="A11293" s="45">
        <v>45664</v>
      </c>
      <c r="B11293" s="396" t="s">
        <v>15146</v>
      </c>
      <c r="C11293" s="5" t="s">
        <v>11174</v>
      </c>
      <c r="D11293" s="5" t="s">
        <v>15303</v>
      </c>
      <c r="E11293" s="43">
        <v>1500</v>
      </c>
      <c r="F11293" s="43"/>
      <c r="G11293" s="48">
        <f t="shared" si="284"/>
        <v>132800.87847608444</v>
      </c>
      <c r="H11293" s="389" t="s">
        <v>9567</v>
      </c>
    </row>
    <row r="11294" spans="1:10" x14ac:dyDescent="0.3">
      <c r="A11294" s="45">
        <v>45665</v>
      </c>
      <c r="B11294" s="396" t="s">
        <v>12230</v>
      </c>
      <c r="C11294" s="5" t="s">
        <v>14848</v>
      </c>
      <c r="D11294" s="5" t="s">
        <v>15301</v>
      </c>
      <c r="E11294" s="43">
        <v>2800</v>
      </c>
      <c r="F11294" s="43"/>
      <c r="G11294" s="48">
        <f t="shared" si="284"/>
        <v>130000.87847608444</v>
      </c>
      <c r="H11294" s="389" t="s">
        <v>9567</v>
      </c>
      <c r="J11294" s="701"/>
    </row>
    <row r="11295" spans="1:10" x14ac:dyDescent="0.3">
      <c r="A11295" s="45">
        <v>45665</v>
      </c>
      <c r="B11295" s="396" t="s">
        <v>15146</v>
      </c>
      <c r="C11295" s="5" t="s">
        <v>30</v>
      </c>
      <c r="D11295" s="5" t="s">
        <v>14626</v>
      </c>
      <c r="E11295" s="43">
        <v>2350</v>
      </c>
      <c r="F11295" s="43"/>
      <c r="G11295" s="48">
        <f t="shared" si="284"/>
        <v>127650.87847608444</v>
      </c>
      <c r="H11295" s="389" t="s">
        <v>9567</v>
      </c>
    </row>
    <row r="11296" spans="1:10" x14ac:dyDescent="0.3">
      <c r="A11296" s="45">
        <v>45665</v>
      </c>
      <c r="B11296" s="396"/>
      <c r="C11296" s="186" t="s">
        <v>54</v>
      </c>
      <c r="D11296" s="186" t="s">
        <v>15305</v>
      </c>
      <c r="E11296" s="187">
        <v>50020</v>
      </c>
      <c r="F11296" s="43"/>
      <c r="G11296" s="48">
        <f t="shared" si="284"/>
        <v>77630.878476084443</v>
      </c>
      <c r="H11296" s="389" t="s">
        <v>9567</v>
      </c>
      <c r="I11296" s="583" t="s">
        <v>12514</v>
      </c>
      <c r="J11296" s="187">
        <v>3564498.6290322589</v>
      </c>
    </row>
    <row r="11297" spans="1:10" x14ac:dyDescent="0.3">
      <c r="A11297" s="45">
        <v>45665</v>
      </c>
      <c r="B11297" s="396" t="s">
        <v>13833</v>
      </c>
      <c r="C11297" s="5" t="s">
        <v>5793</v>
      </c>
      <c r="D11297" s="5" t="s">
        <v>40</v>
      </c>
      <c r="E11297" s="43">
        <v>1100</v>
      </c>
      <c r="F11297" s="43"/>
      <c r="G11297" s="48">
        <f t="shared" si="284"/>
        <v>76530.878476084443</v>
      </c>
      <c r="H11297" s="389" t="s">
        <v>9567</v>
      </c>
      <c r="I11297" s="583" t="s">
        <v>55</v>
      </c>
      <c r="J11297" s="187">
        <f ca="1">SUMIF(C11193:E127172,"salary",E11193:E138183)</f>
        <v>12502228.265168967</v>
      </c>
    </row>
    <row r="11298" spans="1:10" x14ac:dyDescent="0.3">
      <c r="A11298" s="45">
        <v>45665</v>
      </c>
      <c r="B11298" s="396" t="s">
        <v>14701</v>
      </c>
      <c r="C11298" s="5" t="s">
        <v>15308</v>
      </c>
      <c r="D11298" s="5" t="s">
        <v>15309</v>
      </c>
      <c r="E11298" s="43">
        <v>8000</v>
      </c>
      <c r="F11298" s="43"/>
      <c r="G11298" s="48">
        <f t="shared" si="284"/>
        <v>68530.878476084443</v>
      </c>
      <c r="H11298" s="389" t="s">
        <v>9567</v>
      </c>
      <c r="I11298" s="583" t="s">
        <v>12233</v>
      </c>
      <c r="J11298" s="187">
        <f ca="1">J11296-J11297</f>
        <v>-8937729.6361367069</v>
      </c>
    </row>
    <row r="11299" spans="1:10" x14ac:dyDescent="0.3">
      <c r="A11299" s="45">
        <v>45665</v>
      </c>
      <c r="B11299" s="396" t="s">
        <v>13833</v>
      </c>
      <c r="C11299" s="5" t="s">
        <v>11174</v>
      </c>
      <c r="D11299" s="5" t="s">
        <v>15310</v>
      </c>
      <c r="E11299" s="43">
        <v>39000</v>
      </c>
      <c r="F11299" s="43"/>
      <c r="G11299" s="48">
        <f t="shared" si="284"/>
        <v>29530.878476084443</v>
      </c>
      <c r="H11299" s="389" t="s">
        <v>9567</v>
      </c>
    </row>
    <row r="11300" spans="1:10" x14ac:dyDescent="0.3">
      <c r="A11300" s="45">
        <v>45665</v>
      </c>
      <c r="B11300" s="565"/>
      <c r="C11300" s="480"/>
      <c r="D11300" s="491" t="s">
        <v>4106</v>
      </c>
      <c r="E11300" s="480"/>
      <c r="F11300" s="43">
        <v>500000</v>
      </c>
      <c r="G11300" s="48">
        <f t="shared" si="284"/>
        <v>529530.87847608444</v>
      </c>
      <c r="H11300" s="389" t="s">
        <v>9567</v>
      </c>
      <c r="I11300" s="583" t="s">
        <v>15302</v>
      </c>
      <c r="J11300" s="583" t="e">
        <v>#REF!</v>
      </c>
    </row>
    <row r="11301" spans="1:10" x14ac:dyDescent="0.3">
      <c r="A11301" s="45">
        <v>45665</v>
      </c>
      <c r="B11301" s="394" t="s">
        <v>14590</v>
      </c>
      <c r="C11301" s="186" t="s">
        <v>54</v>
      </c>
      <c r="D11301" s="186" t="s">
        <v>15059</v>
      </c>
      <c r="E11301" s="187">
        <v>57800</v>
      </c>
      <c r="F11301" s="43"/>
      <c r="G11301" s="48">
        <f t="shared" si="284"/>
        <v>471730.87847608444</v>
      </c>
      <c r="H11301" s="389" t="s">
        <v>9567</v>
      </c>
      <c r="I11301" s="583"/>
      <c r="J11301" s="583" t="e">
        <f ca="1">J11298-J11300</f>
        <v>#REF!</v>
      </c>
    </row>
    <row r="11302" spans="1:10" x14ac:dyDescent="0.3">
      <c r="A11302" s="45">
        <v>45665</v>
      </c>
      <c r="B11302" s="396" t="s">
        <v>25</v>
      </c>
      <c r="C11302" s="5" t="s">
        <v>26</v>
      </c>
      <c r="D11302" s="5" t="s">
        <v>11434</v>
      </c>
      <c r="E11302" s="43">
        <v>4000</v>
      </c>
      <c r="F11302" s="43"/>
      <c r="G11302" s="48">
        <f t="shared" si="284"/>
        <v>467730.87847608444</v>
      </c>
      <c r="H11302" s="389" t="s">
        <v>9567</v>
      </c>
    </row>
    <row r="11303" spans="1:10" x14ac:dyDescent="0.3">
      <c r="A11303" s="45">
        <v>45665</v>
      </c>
      <c r="B11303" s="396" t="s">
        <v>13902</v>
      </c>
      <c r="C11303" s="5" t="s">
        <v>5793</v>
      </c>
      <c r="D11303" s="5" t="s">
        <v>8924</v>
      </c>
      <c r="E11303" s="43">
        <v>750</v>
      </c>
      <c r="F11303" s="43"/>
      <c r="G11303" s="48">
        <f t="shared" si="284"/>
        <v>466980.87847608444</v>
      </c>
      <c r="H11303" s="389" t="s">
        <v>9567</v>
      </c>
    </row>
    <row r="11304" spans="1:10" x14ac:dyDescent="0.3">
      <c r="A11304" s="45">
        <v>45665</v>
      </c>
      <c r="B11304" s="396" t="s">
        <v>13833</v>
      </c>
      <c r="C11304" s="5" t="s">
        <v>3220</v>
      </c>
      <c r="D11304" s="5" t="s">
        <v>15311</v>
      </c>
      <c r="E11304" s="43">
        <v>3000</v>
      </c>
      <c r="F11304" s="43"/>
      <c r="G11304" s="48">
        <f t="shared" si="284"/>
        <v>463980.87847608444</v>
      </c>
      <c r="H11304" s="389" t="s">
        <v>9567</v>
      </c>
    </row>
    <row r="11305" spans="1:10" x14ac:dyDescent="0.3">
      <c r="A11305" s="45">
        <v>45665</v>
      </c>
      <c r="B11305" s="396" t="s">
        <v>13833</v>
      </c>
      <c r="C11305" s="5" t="s">
        <v>5793</v>
      </c>
      <c r="D11305" s="5" t="s">
        <v>40</v>
      </c>
      <c r="E11305" s="43">
        <v>1500</v>
      </c>
      <c r="F11305" s="43"/>
      <c r="G11305" s="48">
        <f t="shared" si="284"/>
        <v>462480.87847608444</v>
      </c>
      <c r="H11305" s="389" t="s">
        <v>9567</v>
      </c>
    </row>
    <row r="11306" spans="1:10" x14ac:dyDescent="0.3">
      <c r="A11306" s="45">
        <v>45666</v>
      </c>
      <c r="B11306" s="396" t="s">
        <v>15146</v>
      </c>
      <c r="C11306" s="5" t="s">
        <v>84</v>
      </c>
      <c r="D11306" s="5" t="s">
        <v>15109</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15146</v>
      </c>
      <c r="C11308" s="186" t="s">
        <v>54</v>
      </c>
      <c r="D11308" s="186" t="s">
        <v>15312</v>
      </c>
      <c r="E11308" s="187">
        <v>36780</v>
      </c>
      <c r="F11308" s="43"/>
      <c r="G11308" s="48">
        <f t="shared" si="284"/>
        <v>413700.87847608444</v>
      </c>
      <c r="H11308" s="389" t="s">
        <v>9567</v>
      </c>
    </row>
    <row r="11309" spans="1:10" x14ac:dyDescent="0.3">
      <c r="A11309" s="45">
        <v>45666</v>
      </c>
      <c r="B11309" s="394" t="s">
        <v>14590</v>
      </c>
      <c r="C11309" s="186" t="s">
        <v>54</v>
      </c>
      <c r="D11309" s="186" t="s">
        <v>15325</v>
      </c>
      <c r="E11309" s="187">
        <f>77620+21050</f>
        <v>98670</v>
      </c>
      <c r="F11309" s="43"/>
      <c r="G11309" s="48">
        <f t="shared" si="284"/>
        <v>315030.87847608444</v>
      </c>
      <c r="H11309" s="389" t="s">
        <v>9567</v>
      </c>
    </row>
    <row r="11310" spans="1:10" x14ac:dyDescent="0.3">
      <c r="A11310" s="45">
        <v>45666</v>
      </c>
      <c r="B11310" s="394" t="s">
        <v>13138</v>
      </c>
      <c r="C11310" s="186" t="s">
        <v>54</v>
      </c>
      <c r="D11310" s="186" t="s">
        <v>13171</v>
      </c>
      <c r="E11310" s="187">
        <v>50500</v>
      </c>
      <c r="F11310" s="43"/>
      <c r="G11310" s="48">
        <f t="shared" si="284"/>
        <v>264530.87847608444</v>
      </c>
      <c r="H11310" s="389" t="s">
        <v>9567</v>
      </c>
    </row>
    <row r="11311" spans="1:10" x14ac:dyDescent="0.3">
      <c r="A11311" s="45">
        <v>45666</v>
      </c>
      <c r="B11311" s="394" t="s">
        <v>12611</v>
      </c>
      <c r="C11311" s="186" t="s">
        <v>54</v>
      </c>
      <c r="D11311" s="186" t="s">
        <v>15313</v>
      </c>
      <c r="E11311" s="187">
        <f>11300+10000</f>
        <v>21300</v>
      </c>
      <c r="F11311" s="43"/>
      <c r="G11311" s="48">
        <f t="shared" si="284"/>
        <v>243230.87847608444</v>
      </c>
      <c r="H11311" s="389" t="s">
        <v>9567</v>
      </c>
    </row>
    <row r="11312" spans="1:10" x14ac:dyDescent="0.3">
      <c r="A11312" s="45">
        <v>45666</v>
      </c>
      <c r="B11312" s="394" t="s">
        <v>13902</v>
      </c>
      <c r="C11312" s="186" t="s">
        <v>54</v>
      </c>
      <c r="D11312" s="186" t="s">
        <v>15314</v>
      </c>
      <c r="E11312" s="187">
        <v>41300</v>
      </c>
      <c r="F11312" s="43"/>
      <c r="G11312" s="48">
        <f t="shared" si="284"/>
        <v>201930.87847608444</v>
      </c>
      <c r="H11312" s="389" t="s">
        <v>9567</v>
      </c>
    </row>
    <row r="11313" spans="1:9" x14ac:dyDescent="0.3">
      <c r="A11313" s="45">
        <v>45666</v>
      </c>
      <c r="B11313" s="396" t="s">
        <v>13902</v>
      </c>
      <c r="C11313" s="5" t="s">
        <v>5793</v>
      </c>
      <c r="D11313" s="5" t="s">
        <v>49</v>
      </c>
      <c r="E11313" s="43">
        <v>3800</v>
      </c>
      <c r="F11313" s="43"/>
      <c r="G11313" s="48">
        <f t="shared" si="284"/>
        <v>198130.87847608444</v>
      </c>
      <c r="H11313" s="389" t="s">
        <v>9567</v>
      </c>
    </row>
    <row r="11314" spans="1:9" x14ac:dyDescent="0.3">
      <c r="A11314" s="45">
        <v>45666</v>
      </c>
      <c r="B11314" s="396" t="s">
        <v>14701</v>
      </c>
      <c r="C11314" s="5" t="s">
        <v>54</v>
      </c>
      <c r="D11314" s="5" t="s">
        <v>15315</v>
      </c>
      <c r="E11314" s="43">
        <v>7100</v>
      </c>
      <c r="F11314" s="43"/>
      <c r="G11314" s="48">
        <f t="shared" si="284"/>
        <v>191030.87847608444</v>
      </c>
      <c r="H11314" s="389" t="s">
        <v>9567</v>
      </c>
    </row>
    <row r="11315" spans="1:9" x14ac:dyDescent="0.3">
      <c r="A11315" s="45">
        <v>45666</v>
      </c>
      <c r="B11315" s="396" t="s">
        <v>14701</v>
      </c>
      <c r="C11315" s="5" t="s">
        <v>18</v>
      </c>
      <c r="D11315" s="5" t="s">
        <v>294</v>
      </c>
      <c r="E11315" s="43">
        <v>5000</v>
      </c>
      <c r="F11315" s="43"/>
      <c r="G11315" s="48">
        <f t="shared" si="284"/>
        <v>186030.87847608444</v>
      </c>
      <c r="H11315" s="389" t="s">
        <v>9567</v>
      </c>
    </row>
    <row r="11316" spans="1:9" x14ac:dyDescent="0.3">
      <c r="A11316" s="45">
        <v>45666</v>
      </c>
      <c r="B11316" s="396" t="s">
        <v>14031</v>
      </c>
      <c r="C11316" s="5" t="s">
        <v>9451</v>
      </c>
      <c r="D11316" s="5" t="s">
        <v>15316</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15146</v>
      </c>
      <c r="C11318" s="5" t="s">
        <v>11174</v>
      </c>
      <c r="D11318" s="5" t="s">
        <v>15320</v>
      </c>
      <c r="E11318" s="43">
        <f>9000+950+450+950</f>
        <v>11350</v>
      </c>
      <c r="F11318" s="43"/>
      <c r="G11318" s="48">
        <f t="shared" si="284"/>
        <v>132180.87847608444</v>
      </c>
      <c r="H11318" s="389" t="s">
        <v>9567</v>
      </c>
    </row>
    <row r="11319" spans="1:9" x14ac:dyDescent="0.3">
      <c r="A11319" s="45">
        <v>45667</v>
      </c>
      <c r="B11319" s="396" t="s">
        <v>25</v>
      </c>
      <c r="C11319" s="5" t="s">
        <v>26</v>
      </c>
      <c r="D11319" s="5" t="s">
        <v>15317</v>
      </c>
      <c r="E11319" s="43">
        <v>500</v>
      </c>
      <c r="F11319" s="43"/>
      <c r="G11319" s="48">
        <f t="shared" si="284"/>
        <v>131680.87847608444</v>
      </c>
      <c r="H11319" s="389" t="s">
        <v>9567</v>
      </c>
    </row>
    <row r="11320" spans="1:9" x14ac:dyDescent="0.3">
      <c r="A11320" s="45">
        <v>45667</v>
      </c>
      <c r="B11320" s="396" t="s">
        <v>15146</v>
      </c>
      <c r="C11320" s="5" t="s">
        <v>30</v>
      </c>
      <c r="D11320" s="5" t="s">
        <v>14626</v>
      </c>
      <c r="E11320" s="43">
        <v>1000</v>
      </c>
      <c r="F11320" s="43"/>
      <c r="G11320" s="48">
        <f t="shared" si="284"/>
        <v>130680.87847608444</v>
      </c>
      <c r="H11320" s="389" t="s">
        <v>9567</v>
      </c>
    </row>
    <row r="11321" spans="1:9" x14ac:dyDescent="0.3">
      <c r="A11321" s="45">
        <v>45667</v>
      </c>
      <c r="B11321" s="396" t="s">
        <v>10319</v>
      </c>
      <c r="C11321" s="5" t="s">
        <v>14959</v>
      </c>
      <c r="D11321" s="5" t="s">
        <v>15318</v>
      </c>
      <c r="E11321" s="43">
        <v>17800</v>
      </c>
      <c r="F11321" s="43"/>
      <c r="G11321" s="48">
        <f t="shared" si="284"/>
        <v>112880.87847608444</v>
      </c>
      <c r="H11321" s="389" t="s">
        <v>9567</v>
      </c>
    </row>
    <row r="11322" spans="1:9" x14ac:dyDescent="0.3">
      <c r="A11322" s="45">
        <v>45667</v>
      </c>
      <c r="B11322" s="396" t="s">
        <v>25</v>
      </c>
      <c r="C11322" s="5" t="s">
        <v>26</v>
      </c>
      <c r="D11322" s="5" t="s">
        <v>11434</v>
      </c>
      <c r="E11322" s="43">
        <v>3000</v>
      </c>
      <c r="F11322" s="43"/>
      <c r="G11322" s="48">
        <f t="shared" si="284"/>
        <v>109880.87847608444</v>
      </c>
      <c r="H11322" s="389" t="s">
        <v>9567</v>
      </c>
    </row>
    <row r="11323" spans="1:9" x14ac:dyDescent="0.3">
      <c r="A11323" s="45">
        <v>45667</v>
      </c>
      <c r="B11323" s="396" t="s">
        <v>14524</v>
      </c>
      <c r="C11323" s="5" t="s">
        <v>11174</v>
      </c>
      <c r="D11323" s="5" t="s">
        <v>15322</v>
      </c>
      <c r="E11323" s="65">
        <v>2300</v>
      </c>
      <c r="F11323" s="43"/>
      <c r="G11323" s="48">
        <f t="shared" si="284"/>
        <v>107580.87847608444</v>
      </c>
      <c r="H11323" s="389" t="s">
        <v>9567</v>
      </c>
    </row>
    <row r="11324" spans="1:9" x14ac:dyDescent="0.3">
      <c r="A11324" s="45">
        <v>45667</v>
      </c>
      <c r="B11324" s="396" t="s">
        <v>15146</v>
      </c>
      <c r="C11324" s="5" t="s">
        <v>11174</v>
      </c>
      <c r="D11324" s="5" t="s">
        <v>15323</v>
      </c>
      <c r="E11324" s="65">
        <v>4120</v>
      </c>
      <c r="F11324" s="43"/>
      <c r="G11324" s="48">
        <f t="shared" si="284"/>
        <v>103460.87847608444</v>
      </c>
      <c r="H11324" s="389" t="s">
        <v>9567</v>
      </c>
    </row>
    <row r="11325" spans="1:9" x14ac:dyDescent="0.3">
      <c r="A11325" s="45">
        <v>45667</v>
      </c>
      <c r="B11325" s="394" t="s">
        <v>14701</v>
      </c>
      <c r="C11325" s="186" t="s">
        <v>54</v>
      </c>
      <c r="D11325" s="186" t="s">
        <v>15321</v>
      </c>
      <c r="E11325" s="187">
        <v>53200</v>
      </c>
      <c r="F11325" s="43"/>
      <c r="G11325" s="48">
        <f t="shared" si="284"/>
        <v>50260.878476084443</v>
      </c>
      <c r="H11325" s="389" t="s">
        <v>9567</v>
      </c>
    </row>
    <row r="11326" spans="1:9" x14ac:dyDescent="0.3">
      <c r="A11326" s="45">
        <v>45668</v>
      </c>
      <c r="B11326" s="396" t="s">
        <v>15162</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14031</v>
      </c>
      <c r="C11327" s="5" t="s">
        <v>9451</v>
      </c>
      <c r="D11327" s="5" t="s">
        <v>15324</v>
      </c>
      <c r="E11327" s="43">
        <v>38500</v>
      </c>
      <c r="F11327" s="43"/>
      <c r="G11327" s="48">
        <f t="shared" si="284"/>
        <v>10260.878476084443</v>
      </c>
      <c r="H11327" s="389" t="s">
        <v>9567</v>
      </c>
    </row>
    <row r="11328" spans="1:9" x14ac:dyDescent="0.3">
      <c r="A11328" s="45">
        <v>45668</v>
      </c>
      <c r="B11328" s="396" t="s">
        <v>25</v>
      </c>
      <c r="C11328" s="5" t="s">
        <v>26</v>
      </c>
      <c r="D11328" s="5" t="s">
        <v>11434</v>
      </c>
      <c r="E11328" s="43">
        <v>3000</v>
      </c>
      <c r="F11328" s="43"/>
      <c r="G11328" s="48">
        <f t="shared" si="284"/>
        <v>7260.8784760844428</v>
      </c>
      <c r="H11328" s="389" t="s">
        <v>9567</v>
      </c>
    </row>
    <row r="11329" spans="1:10" x14ac:dyDescent="0.3">
      <c r="A11329" s="45">
        <v>45668</v>
      </c>
      <c r="B11329" s="396" t="s">
        <v>15146</v>
      </c>
      <c r="C11329" s="5" t="s">
        <v>30</v>
      </c>
      <c r="D11329" s="5" t="s">
        <v>14626</v>
      </c>
      <c r="E11329" s="43">
        <v>1500</v>
      </c>
      <c r="F11329" s="43"/>
      <c r="G11329" s="48">
        <f t="shared" si="284"/>
        <v>5760.8784760844428</v>
      </c>
      <c r="H11329" s="389" t="s">
        <v>9567</v>
      </c>
    </row>
    <row r="11330" spans="1:10" x14ac:dyDescent="0.3">
      <c r="A11330" s="45">
        <v>45668</v>
      </c>
      <c r="B11330" s="396" t="s">
        <v>13379</v>
      </c>
      <c r="C11330" s="5" t="s">
        <v>30</v>
      </c>
      <c r="D11330" s="5" t="s">
        <v>15328</v>
      </c>
      <c r="E11330" s="43">
        <v>400</v>
      </c>
      <c r="F11330" s="43"/>
      <c r="G11330" s="48">
        <f t="shared" si="284"/>
        <v>5360.8784760844428</v>
      </c>
      <c r="H11330" s="389" t="s">
        <v>9567</v>
      </c>
    </row>
    <row r="11331" spans="1:10" x14ac:dyDescent="0.3">
      <c r="A11331" s="45">
        <v>45670</v>
      </c>
      <c r="B11331" s="396" t="s">
        <v>15162</v>
      </c>
      <c r="C11331" s="5" t="s">
        <v>5793</v>
      </c>
      <c r="D11331" s="5" t="s">
        <v>40</v>
      </c>
      <c r="E11331" s="43">
        <v>800</v>
      </c>
      <c r="F11331" s="43"/>
      <c r="G11331" s="48">
        <f t="shared" si="284"/>
        <v>4560.8784760844428</v>
      </c>
      <c r="H11331" s="389" t="s">
        <v>9567</v>
      </c>
    </row>
    <row r="11332" spans="1:10" x14ac:dyDescent="0.3">
      <c r="A11332" s="45">
        <v>45670</v>
      </c>
      <c r="B11332" s="396" t="s">
        <v>14524</v>
      </c>
      <c r="C11332" s="5" t="s">
        <v>11174</v>
      </c>
      <c r="D11332" s="5" t="s">
        <v>15329</v>
      </c>
      <c r="E11332" s="43">
        <v>950</v>
      </c>
      <c r="F11332" s="43"/>
      <c r="G11332" s="48">
        <f t="shared" si="284"/>
        <v>3610.8784760844428</v>
      </c>
      <c r="H11332" s="389" t="s">
        <v>9567</v>
      </c>
    </row>
    <row r="11333" spans="1:10" x14ac:dyDescent="0.3">
      <c r="A11333" s="45">
        <v>45670</v>
      </c>
      <c r="B11333" s="396" t="s">
        <v>13833</v>
      </c>
      <c r="C11333" s="5" t="s">
        <v>5793</v>
      </c>
      <c r="D11333" s="5" t="s">
        <v>40</v>
      </c>
      <c r="E11333" s="43">
        <v>2000</v>
      </c>
      <c r="F11333" s="43"/>
      <c r="G11333" s="48">
        <f t="shared" si="284"/>
        <v>1610.8784760844428</v>
      </c>
      <c r="H11333" s="389" t="s">
        <v>9567</v>
      </c>
    </row>
    <row r="11334" spans="1:10" x14ac:dyDescent="0.3">
      <c r="A11334" s="45">
        <v>45670</v>
      </c>
      <c r="B11334" s="396" t="s">
        <v>13902</v>
      </c>
      <c r="C11334" s="5" t="s">
        <v>5793</v>
      </c>
      <c r="D11334" s="5" t="s">
        <v>40</v>
      </c>
      <c r="E11334" s="43">
        <v>1500</v>
      </c>
      <c r="F11334" s="43"/>
      <c r="G11334" s="48">
        <f t="shared" si="284"/>
        <v>110.87847608444281</v>
      </c>
      <c r="H11334" s="389" t="s">
        <v>9567</v>
      </c>
    </row>
    <row r="11335" spans="1:10" x14ac:dyDescent="0.3">
      <c r="A11335" s="45">
        <v>45670</v>
      </c>
      <c r="B11335" s="565"/>
      <c r="C11335" s="480"/>
      <c r="D11335" s="491" t="s">
        <v>4106</v>
      </c>
      <c r="E11335" s="480"/>
      <c r="F11335" s="43">
        <v>300000</v>
      </c>
      <c r="G11335" s="48">
        <f t="shared" si="284"/>
        <v>300110.87847608444</v>
      </c>
      <c r="H11335" s="389" t="s">
        <v>9567</v>
      </c>
      <c r="I11335" s="583" t="s">
        <v>15302</v>
      </c>
      <c r="J11335" s="583" t="e">
        <v>#REF!</v>
      </c>
    </row>
    <row r="11336" spans="1:10" x14ac:dyDescent="0.3">
      <c r="A11336" s="45">
        <v>45670</v>
      </c>
      <c r="B11336" s="396" t="s">
        <v>25</v>
      </c>
      <c r="C11336" s="5" t="s">
        <v>26</v>
      </c>
      <c r="D11336" s="5" t="s">
        <v>15331</v>
      </c>
      <c r="E11336" s="43">
        <v>8900</v>
      </c>
      <c r="F11336" s="43"/>
      <c r="G11336" s="48">
        <f t="shared" si="284"/>
        <v>291210.87847608444</v>
      </c>
      <c r="H11336" s="389" t="s">
        <v>9567</v>
      </c>
    </row>
    <row r="11337" spans="1:10" x14ac:dyDescent="0.3">
      <c r="A11337" s="45">
        <v>45670</v>
      </c>
      <c r="B11337" s="406" t="s">
        <v>14524</v>
      </c>
      <c r="C11337" s="61" t="s">
        <v>11174</v>
      </c>
      <c r="D11337" s="61" t="s">
        <v>15330</v>
      </c>
      <c r="E11337" s="62">
        <v>20500</v>
      </c>
      <c r="F11337" s="43"/>
      <c r="G11337" s="48">
        <f t="shared" si="284"/>
        <v>270710.87847608444</v>
      </c>
      <c r="H11337" s="389" t="s">
        <v>9567</v>
      </c>
    </row>
    <row r="11338" spans="1:10" x14ac:dyDescent="0.3">
      <c r="A11338" s="45">
        <v>45670</v>
      </c>
      <c r="B11338" s="396" t="s">
        <v>15146</v>
      </c>
      <c r="C11338" s="5" t="s">
        <v>30</v>
      </c>
      <c r="D11338" s="5" t="s">
        <v>11497</v>
      </c>
      <c r="E11338" s="43">
        <v>1000</v>
      </c>
      <c r="F11338" s="43"/>
      <c r="G11338" s="48">
        <f t="shared" si="284"/>
        <v>269710.87847608444</v>
      </c>
      <c r="H11338" s="389" t="s">
        <v>9567</v>
      </c>
    </row>
    <row r="11339" spans="1:10" x14ac:dyDescent="0.3">
      <c r="A11339" s="45">
        <v>45670</v>
      </c>
      <c r="B11339" s="396" t="s">
        <v>14882</v>
      </c>
      <c r="C11339" s="5" t="s">
        <v>5793</v>
      </c>
      <c r="D11339" s="5" t="s">
        <v>40</v>
      </c>
      <c r="E11339" s="43">
        <v>3500</v>
      </c>
      <c r="F11339" s="43"/>
      <c r="G11339" s="48">
        <f t="shared" si="284"/>
        <v>266210.87847608444</v>
      </c>
      <c r="H11339" s="389" t="s">
        <v>9567</v>
      </c>
    </row>
    <row r="11340" spans="1:10" x14ac:dyDescent="0.3">
      <c r="A11340" s="45">
        <v>45670</v>
      </c>
      <c r="B11340" s="396" t="s">
        <v>15162</v>
      </c>
      <c r="C11340" s="5" t="s">
        <v>11174</v>
      </c>
      <c r="D11340" s="5" t="s">
        <v>12863</v>
      </c>
      <c r="E11340" s="43">
        <v>17500</v>
      </c>
      <c r="F11340" s="43"/>
      <c r="G11340" s="48">
        <f t="shared" si="284"/>
        <v>248710.87847608444</v>
      </c>
      <c r="H11340" s="389" t="s">
        <v>9567</v>
      </c>
    </row>
    <row r="11341" spans="1:10" x14ac:dyDescent="0.3">
      <c r="A11341" s="45">
        <v>45670</v>
      </c>
      <c r="B11341" s="396" t="s">
        <v>15162</v>
      </c>
      <c r="C11341" s="5" t="s">
        <v>11174</v>
      </c>
      <c r="D11341" s="5" t="s">
        <v>15287</v>
      </c>
      <c r="E11341" s="43">
        <v>32500</v>
      </c>
      <c r="F11341" s="43"/>
      <c r="G11341" s="48">
        <f t="shared" si="284"/>
        <v>216210.87847608444</v>
      </c>
      <c r="H11341" s="389" t="s">
        <v>9567</v>
      </c>
    </row>
    <row r="11342" spans="1:10" x14ac:dyDescent="0.3">
      <c r="A11342" s="45">
        <v>45670</v>
      </c>
      <c r="B11342" s="396" t="s">
        <v>15162</v>
      </c>
      <c r="C11342" s="5" t="s">
        <v>11174</v>
      </c>
      <c r="D11342" s="5" t="s">
        <v>15332</v>
      </c>
      <c r="E11342" s="43">
        <v>65040</v>
      </c>
      <c r="F11342" s="43"/>
      <c r="G11342" s="48">
        <f t="shared" si="284"/>
        <v>151170.87847608444</v>
      </c>
      <c r="H11342" s="389" t="s">
        <v>9567</v>
      </c>
    </row>
    <row r="11343" spans="1:10" x14ac:dyDescent="0.3">
      <c r="A11343" s="45">
        <v>45670</v>
      </c>
      <c r="B11343" s="565"/>
      <c r="C11343" s="480"/>
      <c r="D11343" s="491" t="s">
        <v>15334</v>
      </c>
      <c r="E11343" s="480"/>
      <c r="F11343" s="43">
        <v>25000</v>
      </c>
      <c r="G11343" s="48">
        <f t="shared" ref="G11343:G11408" si="285">G11342+F11343-E11343</f>
        <v>176170.87847608444</v>
      </c>
      <c r="H11343" s="389" t="s">
        <v>9567</v>
      </c>
    </row>
    <row r="11344" spans="1:10" x14ac:dyDescent="0.3">
      <c r="A11344" s="45">
        <v>45670</v>
      </c>
      <c r="B11344" s="396" t="s">
        <v>14031</v>
      </c>
      <c r="C11344" s="5" t="s">
        <v>11174</v>
      </c>
      <c r="D11344" s="5" t="s">
        <v>15333</v>
      </c>
      <c r="E11344" s="43">
        <v>10500</v>
      </c>
      <c r="F11344" s="43"/>
      <c r="G11344" s="48">
        <f t="shared" si="285"/>
        <v>165670.87847608444</v>
      </c>
      <c r="H11344" s="389" t="s">
        <v>9567</v>
      </c>
    </row>
    <row r="11345" spans="1:9" x14ac:dyDescent="0.3">
      <c r="A11345" s="45">
        <v>45670</v>
      </c>
      <c r="B11345" s="396" t="s">
        <v>12080</v>
      </c>
      <c r="C11345" s="5" t="s">
        <v>35</v>
      </c>
      <c r="D11345" s="5" t="s">
        <v>15335</v>
      </c>
      <c r="E11345" s="43">
        <v>10000</v>
      </c>
      <c r="F11345" s="43"/>
      <c r="G11345" s="48">
        <f t="shared" si="285"/>
        <v>155670.87847608444</v>
      </c>
      <c r="H11345" s="389" t="s">
        <v>9567</v>
      </c>
    </row>
    <row r="11346" spans="1:9" x14ac:dyDescent="0.3">
      <c r="A11346" s="45">
        <v>45670</v>
      </c>
      <c r="B11346" s="396"/>
      <c r="C11346" s="5" t="s">
        <v>57</v>
      </c>
      <c r="D11346" s="5" t="s">
        <v>15336</v>
      </c>
      <c r="E11346" s="43">
        <v>15000</v>
      </c>
      <c r="F11346" s="43"/>
      <c r="G11346" s="48">
        <f t="shared" si="285"/>
        <v>140670.87847608444</v>
      </c>
      <c r="H11346" s="389" t="s">
        <v>9567</v>
      </c>
    </row>
    <row r="11347" spans="1:9" x14ac:dyDescent="0.3">
      <c r="A11347" s="45">
        <v>45670</v>
      </c>
      <c r="B11347" s="396" t="s">
        <v>14524</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11434</v>
      </c>
      <c r="E11348" s="43">
        <v>4000</v>
      </c>
      <c r="F11348" s="43"/>
      <c r="G11348" s="48">
        <f t="shared" si="285"/>
        <v>135370.87847608444</v>
      </c>
      <c r="H11348" s="389" t="s">
        <v>9567</v>
      </c>
    </row>
    <row r="11349" spans="1:9" x14ac:dyDescent="0.3">
      <c r="A11349" s="45">
        <v>45670</v>
      </c>
      <c r="B11349" s="396" t="s">
        <v>15162</v>
      </c>
      <c r="C11349" s="5" t="s">
        <v>9758</v>
      </c>
      <c r="D11349" s="5" t="s">
        <v>14080</v>
      </c>
      <c r="E11349" s="43">
        <v>10000</v>
      </c>
      <c r="F11349" s="43"/>
      <c r="G11349" s="48">
        <f t="shared" si="285"/>
        <v>125370.87847608444</v>
      </c>
      <c r="H11349" s="389" t="s">
        <v>9567</v>
      </c>
    </row>
    <row r="11350" spans="1:9" x14ac:dyDescent="0.3">
      <c r="A11350" s="45">
        <v>45671</v>
      </c>
      <c r="B11350" s="396" t="s">
        <v>13833</v>
      </c>
      <c r="C11350" s="5" t="s">
        <v>5793</v>
      </c>
      <c r="D11350" s="5" t="s">
        <v>40</v>
      </c>
      <c r="E11350" s="43">
        <v>600</v>
      </c>
      <c r="F11350" s="43"/>
      <c r="G11350" s="48">
        <f t="shared" si="285"/>
        <v>124770.87847608444</v>
      </c>
      <c r="H11350" s="389" t="s">
        <v>9567</v>
      </c>
    </row>
    <row r="11351" spans="1:9" x14ac:dyDescent="0.3">
      <c r="A11351" s="45">
        <v>45671</v>
      </c>
      <c r="B11351" s="396" t="s">
        <v>12133</v>
      </c>
      <c r="C11351" s="5" t="s">
        <v>11174</v>
      </c>
      <c r="D11351" s="5" t="s">
        <v>12287</v>
      </c>
      <c r="E11351" s="43">
        <v>600</v>
      </c>
      <c r="F11351" s="43"/>
      <c r="G11351" s="48">
        <f t="shared" si="285"/>
        <v>124170.87847608444</v>
      </c>
      <c r="H11351" s="389" t="s">
        <v>9567</v>
      </c>
    </row>
    <row r="11352" spans="1:9" x14ac:dyDescent="0.3">
      <c r="A11352" s="45">
        <v>45671</v>
      </c>
      <c r="B11352" s="396" t="s">
        <v>12133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15339</v>
      </c>
      <c r="E11353" s="43">
        <v>10000</v>
      </c>
      <c r="F11353" s="43"/>
      <c r="G11353" s="48">
        <f t="shared" si="285"/>
        <v>113770.87847608444</v>
      </c>
      <c r="H11353" s="389" t="s">
        <v>9567</v>
      </c>
    </row>
    <row r="11354" spans="1:9" x14ac:dyDescent="0.3">
      <c r="A11354" s="45">
        <v>45672</v>
      </c>
      <c r="B11354" s="396" t="s">
        <v>25</v>
      </c>
      <c r="C11354" s="5" t="s">
        <v>4400</v>
      </c>
      <c r="D11354" s="5" t="s">
        <v>15341</v>
      </c>
      <c r="E11354" s="43">
        <v>10650</v>
      </c>
      <c r="F11354" s="43"/>
      <c r="G11354" s="48">
        <f t="shared" si="285"/>
        <v>103120.87847608444</v>
      </c>
      <c r="H11354" s="389" t="s">
        <v>9567</v>
      </c>
    </row>
    <row r="11355" spans="1:9" x14ac:dyDescent="0.3">
      <c r="A11355" s="45">
        <v>45672</v>
      </c>
      <c r="B11355" s="396" t="s">
        <v>15162</v>
      </c>
      <c r="C11355" s="5" t="s">
        <v>5793</v>
      </c>
      <c r="D11355" s="5" t="s">
        <v>40</v>
      </c>
      <c r="E11355" s="43">
        <v>2200</v>
      </c>
      <c r="F11355" s="43"/>
      <c r="G11355" s="48">
        <f t="shared" si="285"/>
        <v>100920.87847608444</v>
      </c>
      <c r="H11355" s="389" t="s">
        <v>9567</v>
      </c>
    </row>
    <row r="11356" spans="1:9" x14ac:dyDescent="0.3">
      <c r="A11356" s="45">
        <v>45672</v>
      </c>
      <c r="B11356" s="396" t="s">
        <v>14701</v>
      </c>
      <c r="C11356" s="5" t="s">
        <v>26</v>
      </c>
      <c r="D11356" s="5" t="s">
        <v>11536</v>
      </c>
      <c r="E11356" s="43">
        <v>1380</v>
      </c>
      <c r="F11356" s="43"/>
      <c r="G11356" s="48">
        <f t="shared" si="285"/>
        <v>99540.878476084443</v>
      </c>
      <c r="H11356" s="389" t="s">
        <v>9567</v>
      </c>
    </row>
    <row r="11357" spans="1:9" x14ac:dyDescent="0.3">
      <c r="A11357" s="45">
        <v>45672</v>
      </c>
      <c r="B11357" s="396" t="s">
        <v>14701</v>
      </c>
      <c r="C11357" s="5" t="s">
        <v>84</v>
      </c>
      <c r="D11357" s="5" t="s">
        <v>15364</v>
      </c>
      <c r="E11357" s="43">
        <v>29000</v>
      </c>
      <c r="F11357" s="43"/>
      <c r="G11357" s="48">
        <f t="shared" si="285"/>
        <v>70540.878476084443</v>
      </c>
      <c r="H11357" s="389" t="s">
        <v>9567</v>
      </c>
    </row>
    <row r="11358" spans="1:9" x14ac:dyDescent="0.3">
      <c r="A11358" s="45">
        <v>45672</v>
      </c>
      <c r="B11358" s="396" t="s">
        <v>15144</v>
      </c>
      <c r="C11358" s="5" t="s">
        <v>15344</v>
      </c>
      <c r="D11358" s="5" t="s">
        <v>15343</v>
      </c>
      <c r="E11358" s="43">
        <v>12850</v>
      </c>
      <c r="F11358" s="43"/>
      <c r="G11358" s="48">
        <f t="shared" si="285"/>
        <v>57690.878476084443</v>
      </c>
      <c r="H11358" s="389" t="s">
        <v>9567</v>
      </c>
    </row>
    <row r="11359" spans="1:9" x14ac:dyDescent="0.3">
      <c r="A11359" s="45">
        <v>45672</v>
      </c>
      <c r="B11359" s="396" t="s">
        <v>25</v>
      </c>
      <c r="C11359" s="5" t="s">
        <v>26</v>
      </c>
      <c r="D11359" s="5" t="s">
        <v>11434</v>
      </c>
      <c r="E11359" s="43">
        <v>3000</v>
      </c>
      <c r="F11359" s="43"/>
      <c r="G11359" s="48">
        <f t="shared" si="285"/>
        <v>54690.878476084443</v>
      </c>
      <c r="H11359" s="389" t="s">
        <v>9567</v>
      </c>
    </row>
    <row r="11360" spans="1:9" x14ac:dyDescent="0.3">
      <c r="A11360" s="45">
        <v>45672</v>
      </c>
      <c r="B11360" s="396" t="s">
        <v>13833</v>
      </c>
      <c r="C11360" s="5" t="s">
        <v>26</v>
      </c>
      <c r="D11360" s="5" t="s">
        <v>15345</v>
      </c>
      <c r="E11360" s="43">
        <v>5000</v>
      </c>
      <c r="F11360" s="43"/>
      <c r="G11360" s="48">
        <f t="shared" si="285"/>
        <v>49690.878476084443</v>
      </c>
      <c r="H11360" s="389" t="s">
        <v>9567</v>
      </c>
    </row>
    <row r="11361" spans="1:8" x14ac:dyDescent="0.3">
      <c r="A11361" s="45">
        <v>45672</v>
      </c>
      <c r="B11361" s="396" t="s">
        <v>13902</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15346</v>
      </c>
      <c r="E11362" s="43">
        <v>310</v>
      </c>
      <c r="F11362" s="43"/>
      <c r="G11362" s="48">
        <f t="shared" si="285"/>
        <v>48830.878476084443</v>
      </c>
      <c r="H11362" s="389" t="s">
        <v>9567</v>
      </c>
    </row>
    <row r="11363" spans="1:8" ht="34.5" customHeight="1" x14ac:dyDescent="0.3">
      <c r="A11363" s="45">
        <v>45672</v>
      </c>
      <c r="B11363" s="320" t="s">
        <v>13833</v>
      </c>
      <c r="C11363" s="44" t="s">
        <v>26</v>
      </c>
      <c r="D11363" s="92" t="s">
        <v>15347</v>
      </c>
      <c r="E11363" s="28">
        <v>21000</v>
      </c>
      <c r="F11363" s="43"/>
      <c r="G11363" s="48">
        <f t="shared" si="285"/>
        <v>27830.878476084443</v>
      </c>
      <c r="H11363" s="389" t="s">
        <v>9567</v>
      </c>
    </row>
    <row r="11364" spans="1:8" x14ac:dyDescent="0.3">
      <c r="A11364" s="45">
        <v>45672</v>
      </c>
      <c r="B11364" s="565"/>
      <c r="C11364" s="480"/>
      <c r="D11364" s="491" t="s">
        <v>15348</v>
      </c>
      <c r="E11364" s="480"/>
      <c r="F11364" s="43">
        <v>1100000</v>
      </c>
      <c r="G11364" s="48">
        <f t="shared" si="285"/>
        <v>1127830.8784760844</v>
      </c>
      <c r="H11364" s="389" t="s">
        <v>9567</v>
      </c>
    </row>
    <row r="11365" spans="1:8" x14ac:dyDescent="0.3">
      <c r="A11365" s="45">
        <v>45672</v>
      </c>
      <c r="B11365" s="396"/>
      <c r="C11365" s="5" t="s">
        <v>14</v>
      </c>
      <c r="D11365" s="5" t="s">
        <v>15349</v>
      </c>
      <c r="E11365" s="43">
        <v>1000000</v>
      </c>
      <c r="F11365" s="43"/>
      <c r="G11365" s="48">
        <f t="shared" si="285"/>
        <v>127830.87847608444</v>
      </c>
      <c r="H11365" s="389" t="s">
        <v>9567</v>
      </c>
    </row>
    <row r="11366" spans="1:8" x14ac:dyDescent="0.3">
      <c r="A11366" s="45">
        <v>45672</v>
      </c>
      <c r="B11366" s="396" t="s">
        <v>12133</v>
      </c>
      <c r="C11366" s="5" t="s">
        <v>30</v>
      </c>
      <c r="D11366" s="5" t="s">
        <v>8473</v>
      </c>
      <c r="E11366" s="43">
        <v>1000</v>
      </c>
      <c r="F11366" s="43"/>
      <c r="G11366" s="48">
        <f t="shared" si="285"/>
        <v>126830.87847608444</v>
      </c>
      <c r="H11366" s="389" t="s">
        <v>9567</v>
      </c>
    </row>
    <row r="11367" spans="1:8" x14ac:dyDescent="0.3">
      <c r="A11367" s="45">
        <v>45673</v>
      </c>
      <c r="B11367" s="396" t="s">
        <v>15162</v>
      </c>
      <c r="C11367" s="5" t="s">
        <v>5793</v>
      </c>
      <c r="D11367" s="5" t="s">
        <v>40</v>
      </c>
      <c r="E11367" s="43">
        <v>2200</v>
      </c>
      <c r="F11367" s="43"/>
      <c r="G11367" s="48">
        <f t="shared" si="285"/>
        <v>124630.87847608444</v>
      </c>
      <c r="H11367" s="389" t="s">
        <v>9567</v>
      </c>
    </row>
    <row r="11368" spans="1:8" x14ac:dyDescent="0.3">
      <c r="A11368" s="45">
        <v>45673</v>
      </c>
      <c r="B11368" s="565"/>
      <c r="C11368" s="480"/>
      <c r="D11368" s="491" t="s">
        <v>4106</v>
      </c>
      <c r="E11368" s="480"/>
      <c r="F11368" s="43">
        <v>150000</v>
      </c>
      <c r="G11368" s="48">
        <f t="shared" si="285"/>
        <v>274630.87847608444</v>
      </c>
      <c r="H11368" s="389" t="s">
        <v>9567</v>
      </c>
    </row>
    <row r="11369" spans="1:8" x14ac:dyDescent="0.3">
      <c r="A11369" s="45">
        <v>45673</v>
      </c>
      <c r="B11369" s="396" t="s">
        <v>15146</v>
      </c>
      <c r="C11369" s="5" t="s">
        <v>11174</v>
      </c>
      <c r="D11369" s="5" t="s">
        <v>15350</v>
      </c>
      <c r="E11369" s="43">
        <v>300</v>
      </c>
      <c r="F11369" s="43"/>
      <c r="G11369" s="48">
        <f t="shared" si="285"/>
        <v>274330.87847608444</v>
      </c>
      <c r="H11369" s="389" t="s">
        <v>9567</v>
      </c>
    </row>
    <row r="11370" spans="1:8" x14ac:dyDescent="0.3">
      <c r="A11370" s="45">
        <v>45673</v>
      </c>
      <c r="B11370" s="396" t="s">
        <v>14590</v>
      </c>
      <c r="C11370" s="5" t="s">
        <v>4550</v>
      </c>
      <c r="D11370" s="5" t="s">
        <v>3910</v>
      </c>
      <c r="E11370" s="43">
        <v>25000</v>
      </c>
      <c r="F11370" s="43"/>
      <c r="G11370" s="48">
        <f t="shared" si="285"/>
        <v>249330.87847608444</v>
      </c>
      <c r="H11370" s="389" t="s">
        <v>9567</v>
      </c>
    </row>
    <row r="11371" spans="1:8" x14ac:dyDescent="0.3">
      <c r="A11371" s="45">
        <v>45673</v>
      </c>
      <c r="B11371" s="396" t="s">
        <v>15146</v>
      </c>
      <c r="C11371" s="5" t="s">
        <v>84</v>
      </c>
      <c r="D11371" s="5" t="s">
        <v>15351</v>
      </c>
      <c r="E11371" s="43">
        <v>15000</v>
      </c>
      <c r="F11371" s="43"/>
      <c r="G11371" s="48">
        <f t="shared" si="285"/>
        <v>234330.87847608444</v>
      </c>
      <c r="H11371" s="389" t="s">
        <v>9567</v>
      </c>
    </row>
    <row r="11372" spans="1:8" x14ac:dyDescent="0.3">
      <c r="A11372" s="45">
        <v>45673</v>
      </c>
      <c r="B11372" s="396" t="s">
        <v>25</v>
      </c>
      <c r="C11372" s="5" t="s">
        <v>26</v>
      </c>
      <c r="D11372" s="5" t="s">
        <v>11434</v>
      </c>
      <c r="E11372" s="43">
        <v>4000</v>
      </c>
      <c r="F11372" s="43"/>
      <c r="G11372" s="48">
        <f t="shared" si="285"/>
        <v>230330.87847608444</v>
      </c>
      <c r="H11372" s="389" t="s">
        <v>9567</v>
      </c>
    </row>
    <row r="11373" spans="1:8" x14ac:dyDescent="0.3">
      <c r="A11373" s="45">
        <v>45673</v>
      </c>
      <c r="B11373" s="396" t="s">
        <v>13709</v>
      </c>
      <c r="C11373" s="5" t="s">
        <v>30</v>
      </c>
      <c r="D11373" s="5" t="s">
        <v>15328</v>
      </c>
      <c r="E11373" s="43">
        <v>500</v>
      </c>
      <c r="F11373" s="43"/>
      <c r="G11373" s="48">
        <f t="shared" si="285"/>
        <v>229830.87847608444</v>
      </c>
      <c r="H11373" s="389" t="s">
        <v>9567</v>
      </c>
    </row>
    <row r="11374" spans="1:8" x14ac:dyDescent="0.3">
      <c r="A11374" s="45">
        <v>45673</v>
      </c>
      <c r="B11374" s="396" t="s">
        <v>12133</v>
      </c>
      <c r="C11374" s="5" t="s">
        <v>30</v>
      </c>
      <c r="D11374" s="5" t="s">
        <v>8473</v>
      </c>
      <c r="E11374" s="43">
        <v>2000</v>
      </c>
      <c r="F11374" s="43"/>
      <c r="G11374" s="48">
        <f t="shared" si="285"/>
        <v>227830.87847608444</v>
      </c>
      <c r="H11374" s="389" t="s">
        <v>9567</v>
      </c>
    </row>
    <row r="11375" spans="1:8" x14ac:dyDescent="0.3">
      <c r="A11375" s="45">
        <v>45673</v>
      </c>
      <c r="B11375" s="565"/>
      <c r="C11375" s="480"/>
      <c r="D11375" s="491" t="s">
        <v>15360</v>
      </c>
      <c r="E11375" s="480"/>
      <c r="F11375" s="43">
        <v>25000</v>
      </c>
      <c r="G11375" s="48">
        <f t="shared" si="285"/>
        <v>252830.87847608444</v>
      </c>
      <c r="H11375" s="389" t="s">
        <v>9567</v>
      </c>
    </row>
    <row r="11376" spans="1:8" x14ac:dyDescent="0.3">
      <c r="A11376" s="45">
        <v>45673</v>
      </c>
      <c r="B11376" s="565"/>
      <c r="C11376" s="480"/>
      <c r="D11376" s="491" t="s">
        <v>15361</v>
      </c>
      <c r="E11376" s="480"/>
      <c r="F11376" s="43">
        <v>25000</v>
      </c>
      <c r="G11376" s="48">
        <f t="shared" si="285"/>
        <v>277830.87847608444</v>
      </c>
      <c r="H11376" s="389" t="s">
        <v>9567</v>
      </c>
    </row>
    <row r="11377" spans="1:8" x14ac:dyDescent="0.3">
      <c r="A11377" s="45">
        <v>45674</v>
      </c>
      <c r="B11377" s="396" t="s">
        <v>15144</v>
      </c>
      <c r="C11377" s="5" t="s">
        <v>11174</v>
      </c>
      <c r="D11377" s="5" t="s">
        <v>15356</v>
      </c>
      <c r="E11377" s="43">
        <v>15820</v>
      </c>
      <c r="F11377" s="43"/>
      <c r="G11377" s="48">
        <f t="shared" si="285"/>
        <v>262010.87847608444</v>
      </c>
      <c r="H11377" s="389" t="s">
        <v>9567</v>
      </c>
    </row>
    <row r="11378" spans="1:8" x14ac:dyDescent="0.3">
      <c r="A11378" s="45">
        <v>45674</v>
      </c>
      <c r="B11378" s="396" t="s">
        <v>15144</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12080</v>
      </c>
      <c r="C11380" s="5" t="s">
        <v>84</v>
      </c>
      <c r="D11380" s="5" t="s">
        <v>15362</v>
      </c>
      <c r="E11380" s="43">
        <v>20000</v>
      </c>
      <c r="F11380" s="43"/>
      <c r="G11380" s="48">
        <f t="shared" si="285"/>
        <v>215510.87847608444</v>
      </c>
      <c r="H11380" s="389" t="s">
        <v>9567</v>
      </c>
    </row>
    <row r="11381" spans="1:8" x14ac:dyDescent="0.3">
      <c r="A11381" s="45">
        <v>45674</v>
      </c>
      <c r="B11381" s="396" t="s">
        <v>12080</v>
      </c>
      <c r="C11381" s="5" t="s">
        <v>35</v>
      </c>
      <c r="D11381" s="5" t="s">
        <v>15335</v>
      </c>
      <c r="E11381" s="43">
        <v>5000</v>
      </c>
      <c r="F11381" s="43"/>
      <c r="G11381" s="48">
        <f t="shared" si="285"/>
        <v>210510.87847608444</v>
      </c>
      <c r="H11381" s="389" t="s">
        <v>9567</v>
      </c>
    </row>
    <row r="11382" spans="1:8" x14ac:dyDescent="0.3">
      <c r="A11382" s="45">
        <v>45674</v>
      </c>
      <c r="B11382" s="396" t="s">
        <v>14524</v>
      </c>
      <c r="C11382" s="5" t="s">
        <v>11174</v>
      </c>
      <c r="D11382" s="5" t="s">
        <v>15357</v>
      </c>
      <c r="E11382" s="43">
        <v>1050</v>
      </c>
      <c r="F11382" s="43"/>
      <c r="G11382" s="48">
        <f t="shared" si="285"/>
        <v>209460.87847608444</v>
      </c>
      <c r="H11382" s="389" t="s">
        <v>9567</v>
      </c>
    </row>
    <row r="11383" spans="1:8" x14ac:dyDescent="0.3">
      <c r="A11383" s="45">
        <v>45674</v>
      </c>
      <c r="B11383" s="396" t="s">
        <v>15144</v>
      </c>
      <c r="C11383" s="5" t="s">
        <v>11174</v>
      </c>
      <c r="D11383" s="5" t="s">
        <v>15366</v>
      </c>
      <c r="E11383" s="43">
        <v>6200</v>
      </c>
      <c r="F11383" s="43"/>
      <c r="G11383" s="48">
        <f t="shared" si="285"/>
        <v>203260.87847608444</v>
      </c>
      <c r="H11383" s="389" t="s">
        <v>9567</v>
      </c>
    </row>
    <row r="11384" spans="1:8" x14ac:dyDescent="0.3">
      <c r="A11384" s="45">
        <v>45674</v>
      </c>
      <c r="B11384" s="396" t="s">
        <v>15144</v>
      </c>
      <c r="C11384" s="5" t="s">
        <v>5793</v>
      </c>
      <c r="D11384" s="5" t="s">
        <v>15358</v>
      </c>
      <c r="E11384" s="43">
        <v>5380</v>
      </c>
      <c r="F11384" s="43"/>
      <c r="G11384" s="48">
        <f t="shared" si="285"/>
        <v>197880.87847608444</v>
      </c>
      <c r="H11384" s="389" t="s">
        <v>9567</v>
      </c>
    </row>
    <row r="11385" spans="1:8" x14ac:dyDescent="0.3">
      <c r="A11385" s="45">
        <v>45674</v>
      </c>
      <c r="B11385" s="396" t="s">
        <v>15033</v>
      </c>
      <c r="C11385" s="5" t="s">
        <v>9451</v>
      </c>
      <c r="D11385" s="5" t="s">
        <v>15359</v>
      </c>
      <c r="E11385" s="43">
        <v>7500</v>
      </c>
      <c r="F11385" s="43"/>
      <c r="G11385" s="48">
        <f t="shared" si="285"/>
        <v>190380.87847608444</v>
      </c>
      <c r="H11385" s="389" t="s">
        <v>9567</v>
      </c>
    </row>
    <row r="11386" spans="1:8" x14ac:dyDescent="0.3">
      <c r="A11386" s="45">
        <v>45674</v>
      </c>
      <c r="B11386" s="396" t="s">
        <v>14590</v>
      </c>
      <c r="C11386" s="5" t="s">
        <v>5793</v>
      </c>
      <c r="D11386" s="5" t="s">
        <v>40</v>
      </c>
      <c r="E11386" s="43">
        <v>800</v>
      </c>
      <c r="F11386" s="43"/>
      <c r="G11386" s="48">
        <f t="shared" si="285"/>
        <v>189580.87847608444</v>
      </c>
      <c r="H11386" s="389" t="s">
        <v>9567</v>
      </c>
    </row>
    <row r="11387" spans="1:8" x14ac:dyDescent="0.3">
      <c r="A11387" s="45">
        <v>45674</v>
      </c>
      <c r="B11387" s="396" t="s">
        <v>13833</v>
      </c>
      <c r="C11387" s="5" t="s">
        <v>11174</v>
      </c>
      <c r="D11387" s="5" t="s">
        <v>15141</v>
      </c>
      <c r="E11387" s="43">
        <v>1000</v>
      </c>
      <c r="F11387" s="43"/>
      <c r="G11387" s="48">
        <f t="shared" si="285"/>
        <v>188580.87847608444</v>
      </c>
      <c r="H11387" s="389" t="s">
        <v>9567</v>
      </c>
    </row>
    <row r="11388" spans="1:8" x14ac:dyDescent="0.3">
      <c r="A11388" s="45">
        <v>45674</v>
      </c>
      <c r="B11388" s="396" t="s">
        <v>15144</v>
      </c>
      <c r="C11388" s="5" t="s">
        <v>5793</v>
      </c>
      <c r="D11388" s="5" t="s">
        <v>40</v>
      </c>
      <c r="E11388" s="43">
        <v>1400</v>
      </c>
      <c r="F11388" s="43"/>
      <c r="G11388" s="48">
        <f t="shared" si="285"/>
        <v>187180.87847608444</v>
      </c>
      <c r="H11388" s="389" t="s">
        <v>9567</v>
      </c>
    </row>
    <row r="11389" spans="1:8" x14ac:dyDescent="0.3">
      <c r="A11389" s="45">
        <v>45674</v>
      </c>
      <c r="B11389" s="396" t="s">
        <v>14882</v>
      </c>
      <c r="C11389" s="5" t="s">
        <v>5793</v>
      </c>
      <c r="D11389" s="5" t="s">
        <v>40</v>
      </c>
      <c r="E11389" s="43">
        <v>1500</v>
      </c>
      <c r="F11389" s="43"/>
      <c r="G11389" s="48">
        <f t="shared" si="285"/>
        <v>185680.87847608444</v>
      </c>
      <c r="H11389" s="389" t="s">
        <v>9567</v>
      </c>
    </row>
    <row r="11390" spans="1:8" x14ac:dyDescent="0.3">
      <c r="A11390" s="45">
        <v>45674</v>
      </c>
      <c r="B11390" s="396" t="s">
        <v>13902</v>
      </c>
      <c r="C11390" s="5" t="s">
        <v>5793</v>
      </c>
      <c r="D11390" s="5" t="s">
        <v>40</v>
      </c>
      <c r="E11390" s="43">
        <v>2100</v>
      </c>
      <c r="F11390" s="43"/>
      <c r="G11390" s="48">
        <f t="shared" si="285"/>
        <v>183580.87847608444</v>
      </c>
      <c r="H11390" s="389" t="s">
        <v>9567</v>
      </c>
    </row>
    <row r="11391" spans="1:8" x14ac:dyDescent="0.3">
      <c r="A11391" s="45">
        <v>45674</v>
      </c>
      <c r="B11391" s="565"/>
      <c r="C11391" s="480"/>
      <c r="D11391" s="491" t="s">
        <v>15369</v>
      </c>
      <c r="E11391" s="480"/>
      <c r="F11391" s="43">
        <v>500000</v>
      </c>
      <c r="G11391" s="48">
        <f t="shared" si="285"/>
        <v>683580.87847608444</v>
      </c>
      <c r="H11391" s="389" t="s">
        <v>9567</v>
      </c>
    </row>
    <row r="11392" spans="1:8" x14ac:dyDescent="0.3">
      <c r="A11392" s="45">
        <v>45674</v>
      </c>
      <c r="B11392" s="396"/>
      <c r="C11392" s="5" t="s">
        <v>14</v>
      </c>
      <c r="D11392" s="5" t="s">
        <v>15349</v>
      </c>
      <c r="E11392" s="43">
        <v>500000</v>
      </c>
      <c r="F11392" s="43"/>
      <c r="G11392" s="48">
        <f t="shared" si="285"/>
        <v>183580.87847608444</v>
      </c>
      <c r="H11392" s="389" t="s">
        <v>9567</v>
      </c>
    </row>
    <row r="11393" spans="1:10" x14ac:dyDescent="0.3">
      <c r="A11393" s="45">
        <v>45675</v>
      </c>
      <c r="B11393" s="396" t="s">
        <v>14701</v>
      </c>
      <c r="C11393" s="5" t="s">
        <v>11174</v>
      </c>
      <c r="D11393" s="5" t="s">
        <v>15353</v>
      </c>
      <c r="E11393" s="43">
        <v>13500</v>
      </c>
      <c r="F11393" s="43"/>
      <c r="G11393" s="48">
        <f t="shared" si="285"/>
        <v>170080.87847608444</v>
      </c>
      <c r="H11393" s="389" t="s">
        <v>9567</v>
      </c>
    </row>
    <row r="11394" spans="1:10" x14ac:dyDescent="0.3">
      <c r="A11394" s="45">
        <v>45675</v>
      </c>
      <c r="B11394" s="396" t="s">
        <v>12080</v>
      </c>
      <c r="C11394" s="5" t="s">
        <v>9451</v>
      </c>
      <c r="D11394" s="5" t="s">
        <v>15354</v>
      </c>
      <c r="E11394" s="43">
        <v>9000</v>
      </c>
      <c r="F11394" s="43"/>
      <c r="G11394" s="48">
        <f t="shared" si="285"/>
        <v>161080.87847608444</v>
      </c>
      <c r="H11394" s="389" t="s">
        <v>9567</v>
      </c>
    </row>
    <row r="11395" spans="1:10" x14ac:dyDescent="0.3">
      <c r="A11395" s="45">
        <v>45675</v>
      </c>
      <c r="B11395" s="396" t="s">
        <v>15033</v>
      </c>
      <c r="C11395" s="5" t="s">
        <v>9451</v>
      </c>
      <c r="D11395" s="5" t="s">
        <v>15355</v>
      </c>
      <c r="E11395" s="43">
        <v>3000</v>
      </c>
      <c r="F11395" s="43"/>
      <c r="G11395" s="48">
        <f t="shared" si="285"/>
        <v>158080.87847608444</v>
      </c>
      <c r="H11395" s="389" t="s">
        <v>9567</v>
      </c>
    </row>
    <row r="11396" spans="1:10" x14ac:dyDescent="0.3">
      <c r="A11396" s="45">
        <v>45675</v>
      </c>
      <c r="B11396" s="396" t="s">
        <v>25</v>
      </c>
      <c r="C11396" s="5" t="s">
        <v>26</v>
      </c>
      <c r="D11396" s="5" t="s">
        <v>11434</v>
      </c>
      <c r="E11396" s="43">
        <v>4000</v>
      </c>
      <c r="F11396" s="43"/>
      <c r="G11396" s="48">
        <f t="shared" si="285"/>
        <v>154080.87847608444</v>
      </c>
      <c r="H11396" s="389" t="s">
        <v>9567</v>
      </c>
      <c r="J11396" s="52">
        <v>12300000</v>
      </c>
    </row>
    <row r="11397" spans="1:10" x14ac:dyDescent="0.3">
      <c r="A11397" s="45">
        <v>45675</v>
      </c>
      <c r="B11397" s="396" t="s">
        <v>12133</v>
      </c>
      <c r="C11397" s="5" t="s">
        <v>26</v>
      </c>
      <c r="D11397" s="5" t="s">
        <v>15363</v>
      </c>
      <c r="E11397" s="43">
        <v>1500</v>
      </c>
      <c r="F11397" s="43"/>
      <c r="G11397" s="48">
        <f t="shared" si="285"/>
        <v>152580.87847608444</v>
      </c>
      <c r="H11397" s="389" t="s">
        <v>9567</v>
      </c>
    </row>
    <row r="11398" spans="1:10" x14ac:dyDescent="0.3">
      <c r="A11398" s="45">
        <v>45675</v>
      </c>
      <c r="B11398" s="396" t="s">
        <v>12133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15144</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13833</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12080</v>
      </c>
      <c r="C11401" s="5" t="s">
        <v>3207</v>
      </c>
      <c r="D11401" s="5" t="s">
        <v>15367</v>
      </c>
      <c r="E11401" s="43">
        <v>20000</v>
      </c>
      <c r="F11401" s="43"/>
      <c r="G11401" s="48">
        <f t="shared" si="285"/>
        <v>110800.87847608444</v>
      </c>
      <c r="H11401" s="389" t="s">
        <v>9567</v>
      </c>
    </row>
    <row r="11402" spans="1:10" x14ac:dyDescent="0.3">
      <c r="A11402" s="45">
        <v>45675</v>
      </c>
      <c r="B11402" s="396" t="s">
        <v>13833</v>
      </c>
      <c r="C11402" s="5" t="s">
        <v>84</v>
      </c>
      <c r="D11402" s="5" t="s">
        <v>15368</v>
      </c>
      <c r="E11402" s="43">
        <v>3000</v>
      </c>
      <c r="F11402" s="43"/>
      <c r="G11402" s="48">
        <f t="shared" si="285"/>
        <v>107800.87847608444</v>
      </c>
      <c r="H11402" s="389" t="s">
        <v>9567</v>
      </c>
    </row>
    <row r="11403" spans="1:10" x14ac:dyDescent="0.3">
      <c r="A11403" s="45">
        <v>45675</v>
      </c>
      <c r="B11403" s="396" t="s">
        <v>13833</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14590</v>
      </c>
      <c r="C11405" s="5" t="s">
        <v>4550</v>
      </c>
      <c r="D11405" s="5" t="s">
        <v>5813</v>
      </c>
      <c r="E11405" s="43">
        <v>5000</v>
      </c>
      <c r="F11405" s="43"/>
      <c r="G11405" s="48">
        <f t="shared" si="285"/>
        <v>52300.878476084443</v>
      </c>
      <c r="H11405" s="389" t="s">
        <v>9567</v>
      </c>
    </row>
    <row r="11406" spans="1:10" x14ac:dyDescent="0.3">
      <c r="A11406" s="45">
        <v>45675</v>
      </c>
      <c r="B11406" s="396" t="s">
        <v>15162</v>
      </c>
      <c r="C11406" s="5" t="s">
        <v>11174</v>
      </c>
      <c r="D11406" s="5" t="s">
        <v>15382</v>
      </c>
      <c r="E11406" s="43">
        <v>47870</v>
      </c>
      <c r="F11406" s="43"/>
      <c r="G11406" s="48">
        <f t="shared" si="285"/>
        <v>4430.8784760844428</v>
      </c>
      <c r="H11406" s="389" t="s">
        <v>9567</v>
      </c>
    </row>
    <row r="11407" spans="1:10" x14ac:dyDescent="0.3">
      <c r="A11407" s="45">
        <v>45675</v>
      </c>
      <c r="B11407" s="396" t="s">
        <v>13902</v>
      </c>
      <c r="C11407" s="5" t="s">
        <v>5793</v>
      </c>
      <c r="D11407" s="5" t="s">
        <v>40</v>
      </c>
      <c r="E11407" s="43">
        <v>1000</v>
      </c>
      <c r="F11407" s="43"/>
      <c r="G11407" s="48">
        <f t="shared" si="285"/>
        <v>3430.8784760844428</v>
      </c>
      <c r="H11407" s="389" t="s">
        <v>9567</v>
      </c>
    </row>
    <row r="11408" spans="1:10" x14ac:dyDescent="0.3">
      <c r="A11408" s="45">
        <v>45675</v>
      </c>
      <c r="B11408" s="396" t="s">
        <v>14524</v>
      </c>
      <c r="C11408" s="5" t="s">
        <v>5793</v>
      </c>
      <c r="D11408" s="5" t="s">
        <v>40</v>
      </c>
      <c r="E11408" s="43">
        <v>1500</v>
      </c>
      <c r="F11408" s="43"/>
      <c r="G11408" s="48">
        <f t="shared" si="285"/>
        <v>1930.8784760844428</v>
      </c>
      <c r="H11408" s="389" t="s">
        <v>9567</v>
      </c>
    </row>
    <row r="11409" spans="1:8" x14ac:dyDescent="0.3">
      <c r="A11409" s="45">
        <v>45677</v>
      </c>
      <c r="B11409" s="565"/>
      <c r="C11409" s="480"/>
      <c r="D11409" s="491" t="s">
        <v>14134</v>
      </c>
      <c r="E11409" s="480"/>
      <c r="F11409" s="43">
        <v>20000</v>
      </c>
      <c r="G11409" s="48">
        <f t="shared" ref="G11409:G11558" si="286">G11408+F11409-E11409</f>
        <v>21930.878476084443</v>
      </c>
      <c r="H11409" s="389" t="s">
        <v>9567</v>
      </c>
    </row>
    <row r="11410" spans="1:8" x14ac:dyDescent="0.3">
      <c r="A11410" s="45">
        <v>45677</v>
      </c>
      <c r="B11410" s="396" t="s">
        <v>13833</v>
      </c>
      <c r="C11410" s="5" t="s">
        <v>11174</v>
      </c>
      <c r="D11410" s="5" t="s">
        <v>15370</v>
      </c>
      <c r="E11410" s="43">
        <v>15000</v>
      </c>
      <c r="F11410" s="43"/>
      <c r="G11410" s="48">
        <f t="shared" si="286"/>
        <v>6930.8784760844428</v>
      </c>
      <c r="H11410" s="389" t="s">
        <v>9567</v>
      </c>
    </row>
    <row r="11411" spans="1:8" x14ac:dyDescent="0.3">
      <c r="A11411" s="45">
        <v>45677</v>
      </c>
      <c r="B11411" s="396" t="s">
        <v>14590</v>
      </c>
      <c r="C11411" s="5" t="s">
        <v>5793</v>
      </c>
      <c r="D11411" s="5" t="s">
        <v>40</v>
      </c>
      <c r="E11411" s="43">
        <v>500</v>
      </c>
      <c r="F11411" s="43"/>
      <c r="G11411" s="48">
        <f t="shared" si="286"/>
        <v>6430.8784760844428</v>
      </c>
      <c r="H11411" s="389" t="s">
        <v>9567</v>
      </c>
    </row>
    <row r="11412" spans="1:8" x14ac:dyDescent="0.3">
      <c r="A11412" s="45">
        <v>45677</v>
      </c>
      <c r="B11412" s="396" t="s">
        <v>13902</v>
      </c>
      <c r="C11412" s="5" t="s">
        <v>5793</v>
      </c>
      <c r="D11412" s="5" t="s">
        <v>8924</v>
      </c>
      <c r="E11412" s="43">
        <v>350</v>
      </c>
      <c r="F11412" s="43"/>
      <c r="G11412" s="48">
        <f t="shared" si="286"/>
        <v>6080.8784760844428</v>
      </c>
      <c r="H11412" s="389" t="s">
        <v>9567</v>
      </c>
    </row>
    <row r="11413" spans="1:8" x14ac:dyDescent="0.3">
      <c r="A11413" s="45">
        <v>45677</v>
      </c>
      <c r="B11413" s="396" t="s">
        <v>15144</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11434</v>
      </c>
      <c r="E11414" s="43">
        <v>3000</v>
      </c>
      <c r="F11414" s="43"/>
      <c r="G11414" s="48">
        <f t="shared" si="286"/>
        <v>2080.8784760844428</v>
      </c>
      <c r="H11414" s="389" t="s">
        <v>9567</v>
      </c>
    </row>
    <row r="11415" spans="1:8" x14ac:dyDescent="0.3">
      <c r="A11415" s="45">
        <v>45678</v>
      </c>
      <c r="B11415" s="565"/>
      <c r="C11415" s="480"/>
      <c r="D11415" s="491" t="s">
        <v>12269</v>
      </c>
      <c r="E11415" s="480"/>
      <c r="F11415" s="43">
        <v>750000</v>
      </c>
      <c r="G11415" s="48">
        <f t="shared" si="286"/>
        <v>752080.87847608444</v>
      </c>
      <c r="H11415" s="389" t="s">
        <v>9567</v>
      </c>
    </row>
    <row r="11416" spans="1:8" x14ac:dyDescent="0.3">
      <c r="A11416" s="45">
        <v>45678</v>
      </c>
      <c r="B11416" s="396" t="s">
        <v>25</v>
      </c>
      <c r="C11416" s="5" t="s">
        <v>14</v>
      </c>
      <c r="D11416" s="5" t="s">
        <v>15854</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14524</v>
      </c>
      <c r="C11418" s="44" t="s">
        <v>26</v>
      </c>
      <c r="D11418" s="44" t="s">
        <v>15386</v>
      </c>
      <c r="E11418" s="28">
        <v>6700</v>
      </c>
      <c r="F11418" s="28"/>
      <c r="G11418" s="48">
        <f t="shared" si="286"/>
        <v>720380.87847608444</v>
      </c>
      <c r="H11418" s="389" t="s">
        <v>9567</v>
      </c>
    </row>
    <row r="11419" spans="1:8" x14ac:dyDescent="0.3">
      <c r="A11419" s="45">
        <v>45678</v>
      </c>
      <c r="B11419" s="704" t="s">
        <v>12230</v>
      </c>
      <c r="C11419" s="44" t="s">
        <v>1074</v>
      </c>
      <c r="D11419" s="44" t="s">
        <v>6280</v>
      </c>
      <c r="E11419" s="28">
        <v>3165</v>
      </c>
      <c r="F11419" s="705"/>
      <c r="G11419" s="48">
        <f t="shared" si="286"/>
        <v>717215.87847608444</v>
      </c>
      <c r="H11419" s="389" t="s">
        <v>9567</v>
      </c>
    </row>
    <row r="11420" spans="1:8" x14ac:dyDescent="0.3">
      <c r="A11420" s="45">
        <v>45678</v>
      </c>
      <c r="B11420" s="704" t="s">
        <v>25</v>
      </c>
      <c r="C11420" s="44" t="s">
        <v>1074</v>
      </c>
      <c r="D11420" s="44" t="s">
        <v>6280</v>
      </c>
      <c r="E11420" s="28">
        <v>10860</v>
      </c>
      <c r="F11420" s="705"/>
      <c r="G11420" s="48">
        <f t="shared" si="286"/>
        <v>706355.87847608444</v>
      </c>
      <c r="H11420" s="389" t="s">
        <v>9567</v>
      </c>
    </row>
    <row r="11421" spans="1:8" x14ac:dyDescent="0.3">
      <c r="A11421" s="45">
        <v>45678</v>
      </c>
      <c r="B11421" s="704" t="s">
        <v>25</v>
      </c>
      <c r="C11421" s="44" t="s">
        <v>26</v>
      </c>
      <c r="D11421" s="44" t="s">
        <v>15387</v>
      </c>
      <c r="E11421" s="28">
        <v>350</v>
      </c>
      <c r="F11421" s="705"/>
      <c r="G11421" s="48">
        <f t="shared" si="286"/>
        <v>706005.87847608444</v>
      </c>
      <c r="H11421" s="389" t="s">
        <v>9567</v>
      </c>
    </row>
    <row r="11422" spans="1:8" x14ac:dyDescent="0.3">
      <c r="A11422" s="45">
        <v>45678</v>
      </c>
      <c r="B11422" s="704" t="s">
        <v>15146</v>
      </c>
      <c r="C11422" s="44" t="s">
        <v>14463</v>
      </c>
      <c r="D11422" s="44" t="s">
        <v>294</v>
      </c>
      <c r="E11422" s="28">
        <v>10000</v>
      </c>
      <c r="F11422" s="705"/>
      <c r="G11422" s="48">
        <f t="shared" si="286"/>
        <v>696005.87847608444</v>
      </c>
      <c r="H11422" s="389" t="s">
        <v>9567</v>
      </c>
    </row>
    <row r="11423" spans="1:8" x14ac:dyDescent="0.3">
      <c r="A11423" s="45">
        <v>45678</v>
      </c>
      <c r="B11423" s="704"/>
      <c r="C11423" s="44" t="s">
        <v>84</v>
      </c>
      <c r="D11423" s="44" t="s">
        <v>15371</v>
      </c>
      <c r="E11423" s="28">
        <v>5000</v>
      </c>
      <c r="F11423" s="705"/>
      <c r="G11423" s="48">
        <f t="shared" si="286"/>
        <v>691005.87847608444</v>
      </c>
      <c r="H11423" s="389" t="s">
        <v>9567</v>
      </c>
    </row>
    <row r="11424" spans="1:8" x14ac:dyDescent="0.3">
      <c r="A11424" s="45">
        <v>45678</v>
      </c>
      <c r="B11424" s="704"/>
      <c r="C11424" s="44" t="s">
        <v>14</v>
      </c>
      <c r="D11424" s="44" t="s">
        <v>15372</v>
      </c>
      <c r="E11424" s="28">
        <v>5000</v>
      </c>
      <c r="F11424" s="705"/>
      <c r="G11424" s="48">
        <f t="shared" si="286"/>
        <v>686005.87847608444</v>
      </c>
      <c r="H11424" s="389" t="s">
        <v>9567</v>
      </c>
    </row>
    <row r="11425" spans="1:8" x14ac:dyDescent="0.3">
      <c r="A11425" s="45">
        <v>45678</v>
      </c>
      <c r="B11425" s="320" t="s">
        <v>14701</v>
      </c>
      <c r="C11425" s="44" t="s">
        <v>84</v>
      </c>
      <c r="D11425" s="44" t="s">
        <v>15373</v>
      </c>
      <c r="E11425" s="28">
        <v>7000</v>
      </c>
      <c r="F11425" s="28"/>
      <c r="G11425" s="48">
        <f t="shared" si="286"/>
        <v>679005.87847608444</v>
      </c>
      <c r="H11425" s="389" t="s">
        <v>9567</v>
      </c>
    </row>
    <row r="11426" spans="1:8" x14ac:dyDescent="0.3">
      <c r="A11426" s="45">
        <v>45678</v>
      </c>
      <c r="B11426" s="320" t="s">
        <v>14701</v>
      </c>
      <c r="C11426" s="44" t="s">
        <v>84</v>
      </c>
      <c r="D11426" s="44" t="s">
        <v>15374</v>
      </c>
      <c r="E11426" s="28">
        <v>5000</v>
      </c>
      <c r="F11426" s="28"/>
      <c r="G11426" s="48">
        <f t="shared" si="286"/>
        <v>674005.87847608444</v>
      </c>
      <c r="H11426" s="389" t="s">
        <v>9567</v>
      </c>
    </row>
    <row r="11427" spans="1:8" x14ac:dyDescent="0.3">
      <c r="A11427" s="45">
        <v>45678</v>
      </c>
      <c r="B11427" s="320" t="s">
        <v>14701</v>
      </c>
      <c r="C11427" s="44" t="s">
        <v>84</v>
      </c>
      <c r="D11427" s="44" t="s">
        <v>15375</v>
      </c>
      <c r="E11427" s="28">
        <v>5000</v>
      </c>
      <c r="F11427" s="28"/>
      <c r="G11427" s="48">
        <f t="shared" si="286"/>
        <v>669005.87847608444</v>
      </c>
      <c r="H11427" s="389" t="s">
        <v>9567</v>
      </c>
    </row>
    <row r="11428" spans="1:8" x14ac:dyDescent="0.3">
      <c r="A11428" s="45">
        <v>45678</v>
      </c>
      <c r="B11428" s="320" t="s">
        <v>14701</v>
      </c>
      <c r="C11428" s="44" t="s">
        <v>26</v>
      </c>
      <c r="D11428" s="44" t="s">
        <v>15376</v>
      </c>
      <c r="E11428" s="28">
        <v>3000</v>
      </c>
      <c r="F11428" s="28"/>
      <c r="G11428" s="48">
        <f t="shared" si="286"/>
        <v>666005.87847608444</v>
      </c>
      <c r="H11428" s="389" t="s">
        <v>9567</v>
      </c>
    </row>
    <row r="11429" spans="1:8" x14ac:dyDescent="0.3">
      <c r="A11429" s="45">
        <v>45678</v>
      </c>
      <c r="B11429" s="320" t="s">
        <v>13833</v>
      </c>
      <c r="C11429" s="44" t="s">
        <v>11174</v>
      </c>
      <c r="D11429" s="44" t="s">
        <v>15370</v>
      </c>
      <c r="E11429" s="28">
        <v>12000</v>
      </c>
      <c r="F11429" s="28"/>
      <c r="G11429" s="48">
        <f t="shared" si="286"/>
        <v>654005.87847608444</v>
      </c>
      <c r="H11429" s="389" t="s">
        <v>9567</v>
      </c>
    </row>
    <row r="11430" spans="1:8" x14ac:dyDescent="0.3">
      <c r="A11430" s="45">
        <v>45678</v>
      </c>
      <c r="B11430" s="320" t="s">
        <v>15144</v>
      </c>
      <c r="C11430" s="44" t="s">
        <v>26</v>
      </c>
      <c r="D11430" s="44" t="s">
        <v>15377</v>
      </c>
      <c r="E11430" s="28">
        <v>5000</v>
      </c>
      <c r="F11430" s="28"/>
      <c r="G11430" s="48">
        <f t="shared" si="286"/>
        <v>649005.87847608444</v>
      </c>
      <c r="H11430" s="389" t="s">
        <v>9567</v>
      </c>
    </row>
    <row r="11431" spans="1:8" x14ac:dyDescent="0.3">
      <c r="A11431" s="45">
        <v>45678</v>
      </c>
      <c r="B11431" s="320" t="s">
        <v>13902</v>
      </c>
      <c r="C11431" s="44" t="s">
        <v>11174</v>
      </c>
      <c r="D11431" s="44" t="s">
        <v>15378</v>
      </c>
      <c r="E11431" s="28">
        <v>29800</v>
      </c>
      <c r="F11431" s="28"/>
      <c r="G11431" s="48">
        <f t="shared" si="286"/>
        <v>619205.87847608444</v>
      </c>
      <c r="H11431" s="389" t="s">
        <v>9567</v>
      </c>
    </row>
    <row r="11432" spans="1:8" x14ac:dyDescent="0.3">
      <c r="A11432" s="45">
        <v>45678</v>
      </c>
      <c r="B11432" s="320" t="s">
        <v>13833</v>
      </c>
      <c r="C11432" s="44" t="s">
        <v>14529</v>
      </c>
      <c r="D11432" s="44" t="s">
        <v>15379</v>
      </c>
      <c r="E11432" s="28">
        <v>9600</v>
      </c>
      <c r="F11432" s="28"/>
      <c r="G11432" s="48">
        <f t="shared" si="286"/>
        <v>609605.87847608444</v>
      </c>
      <c r="H11432" s="389" t="s">
        <v>9567</v>
      </c>
    </row>
    <row r="11433" spans="1:8" x14ac:dyDescent="0.3">
      <c r="A11433" s="45">
        <v>45678</v>
      </c>
      <c r="B11433" s="320" t="s">
        <v>15144</v>
      </c>
      <c r="C11433" s="44" t="s">
        <v>11174</v>
      </c>
      <c r="D11433" s="44" t="s">
        <v>11732</v>
      </c>
      <c r="E11433" s="28">
        <v>6170</v>
      </c>
      <c r="F11433" s="28"/>
      <c r="G11433" s="48">
        <f t="shared" si="286"/>
        <v>603435.87847608444</v>
      </c>
      <c r="H11433" s="389" t="s">
        <v>9567</v>
      </c>
    </row>
    <row r="11434" spans="1:8" x14ac:dyDescent="0.3">
      <c r="A11434" s="45">
        <v>45678</v>
      </c>
      <c r="B11434" s="320" t="s">
        <v>13833</v>
      </c>
      <c r="C11434" s="44" t="s">
        <v>30</v>
      </c>
      <c r="D11434" s="44" t="s">
        <v>15380</v>
      </c>
      <c r="E11434" s="28">
        <v>1000</v>
      </c>
      <c r="F11434" s="28"/>
      <c r="G11434" s="48">
        <f t="shared" si="286"/>
        <v>602435.87847608444</v>
      </c>
      <c r="H11434" s="389" t="s">
        <v>9567</v>
      </c>
    </row>
    <row r="11435" spans="1:8" x14ac:dyDescent="0.3">
      <c r="A11435" s="45">
        <v>45678</v>
      </c>
      <c r="B11435" s="320" t="s">
        <v>15146</v>
      </c>
      <c r="C11435" s="44" t="s">
        <v>26</v>
      </c>
      <c r="D11435" s="44" t="s">
        <v>15381</v>
      </c>
      <c r="E11435" s="28">
        <v>4140</v>
      </c>
      <c r="F11435" s="28"/>
      <c r="G11435" s="48">
        <f t="shared" si="286"/>
        <v>598295.87847608444</v>
      </c>
      <c r="H11435" s="389" t="s">
        <v>9567</v>
      </c>
    </row>
    <row r="11436" spans="1:8" x14ac:dyDescent="0.3">
      <c r="A11436" s="45">
        <v>45679</v>
      </c>
      <c r="B11436" s="320" t="s">
        <v>25</v>
      </c>
      <c r="C11436" s="44" t="s">
        <v>5482</v>
      </c>
      <c r="D11436" s="44" t="s">
        <v>15385</v>
      </c>
      <c r="E11436" s="28">
        <v>23000</v>
      </c>
      <c r="F11436" s="28"/>
      <c r="G11436" s="48">
        <f t="shared" si="286"/>
        <v>575295.87847608444</v>
      </c>
      <c r="H11436" s="389" t="s">
        <v>9567</v>
      </c>
    </row>
    <row r="11437" spans="1:8" x14ac:dyDescent="0.3">
      <c r="A11437" s="45">
        <v>45679</v>
      </c>
      <c r="B11437" s="396" t="s">
        <v>13833</v>
      </c>
      <c r="C11437" s="5" t="s">
        <v>84</v>
      </c>
      <c r="D11437" s="5" t="s">
        <v>15389</v>
      </c>
      <c r="E11437" s="43">
        <v>30000</v>
      </c>
      <c r="F11437" s="43"/>
      <c r="G11437" s="48">
        <f t="shared" si="286"/>
        <v>545295.87847608444</v>
      </c>
      <c r="H11437" s="389" t="s">
        <v>9567</v>
      </c>
    </row>
    <row r="11438" spans="1:8" x14ac:dyDescent="0.3">
      <c r="A11438" s="45">
        <v>45679</v>
      </c>
      <c r="B11438" s="396" t="s">
        <v>13833</v>
      </c>
      <c r="C11438" s="5" t="s">
        <v>84</v>
      </c>
      <c r="D11438" s="5" t="s">
        <v>15390</v>
      </c>
      <c r="E11438" s="43">
        <v>10000</v>
      </c>
      <c r="F11438" s="43"/>
      <c r="G11438" s="48">
        <f t="shared" si="286"/>
        <v>535295.87847608444</v>
      </c>
      <c r="H11438" s="389" t="s">
        <v>9567</v>
      </c>
    </row>
    <row r="11439" spans="1:8" x14ac:dyDescent="0.3">
      <c r="A11439" s="45">
        <v>45679</v>
      </c>
      <c r="B11439" s="396" t="s">
        <v>25</v>
      </c>
      <c r="C11439" s="5" t="s">
        <v>26</v>
      </c>
      <c r="D11439" s="5" t="s">
        <v>11434</v>
      </c>
      <c r="E11439" s="43">
        <v>3000</v>
      </c>
      <c r="F11439" s="43"/>
      <c r="G11439" s="48">
        <f t="shared" si="286"/>
        <v>532295.87847608444</v>
      </c>
      <c r="H11439" s="389" t="s">
        <v>9567</v>
      </c>
    </row>
    <row r="11440" spans="1:8" x14ac:dyDescent="0.3">
      <c r="A11440" s="45">
        <v>45679</v>
      </c>
      <c r="B11440" s="396" t="s">
        <v>15146</v>
      </c>
      <c r="C11440" s="5" t="s">
        <v>11174</v>
      </c>
      <c r="D11440" s="5" t="s">
        <v>15391</v>
      </c>
      <c r="E11440" s="65">
        <v>5000</v>
      </c>
      <c r="F11440" s="43"/>
      <c r="G11440" s="48">
        <f t="shared" si="286"/>
        <v>527295.87847608444</v>
      </c>
      <c r="H11440" s="389" t="s">
        <v>9567</v>
      </c>
    </row>
    <row r="11441" spans="1:8" x14ac:dyDescent="0.3">
      <c r="A11441" s="45">
        <v>45679</v>
      </c>
      <c r="B11441" s="396" t="s">
        <v>10319</v>
      </c>
      <c r="C11441" s="5" t="s">
        <v>11174</v>
      </c>
      <c r="D11441" s="5" t="s">
        <v>15392</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15393</v>
      </c>
      <c r="E11443" s="43">
        <v>20990</v>
      </c>
      <c r="F11443" s="43"/>
      <c r="G11443" s="48">
        <f t="shared" si="286"/>
        <v>456805.87847608444</v>
      </c>
      <c r="H11443" s="389" t="s">
        <v>9567</v>
      </c>
    </row>
    <row r="11444" spans="1:8" x14ac:dyDescent="0.3">
      <c r="A11444" s="45">
        <v>45679</v>
      </c>
      <c r="B11444" s="320" t="s">
        <v>14701</v>
      </c>
      <c r="C11444" s="44" t="s">
        <v>11174</v>
      </c>
      <c r="D11444" s="44" t="s">
        <v>15394</v>
      </c>
      <c r="E11444" s="28">
        <v>2100</v>
      </c>
      <c r="F11444" s="43"/>
      <c r="G11444" s="48">
        <f t="shared" si="286"/>
        <v>454705.87847608444</v>
      </c>
      <c r="H11444" s="389" t="s">
        <v>9567</v>
      </c>
    </row>
    <row r="11445" spans="1:8" x14ac:dyDescent="0.3">
      <c r="A11445" s="45">
        <v>45679</v>
      </c>
      <c r="B11445" s="396" t="s">
        <v>12133</v>
      </c>
      <c r="C11445" s="5" t="s">
        <v>15395</v>
      </c>
      <c r="D11445" s="5" t="s">
        <v>15396</v>
      </c>
      <c r="E11445" s="65">
        <v>10900</v>
      </c>
      <c r="F11445" s="43"/>
      <c r="G11445" s="48">
        <f t="shared" si="286"/>
        <v>443805.87847608444</v>
      </c>
      <c r="H11445" s="389" t="s">
        <v>9567</v>
      </c>
    </row>
    <row r="11446" spans="1:8" x14ac:dyDescent="0.3">
      <c r="A11446" s="45">
        <v>45679</v>
      </c>
      <c r="B11446" s="396" t="s">
        <v>15146</v>
      </c>
      <c r="C11446" s="5" t="s">
        <v>5793</v>
      </c>
      <c r="D11446" s="5" t="s">
        <v>40</v>
      </c>
      <c r="E11446" s="43">
        <v>3000</v>
      </c>
      <c r="F11446" s="43"/>
      <c r="G11446" s="48">
        <f t="shared" si="286"/>
        <v>440805.87847608444</v>
      </c>
      <c r="H11446" s="389" t="s">
        <v>9567</v>
      </c>
    </row>
    <row r="11447" spans="1:8" x14ac:dyDescent="0.3">
      <c r="A11447" s="45">
        <v>45679</v>
      </c>
      <c r="B11447" s="396" t="s">
        <v>14524</v>
      </c>
      <c r="C11447" s="5" t="s">
        <v>5793</v>
      </c>
      <c r="D11447" s="5" t="s">
        <v>40</v>
      </c>
      <c r="E11447" s="43">
        <v>1200</v>
      </c>
      <c r="F11447" s="43"/>
      <c r="G11447" s="48">
        <f t="shared" si="286"/>
        <v>439605.87847608444</v>
      </c>
      <c r="H11447" s="389" t="s">
        <v>9567</v>
      </c>
    </row>
    <row r="11448" spans="1:8" x14ac:dyDescent="0.3">
      <c r="A11448" s="45">
        <v>45679</v>
      </c>
      <c r="B11448" s="396" t="s">
        <v>12133</v>
      </c>
      <c r="C11448" s="5" t="s">
        <v>11174</v>
      </c>
      <c r="D11448" s="5" t="s">
        <v>15296</v>
      </c>
      <c r="E11448" s="43">
        <v>31000</v>
      </c>
      <c r="F11448" s="43"/>
      <c r="G11448" s="48">
        <f t="shared" si="286"/>
        <v>408605.87847608444</v>
      </c>
      <c r="H11448" s="389" t="s">
        <v>9567</v>
      </c>
    </row>
    <row r="11449" spans="1:8" x14ac:dyDescent="0.3">
      <c r="A11449" s="45">
        <v>45679</v>
      </c>
      <c r="B11449" s="396" t="s">
        <v>12080</v>
      </c>
      <c r="C11449" s="5" t="s">
        <v>84</v>
      </c>
      <c r="D11449" s="5" t="s">
        <v>15397</v>
      </c>
      <c r="E11449" s="43">
        <v>15000</v>
      </c>
      <c r="F11449" s="43"/>
      <c r="G11449" s="48">
        <f t="shared" si="286"/>
        <v>393605.87847608444</v>
      </c>
      <c r="H11449" s="389" t="s">
        <v>9567</v>
      </c>
    </row>
    <row r="11450" spans="1:8" x14ac:dyDescent="0.3">
      <c r="A11450" s="45">
        <v>45679</v>
      </c>
      <c r="B11450" s="396" t="s">
        <v>13833</v>
      </c>
      <c r="C11450" s="5" t="s">
        <v>5793</v>
      </c>
      <c r="D11450" s="5" t="s">
        <v>40</v>
      </c>
      <c r="E11450" s="43">
        <v>1600</v>
      </c>
      <c r="F11450" s="43"/>
      <c r="G11450" s="48">
        <f t="shared" si="286"/>
        <v>392005.87847608444</v>
      </c>
      <c r="H11450" s="389" t="s">
        <v>9567</v>
      </c>
    </row>
    <row r="11451" spans="1:8" x14ac:dyDescent="0.3">
      <c r="A11451" s="45">
        <v>45679</v>
      </c>
      <c r="B11451" s="396" t="s">
        <v>12230</v>
      </c>
      <c r="C11451" s="5" t="s">
        <v>1074</v>
      </c>
      <c r="D11451" s="5" t="s">
        <v>15403</v>
      </c>
      <c r="E11451" s="43">
        <v>33977</v>
      </c>
      <c r="F11451" s="43"/>
      <c r="G11451" s="48">
        <f t="shared" si="286"/>
        <v>358028.87847608444</v>
      </c>
      <c r="H11451" s="389" t="s">
        <v>9567</v>
      </c>
    </row>
    <row r="11452" spans="1:8" x14ac:dyDescent="0.3">
      <c r="A11452" s="45">
        <v>45679</v>
      </c>
      <c r="B11452" s="396" t="s">
        <v>25</v>
      </c>
      <c r="C11452" s="5" t="s">
        <v>1074</v>
      </c>
      <c r="D11452" s="5" t="s">
        <v>15403</v>
      </c>
      <c r="E11452" s="43">
        <v>16117</v>
      </c>
      <c r="F11452" s="43"/>
      <c r="G11452" s="48">
        <f t="shared" si="286"/>
        <v>341911.87847608444</v>
      </c>
      <c r="H11452" s="389" t="s">
        <v>9567</v>
      </c>
    </row>
    <row r="11453" spans="1:8" x14ac:dyDescent="0.3">
      <c r="A11453" s="45">
        <v>45679</v>
      </c>
      <c r="B11453" s="396" t="s">
        <v>14524</v>
      </c>
      <c r="C11453" s="5" t="s">
        <v>15398</v>
      </c>
      <c r="D11453" s="5" t="s">
        <v>15404</v>
      </c>
      <c r="E11453" s="43">
        <v>150000</v>
      </c>
      <c r="F11453" s="43"/>
      <c r="G11453" s="48">
        <f t="shared" si="286"/>
        <v>191911.87847608444</v>
      </c>
      <c r="H11453" s="389" t="s">
        <v>9567</v>
      </c>
    </row>
    <row r="11454" spans="1:8" x14ac:dyDescent="0.3">
      <c r="A11454" s="45">
        <v>45679</v>
      </c>
      <c r="B11454" s="396" t="s">
        <v>12133</v>
      </c>
      <c r="C11454" s="5" t="s">
        <v>5793</v>
      </c>
      <c r="D11454" s="5" t="s">
        <v>40</v>
      </c>
      <c r="E11454" s="43">
        <v>2500</v>
      </c>
      <c r="F11454" s="43"/>
      <c r="G11454" s="48">
        <f t="shared" si="286"/>
        <v>189411.87847608444</v>
      </c>
      <c r="H11454" s="389" t="s">
        <v>9567</v>
      </c>
    </row>
    <row r="11455" spans="1:8" x14ac:dyDescent="0.3">
      <c r="A11455" s="45">
        <v>45679</v>
      </c>
      <c r="B11455" s="396" t="s">
        <v>15001</v>
      </c>
      <c r="C11455" s="5" t="s">
        <v>5793</v>
      </c>
      <c r="D11455" s="5" t="s">
        <v>8924</v>
      </c>
      <c r="E11455" s="43">
        <v>500</v>
      </c>
      <c r="F11455" s="43"/>
      <c r="G11455" s="48">
        <f t="shared" si="286"/>
        <v>188911.87847608444</v>
      </c>
      <c r="H11455" s="389" t="s">
        <v>9567</v>
      </c>
    </row>
    <row r="11456" spans="1:8" x14ac:dyDescent="0.3">
      <c r="A11456" s="45">
        <v>45679</v>
      </c>
      <c r="B11456" s="396" t="s">
        <v>14701</v>
      </c>
      <c r="C11456" s="5" t="s">
        <v>84</v>
      </c>
      <c r="D11456" s="5" t="s">
        <v>15406</v>
      </c>
      <c r="E11456" s="43">
        <v>15000</v>
      </c>
      <c r="F11456" s="43"/>
      <c r="G11456" s="48">
        <f t="shared" si="286"/>
        <v>173911.87847608444</v>
      </c>
      <c r="H11456" s="389" t="s">
        <v>9567</v>
      </c>
    </row>
    <row r="11457" spans="1:14" x14ac:dyDescent="0.3">
      <c r="A11457" s="45">
        <v>45679</v>
      </c>
      <c r="B11457" s="396" t="s">
        <v>14590</v>
      </c>
      <c r="C11457" s="5" t="s">
        <v>4550</v>
      </c>
      <c r="D11457" s="5" t="s">
        <v>15264</v>
      </c>
      <c r="E11457" s="43">
        <v>15000</v>
      </c>
      <c r="F11457" s="43"/>
      <c r="G11457" s="48">
        <f t="shared" si="286"/>
        <v>158911.87847608444</v>
      </c>
      <c r="H11457" s="389" t="s">
        <v>9567</v>
      </c>
    </row>
    <row r="11458" spans="1:14" x14ac:dyDescent="0.3">
      <c r="A11458" s="45">
        <v>45680</v>
      </c>
      <c r="B11458" s="396" t="s">
        <v>14701</v>
      </c>
      <c r="C11458" s="5" t="s">
        <v>11174</v>
      </c>
      <c r="D11458" s="5" t="s">
        <v>15407</v>
      </c>
      <c r="E11458" s="43">
        <v>3400</v>
      </c>
      <c r="F11458" s="43"/>
      <c r="G11458" s="48">
        <f t="shared" si="286"/>
        <v>155511.87847608444</v>
      </c>
      <c r="H11458" s="389" t="s">
        <v>9567</v>
      </c>
    </row>
    <row r="11459" spans="1:14" x14ac:dyDescent="0.3">
      <c r="A11459" s="45">
        <v>45680</v>
      </c>
      <c r="B11459" s="396" t="s">
        <v>15033</v>
      </c>
      <c r="C11459" s="5" t="s">
        <v>11174</v>
      </c>
      <c r="D11459" s="5" t="s">
        <v>15408</v>
      </c>
      <c r="E11459" s="43">
        <v>33050</v>
      </c>
      <c r="F11459" s="43"/>
      <c r="G11459" s="48">
        <f t="shared" si="286"/>
        <v>122461.87847608444</v>
      </c>
      <c r="H11459" s="389" t="s">
        <v>9567</v>
      </c>
    </row>
    <row r="11460" spans="1:14" x14ac:dyDescent="0.3">
      <c r="A11460" s="45">
        <v>45680</v>
      </c>
      <c r="B11460" s="396" t="s">
        <v>12133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11434</v>
      </c>
      <c r="E11461" s="43">
        <v>4000</v>
      </c>
      <c r="F11461" s="43"/>
      <c r="G11461" s="48">
        <f t="shared" si="286"/>
        <v>117661.87847608444</v>
      </c>
      <c r="H11461" s="389" t="s">
        <v>9567</v>
      </c>
    </row>
    <row r="11462" spans="1:14" x14ac:dyDescent="0.3">
      <c r="A11462" s="45">
        <v>45680</v>
      </c>
      <c r="B11462" s="396" t="s">
        <v>15033</v>
      </c>
      <c r="C11462" s="5" t="s">
        <v>9451</v>
      </c>
      <c r="D11462" s="5" t="s">
        <v>15409</v>
      </c>
      <c r="E11462" s="43">
        <v>4050</v>
      </c>
      <c r="F11462" s="43"/>
      <c r="G11462" s="48">
        <f t="shared" si="286"/>
        <v>113611.87847608444</v>
      </c>
      <c r="H11462" s="389" t="s">
        <v>9567</v>
      </c>
    </row>
    <row r="11463" spans="1:14" x14ac:dyDescent="0.3">
      <c r="A11463" s="45">
        <v>45680</v>
      </c>
      <c r="B11463" s="396" t="s">
        <v>12133</v>
      </c>
      <c r="C11463" s="5" t="s">
        <v>5162</v>
      </c>
      <c r="D11463" s="5" t="s">
        <v>294</v>
      </c>
      <c r="E11463" s="43">
        <v>2000</v>
      </c>
      <c r="F11463" s="43"/>
      <c r="G11463" s="48">
        <f t="shared" si="286"/>
        <v>111611.87847608444</v>
      </c>
      <c r="H11463" s="389" t="s">
        <v>9567</v>
      </c>
    </row>
    <row r="11464" spans="1:14" x14ac:dyDescent="0.3">
      <c r="A11464" s="45">
        <v>45681</v>
      </c>
      <c r="B11464" s="396" t="s">
        <v>14590</v>
      </c>
      <c r="C11464" s="5" t="s">
        <v>5793</v>
      </c>
      <c r="D11464" s="5" t="s">
        <v>40</v>
      </c>
      <c r="E11464" s="43">
        <v>1900</v>
      </c>
      <c r="F11464" s="43"/>
      <c r="G11464" s="48">
        <f t="shared" si="286"/>
        <v>109711.87847608444</v>
      </c>
      <c r="H11464" s="389" t="s">
        <v>9567</v>
      </c>
    </row>
    <row r="11465" spans="1:14" x14ac:dyDescent="0.3">
      <c r="A11465" s="45">
        <v>45681</v>
      </c>
      <c r="B11465" s="396" t="s">
        <v>14701</v>
      </c>
      <c r="C11465" s="5" t="s">
        <v>5288</v>
      </c>
      <c r="D11465" s="5" t="s">
        <v>15410</v>
      </c>
      <c r="E11465" s="43">
        <v>3500</v>
      </c>
      <c r="F11465" s="43"/>
      <c r="G11465" s="48">
        <f t="shared" si="286"/>
        <v>106211.87847608444</v>
      </c>
      <c r="H11465" s="389" t="s">
        <v>9567</v>
      </c>
    </row>
    <row r="11466" spans="1:14" x14ac:dyDescent="0.3">
      <c r="A11466" s="45">
        <v>45681</v>
      </c>
      <c r="B11466" s="396" t="s">
        <v>14524</v>
      </c>
      <c r="C11466" s="5" t="s">
        <v>9451</v>
      </c>
      <c r="D11466" s="5" t="s">
        <v>15411</v>
      </c>
      <c r="E11466" s="43">
        <v>8000</v>
      </c>
      <c r="F11466" s="43"/>
      <c r="G11466" s="48">
        <f t="shared" si="286"/>
        <v>98211.878476084443</v>
      </c>
      <c r="H11466" s="389" t="s">
        <v>9567</v>
      </c>
    </row>
    <row r="11467" spans="1:14" x14ac:dyDescent="0.3">
      <c r="A11467" s="45">
        <v>45682</v>
      </c>
      <c r="B11467" s="396" t="s">
        <v>14882</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13138</v>
      </c>
      <c r="C11468" s="44" t="s">
        <v>26</v>
      </c>
      <c r="D11468" s="124" t="s">
        <v>15412</v>
      </c>
      <c r="E11468" s="28">
        <v>9000</v>
      </c>
      <c r="F11468" s="28"/>
      <c r="G11468" s="48">
        <f t="shared" si="286"/>
        <v>58211.878476084443</v>
      </c>
      <c r="H11468" s="389" t="s">
        <v>9567</v>
      </c>
      <c r="I11468" s="155"/>
      <c r="J11468" s="155"/>
      <c r="K11468" s="155"/>
      <c r="N11468" s="155"/>
    </row>
    <row r="11469" spans="1:14" x14ac:dyDescent="0.3">
      <c r="A11469" s="45">
        <v>45682</v>
      </c>
      <c r="B11469" s="396" t="s">
        <v>12133</v>
      </c>
      <c r="C11469" s="5" t="s">
        <v>30</v>
      </c>
      <c r="D11469" s="5" t="s">
        <v>15413</v>
      </c>
      <c r="E11469" s="43">
        <v>1000</v>
      </c>
      <c r="F11469" s="43"/>
      <c r="G11469" s="48">
        <f t="shared" si="286"/>
        <v>57211.878476084443</v>
      </c>
      <c r="H11469" s="389" t="s">
        <v>9567</v>
      </c>
    </row>
    <row r="11470" spans="1:14" x14ac:dyDescent="0.3">
      <c r="A11470" s="45">
        <v>45682</v>
      </c>
      <c r="B11470" s="396" t="s">
        <v>14524</v>
      </c>
      <c r="C11470" s="5" t="s">
        <v>11174</v>
      </c>
      <c r="D11470" s="5" t="s">
        <v>15418</v>
      </c>
      <c r="E11470" s="43">
        <v>35560</v>
      </c>
      <c r="F11470" s="43"/>
      <c r="G11470" s="48">
        <f t="shared" si="286"/>
        <v>21651.878476084443</v>
      </c>
      <c r="H11470" s="389" t="s">
        <v>9567</v>
      </c>
    </row>
    <row r="11471" spans="1:14" x14ac:dyDescent="0.3">
      <c r="A11471" s="45">
        <v>45682</v>
      </c>
      <c r="B11471" s="396" t="s">
        <v>14590</v>
      </c>
      <c r="C11471" s="5" t="s">
        <v>26</v>
      </c>
      <c r="D11471" s="5" t="s">
        <v>15419</v>
      </c>
      <c r="E11471" s="43">
        <v>10000</v>
      </c>
      <c r="F11471" s="43"/>
      <c r="G11471" s="48">
        <f t="shared" si="286"/>
        <v>11651.878476084443</v>
      </c>
      <c r="H11471" s="389" t="s">
        <v>9567</v>
      </c>
    </row>
    <row r="11472" spans="1:14" x14ac:dyDescent="0.3">
      <c r="A11472" s="45">
        <v>45682</v>
      </c>
      <c r="B11472" s="396" t="s">
        <v>14590</v>
      </c>
      <c r="C11472" s="5" t="s">
        <v>4550</v>
      </c>
      <c r="D11472" s="5" t="s">
        <v>15420</v>
      </c>
      <c r="E11472" s="43">
        <v>10000</v>
      </c>
      <c r="F11472" s="43"/>
      <c r="G11472" s="48">
        <f t="shared" si="286"/>
        <v>1651.8784760844428</v>
      </c>
      <c r="H11472" s="389" t="s">
        <v>9567</v>
      </c>
    </row>
    <row r="11473" spans="1:9" x14ac:dyDescent="0.3">
      <c r="A11473" s="45">
        <v>45682</v>
      </c>
      <c r="B11473" s="396" t="s">
        <v>15421</v>
      </c>
      <c r="C11473" s="5" t="s">
        <v>5793</v>
      </c>
      <c r="D11473" s="5" t="s">
        <v>8924</v>
      </c>
      <c r="E11473" s="43">
        <v>300</v>
      </c>
      <c r="F11473" s="43"/>
      <c r="G11473" s="48">
        <f t="shared" si="286"/>
        <v>1351.8784760844428</v>
      </c>
      <c r="H11473" s="389" t="s">
        <v>9567</v>
      </c>
    </row>
    <row r="11474" spans="1:9" x14ac:dyDescent="0.3">
      <c r="A11474" s="45">
        <v>45682</v>
      </c>
      <c r="B11474" s="707" t="s">
        <v>15421</v>
      </c>
      <c r="C11474" s="5" t="s">
        <v>30</v>
      </c>
      <c r="D11474" s="5" t="s">
        <v>15423</v>
      </c>
      <c r="E11474" s="43">
        <v>200</v>
      </c>
      <c r="F11474" s="43"/>
      <c r="G11474" s="48">
        <f t="shared" si="286"/>
        <v>1151.8784760844428</v>
      </c>
      <c r="H11474" s="389" t="s">
        <v>9567</v>
      </c>
    </row>
    <row r="11475" spans="1:9" x14ac:dyDescent="0.3">
      <c r="A11475" s="45">
        <v>45686</v>
      </c>
      <c r="B11475" s="565"/>
      <c r="C11475" s="480"/>
      <c r="D11475" s="491" t="s">
        <v>12269</v>
      </c>
      <c r="E11475" s="480"/>
      <c r="F11475" s="43">
        <v>250000</v>
      </c>
      <c r="G11475" s="48">
        <f t="shared" si="286"/>
        <v>251151.87847608444</v>
      </c>
      <c r="H11475" s="389" t="s">
        <v>9567</v>
      </c>
    </row>
    <row r="11476" spans="1:9" x14ac:dyDescent="0.3">
      <c r="A11476" s="45">
        <v>45686</v>
      </c>
      <c r="B11476" s="708"/>
      <c r="C11476" s="5" t="s">
        <v>14</v>
      </c>
      <c r="D11476" s="5" t="s">
        <v>294</v>
      </c>
      <c r="E11476" s="43">
        <v>10000</v>
      </c>
      <c r="F11476" s="43"/>
      <c r="G11476" s="48">
        <f t="shared" si="286"/>
        <v>241151.87847608444</v>
      </c>
      <c r="H11476" s="389" t="s">
        <v>9567</v>
      </c>
    </row>
    <row r="11477" spans="1:9" x14ac:dyDescent="0.3">
      <c r="A11477" s="45">
        <v>45686</v>
      </c>
      <c r="B11477" s="708" t="s">
        <v>14524</v>
      </c>
      <c r="C11477" s="714" t="s">
        <v>26</v>
      </c>
      <c r="D11477" s="714" t="s">
        <v>15543</v>
      </c>
      <c r="E11477" s="65">
        <v>20000</v>
      </c>
      <c r="F11477" s="43"/>
      <c r="G11477" s="48">
        <f t="shared" si="286"/>
        <v>221151.87847608444</v>
      </c>
      <c r="H11477" s="389" t="s">
        <v>9567</v>
      </c>
    </row>
    <row r="11478" spans="1:9" x14ac:dyDescent="0.3">
      <c r="A11478" s="45">
        <v>45686</v>
      </c>
      <c r="B11478" s="708" t="s">
        <v>14590</v>
      </c>
      <c r="C11478" s="5" t="s">
        <v>9451</v>
      </c>
      <c r="D11478" s="5" t="s">
        <v>15425</v>
      </c>
      <c r="E11478" s="43">
        <f>24600+240</f>
        <v>24840</v>
      </c>
      <c r="F11478" s="43"/>
      <c r="G11478" s="48">
        <f t="shared" si="286"/>
        <v>196311.87847608444</v>
      </c>
      <c r="H11478" s="389" t="s">
        <v>9567</v>
      </c>
    </row>
    <row r="11479" spans="1:9" x14ac:dyDescent="0.3">
      <c r="A11479" s="45">
        <v>45686</v>
      </c>
      <c r="B11479" s="708" t="s">
        <v>14882</v>
      </c>
      <c r="C11479" s="5" t="s">
        <v>9451</v>
      </c>
      <c r="D11479" s="5" t="s">
        <v>15426</v>
      </c>
      <c r="E11479" s="43">
        <f>15000+150</f>
        <v>15150</v>
      </c>
      <c r="F11479" s="43"/>
      <c r="G11479" s="48">
        <f t="shared" si="286"/>
        <v>181161.87847608444</v>
      </c>
      <c r="H11479" s="389" t="s">
        <v>9567</v>
      </c>
    </row>
    <row r="11480" spans="1:9" x14ac:dyDescent="0.3">
      <c r="A11480" s="45">
        <v>45686</v>
      </c>
      <c r="B11480" s="708" t="s">
        <v>12133</v>
      </c>
      <c r="C11480" s="5" t="s">
        <v>5793</v>
      </c>
      <c r="D11480" s="5" t="s">
        <v>40</v>
      </c>
      <c r="E11480" s="43">
        <v>1900</v>
      </c>
      <c r="F11480" s="43"/>
      <c r="G11480" s="48">
        <f t="shared" si="286"/>
        <v>179261.87847608444</v>
      </c>
      <c r="H11480" s="389" t="s">
        <v>9567</v>
      </c>
    </row>
    <row r="11481" spans="1:9" x14ac:dyDescent="0.3">
      <c r="A11481" s="45">
        <v>45686</v>
      </c>
      <c r="B11481" s="708" t="s">
        <v>14248</v>
      </c>
      <c r="C11481" s="5" t="s">
        <v>5793</v>
      </c>
      <c r="D11481" s="5" t="s">
        <v>40</v>
      </c>
      <c r="E11481" s="43">
        <v>1500</v>
      </c>
      <c r="F11481" s="43"/>
      <c r="G11481" s="48">
        <f t="shared" si="286"/>
        <v>177761.87847608444</v>
      </c>
      <c r="H11481" s="389" t="s">
        <v>9567</v>
      </c>
    </row>
    <row r="11482" spans="1:9" x14ac:dyDescent="0.3">
      <c r="A11482" s="45">
        <v>45686</v>
      </c>
      <c r="B11482" s="708" t="s">
        <v>15162</v>
      </c>
      <c r="C11482" s="5" t="s">
        <v>11174</v>
      </c>
      <c r="D11482" s="5" t="s">
        <v>15427</v>
      </c>
      <c r="E11482" s="43">
        <v>31000</v>
      </c>
      <c r="F11482" s="43"/>
      <c r="G11482" s="48">
        <f t="shared" si="286"/>
        <v>146761.87847608444</v>
      </c>
      <c r="H11482" s="389" t="s">
        <v>9567</v>
      </c>
    </row>
    <row r="11483" spans="1:9" x14ac:dyDescent="0.3">
      <c r="A11483" s="45">
        <v>45686</v>
      </c>
      <c r="B11483" s="708" t="s">
        <v>15429</v>
      </c>
      <c r="C11483" s="5" t="s">
        <v>11174</v>
      </c>
      <c r="D11483" s="5" t="s">
        <v>15433</v>
      </c>
      <c r="E11483" s="43">
        <v>5800</v>
      </c>
      <c r="F11483" s="43"/>
      <c r="G11483" s="48">
        <f t="shared" si="286"/>
        <v>140961.87847608444</v>
      </c>
      <c r="H11483" s="389" t="s">
        <v>9567</v>
      </c>
    </row>
    <row r="11484" spans="1:9" x14ac:dyDescent="0.3">
      <c r="A11484" s="45">
        <v>45686</v>
      </c>
      <c r="B11484" s="708" t="s">
        <v>10319</v>
      </c>
      <c r="C11484" s="5" t="s">
        <v>30</v>
      </c>
      <c r="D11484" s="5" t="s">
        <v>15428</v>
      </c>
      <c r="E11484" s="43">
        <v>2000</v>
      </c>
      <c r="F11484" s="43"/>
      <c r="G11484" s="48">
        <f t="shared" si="286"/>
        <v>138961.87847608444</v>
      </c>
      <c r="H11484" s="389" t="s">
        <v>9567</v>
      </c>
    </row>
    <row r="11485" spans="1:9" x14ac:dyDescent="0.3">
      <c r="A11485" s="45">
        <v>45686</v>
      </c>
      <c r="B11485" s="713" t="s">
        <v>15429</v>
      </c>
      <c r="C11485" s="714" t="s">
        <v>11174</v>
      </c>
      <c r="D11485" s="714" t="s">
        <v>15440</v>
      </c>
      <c r="E11485" s="65">
        <v>5761</v>
      </c>
      <c r="F11485" s="43"/>
      <c r="G11485" s="48">
        <f t="shared" si="286"/>
        <v>133200.87847608444</v>
      </c>
      <c r="H11485" s="389" t="s">
        <v>9567</v>
      </c>
    </row>
    <row r="11486" spans="1:9" x14ac:dyDescent="0.3">
      <c r="A11486" s="45">
        <v>45686</v>
      </c>
      <c r="B11486" s="708" t="s">
        <v>14524</v>
      </c>
      <c r="C11486" s="5" t="s">
        <v>11174</v>
      </c>
      <c r="D11486" s="5" t="s">
        <v>15430</v>
      </c>
      <c r="E11486" s="43">
        <v>4900</v>
      </c>
      <c r="F11486" s="43"/>
      <c r="G11486" s="48">
        <f t="shared" si="286"/>
        <v>128300.87847608444</v>
      </c>
      <c r="H11486" s="389" t="s">
        <v>9567</v>
      </c>
    </row>
    <row r="11487" spans="1:9" x14ac:dyDescent="0.3">
      <c r="A11487" s="45">
        <v>45686</v>
      </c>
      <c r="B11487" s="708" t="s">
        <v>12133</v>
      </c>
      <c r="C11487" s="5" t="s">
        <v>84</v>
      </c>
      <c r="D11487" s="5" t="s">
        <v>15431</v>
      </c>
      <c r="E11487" s="43">
        <v>5000</v>
      </c>
      <c r="F11487" s="43"/>
      <c r="G11487" s="48">
        <f t="shared" si="286"/>
        <v>123300.87847608444</v>
      </c>
      <c r="H11487" s="389" t="s">
        <v>9567</v>
      </c>
      <c r="I11487" s="52">
        <v>1469829</v>
      </c>
    </row>
    <row r="11488" spans="1:9" x14ac:dyDescent="0.3">
      <c r="A11488" s="45">
        <v>45686</v>
      </c>
      <c r="B11488" s="708" t="s">
        <v>14701</v>
      </c>
      <c r="C11488" s="5" t="s">
        <v>84</v>
      </c>
      <c r="D11488" s="5" t="s">
        <v>15432</v>
      </c>
      <c r="E11488" s="43">
        <v>6000</v>
      </c>
      <c r="F11488" s="43"/>
      <c r="G11488" s="48">
        <f t="shared" si="286"/>
        <v>117300.87847608444</v>
      </c>
      <c r="H11488" s="389" t="s">
        <v>9567</v>
      </c>
      <c r="I11488" s="710">
        <f>I11487*30%</f>
        <v>440948.7</v>
      </c>
    </row>
    <row r="11489" spans="1:9" x14ac:dyDescent="0.3">
      <c r="A11489" s="45">
        <v>45686</v>
      </c>
      <c r="B11489" s="708" t="s">
        <v>12133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09" t="s">
        <v>25</v>
      </c>
      <c r="C11490" s="5" t="s">
        <v>26</v>
      </c>
      <c r="D11490" s="5" t="s">
        <v>11434</v>
      </c>
      <c r="E11490" s="43">
        <v>4000</v>
      </c>
      <c r="F11490" s="43"/>
      <c r="G11490" s="48">
        <f t="shared" si="286"/>
        <v>111300.87847608444</v>
      </c>
      <c r="H11490" s="389" t="s">
        <v>9567</v>
      </c>
      <c r="I11490" s="52">
        <f>I11488-I11489</f>
        <v>407877.54749999999</v>
      </c>
    </row>
    <row r="11491" spans="1:9" x14ac:dyDescent="0.3">
      <c r="A11491" s="45">
        <v>45687</v>
      </c>
      <c r="B11491" s="709" t="s">
        <v>14524</v>
      </c>
      <c r="C11491" s="5" t="s">
        <v>11174</v>
      </c>
      <c r="D11491" s="5" t="s">
        <v>15434</v>
      </c>
      <c r="E11491" s="43">
        <v>13600</v>
      </c>
      <c r="F11491" s="43"/>
      <c r="G11491" s="48">
        <f t="shared" si="286"/>
        <v>97700.878476084443</v>
      </c>
      <c r="H11491" s="389" t="s">
        <v>9567</v>
      </c>
    </row>
    <row r="11492" spans="1:9" x14ac:dyDescent="0.3">
      <c r="A11492" s="45">
        <v>45687</v>
      </c>
      <c r="B11492" s="709" t="s">
        <v>14031</v>
      </c>
      <c r="C11492" s="5" t="s">
        <v>11174</v>
      </c>
      <c r="D11492" s="5" t="s">
        <v>15435</v>
      </c>
      <c r="E11492" s="43">
        <v>12236</v>
      </c>
      <c r="F11492" s="43"/>
      <c r="G11492" s="48">
        <f t="shared" si="286"/>
        <v>85464.878476084443</v>
      </c>
      <c r="H11492" s="389" t="s">
        <v>9567</v>
      </c>
    </row>
    <row r="11493" spans="1:9" x14ac:dyDescent="0.3">
      <c r="A11493" s="45">
        <v>45687</v>
      </c>
      <c r="B11493" s="709" t="s">
        <v>14590</v>
      </c>
      <c r="C11493" s="5" t="s">
        <v>11174</v>
      </c>
      <c r="D11493" s="5" t="s">
        <v>13267</v>
      </c>
      <c r="E11493" s="43">
        <v>17600</v>
      </c>
      <c r="F11493" s="43"/>
      <c r="G11493" s="48">
        <f t="shared" si="286"/>
        <v>67864.878476084443</v>
      </c>
      <c r="H11493" s="389" t="s">
        <v>9567</v>
      </c>
    </row>
    <row r="11494" spans="1:9" x14ac:dyDescent="0.3">
      <c r="A11494" s="45">
        <v>45687</v>
      </c>
      <c r="B11494" s="711" t="s">
        <v>14524</v>
      </c>
      <c r="C11494" s="5" t="s">
        <v>11174</v>
      </c>
      <c r="D11494" s="5" t="s">
        <v>15441</v>
      </c>
      <c r="E11494" s="43">
        <v>1000</v>
      </c>
      <c r="F11494" s="43"/>
      <c r="G11494" s="48">
        <f t="shared" si="286"/>
        <v>66864.878476084443</v>
      </c>
      <c r="H11494" s="389" t="s">
        <v>9567</v>
      </c>
    </row>
    <row r="11495" spans="1:9" x14ac:dyDescent="0.3">
      <c r="A11495" s="45">
        <v>45687</v>
      </c>
      <c r="B11495" s="711" t="s">
        <v>13833</v>
      </c>
      <c r="C11495" s="5" t="s">
        <v>26</v>
      </c>
      <c r="D11495" s="5" t="s">
        <v>15436</v>
      </c>
      <c r="E11495" s="43">
        <v>15000</v>
      </c>
      <c r="F11495" s="43"/>
      <c r="G11495" s="48">
        <f t="shared" si="286"/>
        <v>51864.878476084443</v>
      </c>
      <c r="H11495" s="389" t="s">
        <v>9567</v>
      </c>
    </row>
    <row r="11496" spans="1:9" x14ac:dyDescent="0.3">
      <c r="A11496" s="45">
        <v>45687</v>
      </c>
      <c r="B11496" s="711" t="s">
        <v>13902</v>
      </c>
      <c r="C11496" s="5" t="s">
        <v>11821</v>
      </c>
      <c r="D11496" s="5" t="s">
        <v>15437</v>
      </c>
      <c r="E11496" s="43">
        <v>11960</v>
      </c>
      <c r="F11496" s="43"/>
      <c r="G11496" s="48">
        <f t="shared" si="286"/>
        <v>39904.878476084443</v>
      </c>
      <c r="H11496" s="389" t="s">
        <v>9567</v>
      </c>
    </row>
    <row r="11497" spans="1:9" x14ac:dyDescent="0.3">
      <c r="A11497" s="45">
        <v>45687</v>
      </c>
      <c r="B11497" s="711" t="s">
        <v>12133</v>
      </c>
      <c r="C11497" s="5" t="s">
        <v>5793</v>
      </c>
      <c r="D11497" s="5" t="s">
        <v>40</v>
      </c>
      <c r="E11497" s="43">
        <v>1200</v>
      </c>
      <c r="F11497" s="43"/>
      <c r="G11497" s="48">
        <f t="shared" si="286"/>
        <v>38704.878476084443</v>
      </c>
      <c r="H11497" s="389" t="s">
        <v>9567</v>
      </c>
    </row>
    <row r="11498" spans="1:9" x14ac:dyDescent="0.3">
      <c r="A11498" s="45">
        <v>45687</v>
      </c>
      <c r="B11498" s="711" t="s">
        <v>10319</v>
      </c>
      <c r="C11498" s="5" t="s">
        <v>30</v>
      </c>
      <c r="D11498" s="5" t="s">
        <v>15438</v>
      </c>
      <c r="E11498" s="43">
        <v>10000</v>
      </c>
      <c r="F11498" s="43"/>
      <c r="G11498" s="48">
        <f t="shared" si="286"/>
        <v>28704.878476084443</v>
      </c>
      <c r="H11498" s="389" t="s">
        <v>9567</v>
      </c>
    </row>
    <row r="11499" spans="1:9" x14ac:dyDescent="0.3">
      <c r="A11499" s="45">
        <v>45687</v>
      </c>
      <c r="B11499" s="711"/>
      <c r="C11499" s="5" t="s">
        <v>14</v>
      </c>
      <c r="D11499" s="5" t="s">
        <v>8999</v>
      </c>
      <c r="E11499" s="43">
        <v>5000</v>
      </c>
      <c r="F11499" s="43"/>
      <c r="G11499" s="48">
        <f t="shared" si="286"/>
        <v>23704.878476084443</v>
      </c>
      <c r="H11499" s="389" t="s">
        <v>9567</v>
      </c>
    </row>
    <row r="11500" spans="1:9" x14ac:dyDescent="0.3">
      <c r="A11500" s="45">
        <v>45687</v>
      </c>
      <c r="B11500" s="711" t="s">
        <v>13379</v>
      </c>
      <c r="C11500" s="5" t="s">
        <v>11174</v>
      </c>
      <c r="D11500" s="5" t="s">
        <v>15439</v>
      </c>
      <c r="E11500" s="43">
        <v>1500</v>
      </c>
      <c r="F11500" s="43"/>
      <c r="G11500" s="48">
        <f t="shared" si="286"/>
        <v>22204.878476084443</v>
      </c>
      <c r="H11500" s="389" t="s">
        <v>9567</v>
      </c>
    </row>
    <row r="11501" spans="1:9" x14ac:dyDescent="0.3">
      <c r="A11501" s="45">
        <v>45687</v>
      </c>
      <c r="B11501" s="711" t="s">
        <v>15162</v>
      </c>
      <c r="C11501" s="5" t="s">
        <v>5793</v>
      </c>
      <c r="D11501" s="5" t="s">
        <v>40</v>
      </c>
      <c r="E11501" s="43">
        <v>1500</v>
      </c>
      <c r="F11501" s="43"/>
      <c r="G11501" s="48">
        <f t="shared" si="286"/>
        <v>20704.878476084443</v>
      </c>
      <c r="H11501" s="389" t="s">
        <v>9567</v>
      </c>
    </row>
    <row r="11502" spans="1:9" x14ac:dyDescent="0.3">
      <c r="A11502" s="45">
        <v>45687</v>
      </c>
      <c r="B11502" s="711" t="s">
        <v>14590</v>
      </c>
      <c r="C11502" s="5" t="s">
        <v>4550</v>
      </c>
      <c r="D11502" s="5" t="s">
        <v>15264</v>
      </c>
      <c r="E11502" s="43">
        <v>10000</v>
      </c>
      <c r="F11502" s="43"/>
      <c r="G11502" s="48">
        <f t="shared" si="286"/>
        <v>10704.878476084443</v>
      </c>
      <c r="H11502" s="389" t="s">
        <v>9567</v>
      </c>
    </row>
    <row r="11503" spans="1:9" x14ac:dyDescent="0.3">
      <c r="A11503" s="45">
        <v>45687</v>
      </c>
      <c r="B11503" s="711" t="s">
        <v>15429</v>
      </c>
      <c r="C11503" s="5" t="s">
        <v>11174</v>
      </c>
      <c r="D11503" s="5" t="s">
        <v>15442</v>
      </c>
      <c r="E11503" s="43">
        <v>3430</v>
      </c>
      <c r="F11503" s="43"/>
      <c r="G11503" s="48">
        <f t="shared" si="286"/>
        <v>7274.8784760844428</v>
      </c>
      <c r="H11503" s="389" t="s">
        <v>9567</v>
      </c>
    </row>
    <row r="11504" spans="1:9" x14ac:dyDescent="0.3">
      <c r="A11504" s="45">
        <v>45687</v>
      </c>
      <c r="B11504" s="711" t="s">
        <v>25</v>
      </c>
      <c r="C11504" s="5" t="s">
        <v>26</v>
      </c>
      <c r="D11504" s="5" t="s">
        <v>11434</v>
      </c>
      <c r="E11504" s="43">
        <v>4000</v>
      </c>
      <c r="F11504" s="43"/>
      <c r="G11504" s="48">
        <f t="shared" si="286"/>
        <v>3274.8784760844428</v>
      </c>
      <c r="H11504" s="389" t="s">
        <v>9567</v>
      </c>
    </row>
    <row r="11505" spans="1:8" x14ac:dyDescent="0.3">
      <c r="A11505" s="45">
        <v>45688</v>
      </c>
      <c r="B11505" s="565"/>
      <c r="C11505" s="480"/>
      <c r="D11505" s="491" t="s">
        <v>4106</v>
      </c>
      <c r="E11505" s="480"/>
      <c r="F11505" s="43">
        <v>200000</v>
      </c>
      <c r="G11505" s="48">
        <f t="shared" si="286"/>
        <v>203274.87847608444</v>
      </c>
      <c r="H11505" s="389" t="s">
        <v>9567</v>
      </c>
    </row>
    <row r="11506" spans="1:8" x14ac:dyDescent="0.3">
      <c r="A11506" s="45">
        <v>45688</v>
      </c>
      <c r="B11506" s="711" t="s">
        <v>12230</v>
      </c>
      <c r="C11506" s="5" t="s">
        <v>1074</v>
      </c>
      <c r="D11506" s="5" t="s">
        <v>15422</v>
      </c>
      <c r="E11506" s="43">
        <v>770</v>
      </c>
      <c r="F11506" s="43"/>
      <c r="G11506" s="48">
        <f t="shared" si="286"/>
        <v>202504.87847608444</v>
      </c>
      <c r="H11506" s="389" t="s">
        <v>9567</v>
      </c>
    </row>
    <row r="11507" spans="1:8" x14ac:dyDescent="0.3">
      <c r="A11507" s="45">
        <v>45688</v>
      </c>
      <c r="B11507" s="711" t="s">
        <v>25</v>
      </c>
      <c r="C11507" s="5" t="s">
        <v>1074</v>
      </c>
      <c r="D11507" s="5" t="s">
        <v>15422</v>
      </c>
      <c r="E11507" s="43">
        <v>800</v>
      </c>
      <c r="F11507" s="43"/>
      <c r="G11507" s="48">
        <f t="shared" si="286"/>
        <v>201704.87847608444</v>
      </c>
      <c r="H11507" s="389" t="s">
        <v>9567</v>
      </c>
    </row>
    <row r="11508" spans="1:8" x14ac:dyDescent="0.3">
      <c r="A11508" s="45">
        <v>45688</v>
      </c>
      <c r="B11508" s="712" t="s">
        <v>14524</v>
      </c>
      <c r="C11508" s="5" t="s">
        <v>11174</v>
      </c>
      <c r="D11508" s="5" t="s">
        <v>15447</v>
      </c>
      <c r="E11508" s="43">
        <v>3515</v>
      </c>
      <c r="F11508" s="43"/>
      <c r="G11508" s="48">
        <f t="shared" si="286"/>
        <v>198189.87847608444</v>
      </c>
      <c r="H11508" s="389" t="s">
        <v>9567</v>
      </c>
    </row>
    <row r="11509" spans="1:8" x14ac:dyDescent="0.3">
      <c r="A11509" s="45">
        <v>45688</v>
      </c>
      <c r="B11509" s="712" t="s">
        <v>15162</v>
      </c>
      <c r="C11509" s="5" t="s">
        <v>5793</v>
      </c>
      <c r="D11509" s="5" t="s">
        <v>12794</v>
      </c>
      <c r="E11509" s="43">
        <v>1000</v>
      </c>
      <c r="F11509" s="43"/>
      <c r="G11509" s="48">
        <f t="shared" si="286"/>
        <v>197189.87847608444</v>
      </c>
      <c r="H11509" s="389" t="s">
        <v>9567</v>
      </c>
    </row>
    <row r="11510" spans="1:8" x14ac:dyDescent="0.3">
      <c r="A11510" s="45">
        <v>45688</v>
      </c>
      <c r="B11510" s="715" t="s">
        <v>14590</v>
      </c>
      <c r="C11510" s="5" t="s">
        <v>5793</v>
      </c>
      <c r="D11510" s="5" t="s">
        <v>40</v>
      </c>
      <c r="E11510" s="43">
        <v>3000</v>
      </c>
      <c r="F11510" s="43"/>
      <c r="G11510" s="48">
        <f t="shared" si="286"/>
        <v>194189.87847608444</v>
      </c>
      <c r="H11510" s="389" t="s">
        <v>9567</v>
      </c>
    </row>
    <row r="11511" spans="1:8" x14ac:dyDescent="0.3">
      <c r="A11511" s="45">
        <v>45688</v>
      </c>
      <c r="B11511" s="712" t="s">
        <v>13379</v>
      </c>
      <c r="C11511" s="5" t="s">
        <v>26</v>
      </c>
      <c r="D11511" s="5" t="s">
        <v>15445</v>
      </c>
      <c r="E11511" s="43">
        <v>2100</v>
      </c>
      <c r="F11511" s="43"/>
      <c r="G11511" s="48">
        <f t="shared" si="286"/>
        <v>192089.87847608444</v>
      </c>
      <c r="H11511" s="389" t="s">
        <v>9567</v>
      </c>
    </row>
    <row r="11512" spans="1:8" x14ac:dyDescent="0.3">
      <c r="A11512" s="45">
        <v>45688</v>
      </c>
      <c r="B11512" s="712" t="s">
        <v>15421</v>
      </c>
      <c r="C11512" s="5" t="s">
        <v>26</v>
      </c>
      <c r="D11512" s="5" t="s">
        <v>15446</v>
      </c>
      <c r="E11512" s="43">
        <v>1500</v>
      </c>
      <c r="F11512" s="43"/>
      <c r="G11512" s="48">
        <f t="shared" si="286"/>
        <v>190589.87847608444</v>
      </c>
      <c r="H11512" s="389" t="s">
        <v>9567</v>
      </c>
    </row>
    <row r="11513" spans="1:8" x14ac:dyDescent="0.3">
      <c r="A11513" s="45">
        <v>45688</v>
      </c>
      <c r="B11513" s="712" t="s">
        <v>12055</v>
      </c>
      <c r="C11513" s="5" t="s">
        <v>84</v>
      </c>
      <c r="D11513" s="5" t="s">
        <v>15448</v>
      </c>
      <c r="E11513" s="43">
        <v>5000</v>
      </c>
      <c r="F11513" s="43"/>
      <c r="G11513" s="48">
        <f t="shared" si="286"/>
        <v>185589.87847608444</v>
      </c>
      <c r="H11513" s="389" t="s">
        <v>9567</v>
      </c>
    </row>
    <row r="11514" spans="1:8" x14ac:dyDescent="0.3">
      <c r="A11514" s="45">
        <v>45688</v>
      </c>
      <c r="B11514" s="715" t="s">
        <v>13902</v>
      </c>
      <c r="C11514" s="5" t="s">
        <v>30</v>
      </c>
      <c r="D11514" s="5" t="s">
        <v>12729</v>
      </c>
      <c r="E11514" s="43">
        <v>2000</v>
      </c>
      <c r="F11514" s="43"/>
      <c r="G11514" s="48">
        <f t="shared" si="286"/>
        <v>183589.87847608444</v>
      </c>
      <c r="H11514" s="389" t="s">
        <v>9567</v>
      </c>
    </row>
    <row r="11515" spans="1:8" x14ac:dyDescent="0.3">
      <c r="A11515" s="45">
        <v>45688</v>
      </c>
      <c r="B11515" s="716" t="s">
        <v>25</v>
      </c>
      <c r="C11515" s="186" t="s">
        <v>54</v>
      </c>
      <c r="D11515" s="186" t="s">
        <v>1378</v>
      </c>
      <c r="E11515" s="187">
        <v>7000</v>
      </c>
      <c r="F11515" s="43"/>
      <c r="G11515" s="48">
        <f t="shared" si="286"/>
        <v>176589.87847608444</v>
      </c>
      <c r="H11515" s="389" t="s">
        <v>9567</v>
      </c>
    </row>
    <row r="11516" spans="1:8" x14ac:dyDescent="0.3">
      <c r="A11516" s="45">
        <v>45688</v>
      </c>
      <c r="B11516" s="715" t="s">
        <v>14524</v>
      </c>
      <c r="C11516" s="5" t="s">
        <v>5793</v>
      </c>
      <c r="D11516" s="5" t="s">
        <v>40</v>
      </c>
      <c r="E11516" s="43">
        <v>2000</v>
      </c>
      <c r="F11516" s="43"/>
      <c r="G11516" s="48">
        <f t="shared" si="286"/>
        <v>174589.87847608444</v>
      </c>
      <c r="H11516" s="389" t="s">
        <v>9567</v>
      </c>
    </row>
    <row r="11517" spans="1:8" x14ac:dyDescent="0.3">
      <c r="A11517" s="45">
        <v>45688</v>
      </c>
      <c r="B11517" s="715" t="s">
        <v>13833</v>
      </c>
      <c r="C11517" s="5" t="s">
        <v>5793</v>
      </c>
      <c r="D11517" s="5" t="s">
        <v>40</v>
      </c>
      <c r="E11517" s="43">
        <v>1000</v>
      </c>
      <c r="F11517" s="43"/>
      <c r="G11517" s="48">
        <f t="shared" si="286"/>
        <v>173589.87847608444</v>
      </c>
      <c r="H11517" s="389" t="s">
        <v>9567</v>
      </c>
    </row>
    <row r="11518" spans="1:8" x14ac:dyDescent="0.3">
      <c r="A11518" s="45">
        <v>45688</v>
      </c>
      <c r="B11518" s="717" t="s">
        <v>25</v>
      </c>
      <c r="C11518" s="5" t="s">
        <v>26</v>
      </c>
      <c r="D11518" s="5" t="s">
        <v>11434</v>
      </c>
      <c r="E11518" s="43">
        <v>3000</v>
      </c>
      <c r="F11518" s="43"/>
      <c r="G11518" s="48">
        <f t="shared" si="286"/>
        <v>170589.87847608444</v>
      </c>
      <c r="H11518" s="389" t="s">
        <v>9567</v>
      </c>
    </row>
    <row r="11519" spans="1:8" x14ac:dyDescent="0.3">
      <c r="A11519" s="45">
        <v>45689</v>
      </c>
      <c r="B11519" s="715" t="s">
        <v>14590</v>
      </c>
      <c r="C11519" s="5" t="s">
        <v>11174</v>
      </c>
      <c r="D11519" s="5" t="s">
        <v>15454</v>
      </c>
      <c r="E11519" s="43">
        <v>1700</v>
      </c>
      <c r="F11519" s="43"/>
      <c r="G11519" s="48">
        <f t="shared" si="286"/>
        <v>168889.87847608444</v>
      </c>
      <c r="H11519" s="389" t="s">
        <v>9567</v>
      </c>
    </row>
    <row r="11520" spans="1:8" x14ac:dyDescent="0.3">
      <c r="A11520" s="45">
        <v>45689</v>
      </c>
      <c r="B11520" s="718" t="s">
        <v>15421</v>
      </c>
      <c r="C11520" s="5" t="s">
        <v>11174</v>
      </c>
      <c r="D11520" s="5" t="s">
        <v>15453</v>
      </c>
      <c r="E11520" s="43">
        <v>1160</v>
      </c>
      <c r="F11520" s="43"/>
      <c r="G11520" s="48">
        <f t="shared" si="286"/>
        <v>167729.87847608444</v>
      </c>
      <c r="H11520" s="389" t="s">
        <v>9567</v>
      </c>
    </row>
    <row r="11521" spans="1:8" x14ac:dyDescent="0.3">
      <c r="A11521" s="45">
        <v>45689</v>
      </c>
      <c r="B11521" s="717" t="s">
        <v>15421</v>
      </c>
      <c r="C11521" s="5" t="s">
        <v>11174</v>
      </c>
      <c r="D11521" s="5" t="s">
        <v>15450</v>
      </c>
      <c r="E11521" s="43">
        <v>11850</v>
      </c>
      <c r="F11521" s="43"/>
      <c r="G11521" s="48">
        <f t="shared" si="286"/>
        <v>155879.87847608444</v>
      </c>
      <c r="H11521" s="389" t="s">
        <v>9567</v>
      </c>
    </row>
    <row r="11522" spans="1:8" x14ac:dyDescent="0.3">
      <c r="A11522" s="45">
        <v>45689</v>
      </c>
      <c r="B11522" s="719" t="s">
        <v>15451</v>
      </c>
      <c r="C11522" s="5" t="s">
        <v>11174</v>
      </c>
      <c r="D11522" s="5" t="s">
        <v>15452</v>
      </c>
      <c r="E11522" s="43">
        <v>39600</v>
      </c>
      <c r="F11522" s="43"/>
      <c r="G11522" s="48">
        <f t="shared" si="286"/>
        <v>116279.87847608444</v>
      </c>
      <c r="H11522" s="389" t="s">
        <v>9567</v>
      </c>
    </row>
    <row r="11523" spans="1:8" x14ac:dyDescent="0.3">
      <c r="A11523" s="45">
        <v>45689</v>
      </c>
      <c r="B11523" s="717" t="s">
        <v>14685</v>
      </c>
      <c r="C11523" s="5" t="s">
        <v>5793</v>
      </c>
      <c r="D11523" s="5" t="s">
        <v>40</v>
      </c>
      <c r="E11523" s="43">
        <v>1500</v>
      </c>
      <c r="F11523" s="43"/>
      <c r="G11523" s="48">
        <f t="shared" si="286"/>
        <v>114779.87847608444</v>
      </c>
      <c r="H11523" s="389" t="s">
        <v>9567</v>
      </c>
    </row>
    <row r="11524" spans="1:8" x14ac:dyDescent="0.3">
      <c r="A11524" s="45">
        <v>45691</v>
      </c>
      <c r="B11524" s="717" t="s">
        <v>25</v>
      </c>
      <c r="C11524" s="5" t="s">
        <v>64</v>
      </c>
      <c r="D11524" s="5" t="s">
        <v>40</v>
      </c>
      <c r="E11524" s="43">
        <v>1920</v>
      </c>
      <c r="F11524" s="43"/>
      <c r="G11524" s="48">
        <f t="shared" si="286"/>
        <v>112859.87847608444</v>
      </c>
      <c r="H11524" s="389" t="s">
        <v>9567</v>
      </c>
    </row>
    <row r="11525" spans="1:8" x14ac:dyDescent="0.3">
      <c r="A11525" s="45">
        <v>45691</v>
      </c>
      <c r="B11525" s="719" t="s">
        <v>15451</v>
      </c>
      <c r="C11525" s="5" t="s">
        <v>11174</v>
      </c>
      <c r="D11525" s="5" t="s">
        <v>15455</v>
      </c>
      <c r="E11525" s="43">
        <v>9200</v>
      </c>
      <c r="F11525" s="43"/>
      <c r="G11525" s="48">
        <f t="shared" si="286"/>
        <v>103659.87847608444</v>
      </c>
      <c r="H11525" s="389" t="s">
        <v>9567</v>
      </c>
    </row>
    <row r="11526" spans="1:8" x14ac:dyDescent="0.3">
      <c r="A11526" s="45">
        <v>45691</v>
      </c>
      <c r="B11526" s="719" t="s">
        <v>13379</v>
      </c>
      <c r="C11526" s="5" t="s">
        <v>11174</v>
      </c>
      <c r="D11526" s="5" t="s">
        <v>15457</v>
      </c>
      <c r="E11526" s="43">
        <v>1900</v>
      </c>
      <c r="F11526" s="43"/>
      <c r="G11526" s="48">
        <f t="shared" si="286"/>
        <v>101759.87847608444</v>
      </c>
      <c r="H11526" s="389" t="s">
        <v>9567</v>
      </c>
    </row>
    <row r="11527" spans="1:8" x14ac:dyDescent="0.3">
      <c r="A11527" s="45">
        <v>45691</v>
      </c>
      <c r="B11527" s="719" t="s">
        <v>12133</v>
      </c>
      <c r="C11527" s="5" t="s">
        <v>5793</v>
      </c>
      <c r="D11527" s="5" t="s">
        <v>40</v>
      </c>
      <c r="E11527" s="43">
        <v>3500</v>
      </c>
      <c r="F11527" s="43"/>
      <c r="G11527" s="48">
        <f t="shared" si="286"/>
        <v>98259.878476084443</v>
      </c>
      <c r="H11527" s="389" t="s">
        <v>9567</v>
      </c>
    </row>
    <row r="11528" spans="1:8" x14ac:dyDescent="0.3">
      <c r="A11528" s="45">
        <v>45691</v>
      </c>
      <c r="B11528" s="719" t="s">
        <v>14590</v>
      </c>
      <c r="C11528" s="5" t="s">
        <v>5793</v>
      </c>
      <c r="D11528" s="5" t="s">
        <v>14462</v>
      </c>
      <c r="E11528" s="43">
        <v>1000</v>
      </c>
      <c r="F11528" s="43"/>
      <c r="G11528" s="48">
        <f t="shared" si="286"/>
        <v>97259.878476084443</v>
      </c>
      <c r="H11528" s="389" t="s">
        <v>9567</v>
      </c>
    </row>
    <row r="11529" spans="1:8" x14ac:dyDescent="0.3">
      <c r="A11529" s="45">
        <v>45691</v>
      </c>
      <c r="B11529" s="719" t="s">
        <v>14031</v>
      </c>
      <c r="C11529" s="5" t="s">
        <v>9451</v>
      </c>
      <c r="D11529" s="5" t="s">
        <v>15458</v>
      </c>
      <c r="E11529" s="43">
        <v>20000</v>
      </c>
      <c r="F11529" s="43"/>
      <c r="G11529" s="48">
        <f t="shared" si="286"/>
        <v>77259.878476084443</v>
      </c>
      <c r="H11529" s="389" t="s">
        <v>9567</v>
      </c>
    </row>
    <row r="11530" spans="1:8" x14ac:dyDescent="0.3">
      <c r="A11530" s="45">
        <v>45691</v>
      </c>
      <c r="B11530" s="719" t="s">
        <v>25</v>
      </c>
      <c r="C11530" s="5" t="s">
        <v>26</v>
      </c>
      <c r="D11530" s="5" t="s">
        <v>11434</v>
      </c>
      <c r="E11530" s="43">
        <v>3000</v>
      </c>
      <c r="F11530" s="43"/>
      <c r="G11530" s="48">
        <f t="shared" si="286"/>
        <v>74259.878476084443</v>
      </c>
      <c r="H11530" s="389" t="s">
        <v>9567</v>
      </c>
    </row>
    <row r="11531" spans="1:8" x14ac:dyDescent="0.3">
      <c r="A11531" s="45">
        <v>45691</v>
      </c>
      <c r="B11531" s="719" t="s">
        <v>14031</v>
      </c>
      <c r="C11531" s="5" t="s">
        <v>30</v>
      </c>
      <c r="D11531" s="5" t="s">
        <v>15459</v>
      </c>
      <c r="E11531" s="43">
        <v>2000</v>
      </c>
      <c r="F11531" s="43"/>
      <c r="G11531" s="48">
        <f t="shared" si="286"/>
        <v>72259.878476084443</v>
      </c>
      <c r="H11531" s="389" t="s">
        <v>9567</v>
      </c>
    </row>
    <row r="11532" spans="1:8" x14ac:dyDescent="0.3">
      <c r="A11532" s="45">
        <v>45691</v>
      </c>
      <c r="B11532" s="719" t="s">
        <v>15033</v>
      </c>
      <c r="C11532" s="5" t="s">
        <v>9451</v>
      </c>
      <c r="D11532" s="5" t="s">
        <v>15460</v>
      </c>
      <c r="E11532" s="43">
        <v>5000</v>
      </c>
      <c r="F11532" s="43"/>
      <c r="G11532" s="48">
        <f t="shared" si="286"/>
        <v>67259.878476084443</v>
      </c>
      <c r="H11532" s="389" t="s">
        <v>9567</v>
      </c>
    </row>
    <row r="11533" spans="1:8" x14ac:dyDescent="0.3">
      <c r="A11533" s="45">
        <v>45691</v>
      </c>
      <c r="B11533" s="719" t="s">
        <v>25</v>
      </c>
      <c r="C11533" s="5" t="s">
        <v>26</v>
      </c>
      <c r="D11533" s="5" t="s">
        <v>14831</v>
      </c>
      <c r="E11533" s="43">
        <v>2500</v>
      </c>
      <c r="F11533" s="43"/>
      <c r="G11533" s="48">
        <f t="shared" si="286"/>
        <v>64759.878476084443</v>
      </c>
      <c r="H11533" s="389" t="s">
        <v>9567</v>
      </c>
    </row>
    <row r="11534" spans="1:8" x14ac:dyDescent="0.3">
      <c r="A11534" s="45">
        <v>45691</v>
      </c>
      <c r="B11534" s="719"/>
      <c r="C11534" s="5" t="s">
        <v>14</v>
      </c>
      <c r="D11534" s="5" t="s">
        <v>294</v>
      </c>
      <c r="E11534" s="43">
        <v>10000</v>
      </c>
      <c r="F11534" s="43"/>
      <c r="G11534" s="48">
        <f t="shared" si="286"/>
        <v>54759.878476084443</v>
      </c>
      <c r="H11534" s="389" t="s">
        <v>9567</v>
      </c>
    </row>
    <row r="11535" spans="1:8" x14ac:dyDescent="0.3">
      <c r="A11535" s="45">
        <v>45691</v>
      </c>
      <c r="B11535" s="565"/>
      <c r="C11535" s="480"/>
      <c r="D11535" s="491" t="s">
        <v>12269</v>
      </c>
      <c r="E11535" s="480"/>
      <c r="F11535" s="43">
        <v>1886635</v>
      </c>
      <c r="G11535" s="48">
        <f t="shared" si="286"/>
        <v>1941394.8784760844</v>
      </c>
      <c r="H11535" s="389" t="s">
        <v>9567</v>
      </c>
    </row>
    <row r="11536" spans="1:8" x14ac:dyDescent="0.3">
      <c r="A11536" s="45">
        <v>45692</v>
      </c>
      <c r="B11536" s="719" t="s">
        <v>15033</v>
      </c>
      <c r="C11536" s="5" t="s">
        <v>13425</v>
      </c>
      <c r="D11536" s="5" t="s">
        <v>15462</v>
      </c>
      <c r="E11536" s="43">
        <v>1700</v>
      </c>
      <c r="F11536" s="43"/>
      <c r="G11536" s="48">
        <f t="shared" si="286"/>
        <v>1939694.8784760844</v>
      </c>
      <c r="H11536" s="389" t="s">
        <v>9567</v>
      </c>
    </row>
    <row r="11537" spans="1:8" x14ac:dyDescent="0.3">
      <c r="A11537" s="45">
        <v>45692</v>
      </c>
      <c r="B11537" s="719" t="s">
        <v>15001</v>
      </c>
      <c r="C11537" s="5" t="s">
        <v>13425</v>
      </c>
      <c r="D11537" s="5" t="s">
        <v>15461</v>
      </c>
      <c r="E11537" s="43">
        <v>5400</v>
      </c>
      <c r="F11537" s="43"/>
      <c r="G11537" s="48">
        <f t="shared" si="286"/>
        <v>1934294.8784760844</v>
      </c>
      <c r="H11537" s="389" t="s">
        <v>9567</v>
      </c>
    </row>
    <row r="11538" spans="1:8" x14ac:dyDescent="0.3">
      <c r="A11538" s="45">
        <v>45692</v>
      </c>
      <c r="B11538" s="721" t="s">
        <v>14701</v>
      </c>
      <c r="C11538" s="186" t="s">
        <v>54</v>
      </c>
      <c r="D11538" s="186" t="s">
        <v>15283</v>
      </c>
      <c r="E11538" s="187">
        <v>103700</v>
      </c>
      <c r="F11538" s="43"/>
      <c r="G11538" s="48">
        <f t="shared" si="286"/>
        <v>1830594.8784760844</v>
      </c>
      <c r="H11538" s="389" t="s">
        <v>9567</v>
      </c>
    </row>
    <row r="11539" spans="1:8" x14ac:dyDescent="0.3">
      <c r="A11539" s="45">
        <v>45692</v>
      </c>
      <c r="B11539" s="720" t="s">
        <v>13833</v>
      </c>
      <c r="C11539" s="5" t="s">
        <v>11174</v>
      </c>
      <c r="D11539" s="5" t="s">
        <v>15463</v>
      </c>
      <c r="E11539" s="43">
        <v>19000</v>
      </c>
      <c r="F11539" s="43"/>
      <c r="G11539" s="48">
        <f t="shared" si="286"/>
        <v>1811594.8784760844</v>
      </c>
      <c r="H11539" s="389" t="s">
        <v>9567</v>
      </c>
    </row>
    <row r="11540" spans="1:8" x14ac:dyDescent="0.3">
      <c r="A11540" s="45">
        <v>45692</v>
      </c>
      <c r="B11540" s="720" t="s">
        <v>13946</v>
      </c>
      <c r="C11540" s="5" t="s">
        <v>5793</v>
      </c>
      <c r="D11540" s="5" t="s">
        <v>40</v>
      </c>
      <c r="E11540" s="43">
        <v>500</v>
      </c>
      <c r="F11540" s="43"/>
      <c r="G11540" s="48">
        <f t="shared" si="286"/>
        <v>1811094.8784760844</v>
      </c>
      <c r="H11540" s="389" t="s">
        <v>9567</v>
      </c>
    </row>
    <row r="11541" spans="1:8" x14ac:dyDescent="0.3">
      <c r="A11541" s="45">
        <v>45692</v>
      </c>
      <c r="B11541" s="722" t="s">
        <v>25</v>
      </c>
      <c r="C11541" s="5" t="s">
        <v>26</v>
      </c>
      <c r="D11541" s="5" t="s">
        <v>11434</v>
      </c>
      <c r="E11541" s="43">
        <v>3000</v>
      </c>
      <c r="F11541" s="43"/>
      <c r="G11541" s="48">
        <f t="shared" si="286"/>
        <v>1808094.8784760844</v>
      </c>
      <c r="H11541" s="389" t="s">
        <v>9567</v>
      </c>
    </row>
    <row r="11542" spans="1:8" x14ac:dyDescent="0.3">
      <c r="A11542" s="45">
        <v>45692</v>
      </c>
      <c r="B11542" s="720" t="s">
        <v>14524</v>
      </c>
      <c r="C11542" s="5" t="s">
        <v>5793</v>
      </c>
      <c r="D11542" s="5" t="s">
        <v>40</v>
      </c>
      <c r="E11542" s="43">
        <v>800</v>
      </c>
      <c r="F11542" s="43"/>
      <c r="G11542" s="48">
        <f t="shared" si="286"/>
        <v>1807294.8784760844</v>
      </c>
      <c r="H11542" s="389" t="s">
        <v>9567</v>
      </c>
    </row>
    <row r="11543" spans="1:8" x14ac:dyDescent="0.3">
      <c r="A11543" s="45">
        <v>45692</v>
      </c>
      <c r="B11543" s="722" t="s">
        <v>14524</v>
      </c>
      <c r="C11543" s="5" t="s">
        <v>6028</v>
      </c>
      <c r="D11543" s="5" t="s">
        <v>15464</v>
      </c>
      <c r="E11543" s="43">
        <v>830000</v>
      </c>
      <c r="F11543" s="43"/>
      <c r="G11543" s="48">
        <f t="shared" si="286"/>
        <v>977294.87847608444</v>
      </c>
      <c r="H11543" s="389" t="s">
        <v>9567</v>
      </c>
    </row>
    <row r="11544" spans="1:8" x14ac:dyDescent="0.3">
      <c r="A11544" s="45">
        <v>45692</v>
      </c>
      <c r="B11544" s="722" t="s">
        <v>14524</v>
      </c>
      <c r="C11544" s="5" t="s">
        <v>5793</v>
      </c>
      <c r="D11544" s="5" t="s">
        <v>2726</v>
      </c>
      <c r="E11544" s="43">
        <v>4000</v>
      </c>
      <c r="F11544" s="43"/>
      <c r="G11544" s="48">
        <f t="shared" si="286"/>
        <v>973294.87847608444</v>
      </c>
      <c r="H11544" s="389" t="s">
        <v>9567</v>
      </c>
    </row>
    <row r="11545" spans="1:8" x14ac:dyDescent="0.3">
      <c r="A11545" s="45">
        <v>45692</v>
      </c>
      <c r="B11545" s="721" t="s">
        <v>14701</v>
      </c>
      <c r="C11545" s="186" t="s">
        <v>54</v>
      </c>
      <c r="D11545" s="186" t="s">
        <v>6243</v>
      </c>
      <c r="E11545" s="187">
        <v>49300</v>
      </c>
      <c r="F11545" s="43"/>
      <c r="G11545" s="48">
        <f t="shared" si="286"/>
        <v>923994.87847608444</v>
      </c>
      <c r="H11545" s="389" t="s">
        <v>9567</v>
      </c>
    </row>
    <row r="11546" spans="1:8" x14ac:dyDescent="0.3">
      <c r="A11546" s="45">
        <v>45692</v>
      </c>
      <c r="B11546" s="721" t="s">
        <v>25</v>
      </c>
      <c r="C11546" s="186" t="s">
        <v>54</v>
      </c>
      <c r="D11546" s="186" t="s">
        <v>15465</v>
      </c>
      <c r="E11546" s="187">
        <v>90000</v>
      </c>
      <c r="F11546" s="43"/>
      <c r="G11546" s="48">
        <f t="shared" si="286"/>
        <v>833994.87847608444</v>
      </c>
      <c r="H11546" s="389" t="s">
        <v>9567</v>
      </c>
    </row>
    <row r="11547" spans="1:8" x14ac:dyDescent="0.3">
      <c r="A11547" s="45">
        <v>45692</v>
      </c>
      <c r="B11547" s="721" t="s">
        <v>12055</v>
      </c>
      <c r="C11547" s="186" t="s">
        <v>54</v>
      </c>
      <c r="D11547" s="186" t="s">
        <v>15466</v>
      </c>
      <c r="E11547" s="187">
        <v>37670</v>
      </c>
      <c r="F11547" s="43"/>
      <c r="G11547" s="48">
        <f t="shared" si="286"/>
        <v>796324.87847608444</v>
      </c>
      <c r="H11547" s="389" t="s">
        <v>9567</v>
      </c>
    </row>
    <row r="11548" spans="1:8" x14ac:dyDescent="0.3">
      <c r="A11548" s="45">
        <v>45692</v>
      </c>
      <c r="B11548" s="723" t="s">
        <v>25</v>
      </c>
      <c r="C11548" s="186" t="s">
        <v>54</v>
      </c>
      <c r="D11548" s="186" t="s">
        <v>15467</v>
      </c>
      <c r="E11548" s="187">
        <v>46000</v>
      </c>
      <c r="F11548" s="43"/>
      <c r="G11548" s="48">
        <f t="shared" si="286"/>
        <v>750324.87847608444</v>
      </c>
      <c r="H11548" s="389" t="s">
        <v>9567</v>
      </c>
    </row>
    <row r="11549" spans="1:8" x14ac:dyDescent="0.3">
      <c r="A11549" s="45">
        <v>45692</v>
      </c>
      <c r="B11549" s="723" t="s">
        <v>25</v>
      </c>
      <c r="C11549" s="186" t="s">
        <v>54</v>
      </c>
      <c r="D11549" s="186" t="s">
        <v>15468</v>
      </c>
      <c r="E11549" s="187">
        <v>52250</v>
      </c>
      <c r="F11549" s="43"/>
      <c r="G11549" s="48">
        <f t="shared" si="286"/>
        <v>698074.87847608444</v>
      </c>
      <c r="H11549" s="389" t="s">
        <v>9567</v>
      </c>
    </row>
    <row r="11550" spans="1:8" x14ac:dyDescent="0.3">
      <c r="A11550" s="45">
        <v>45692</v>
      </c>
      <c r="B11550" s="723" t="s">
        <v>14882</v>
      </c>
      <c r="C11550" s="186" t="s">
        <v>54</v>
      </c>
      <c r="D11550" s="186" t="s">
        <v>15469</v>
      </c>
      <c r="E11550" s="187">
        <f>44150+37680</f>
        <v>81830</v>
      </c>
      <c r="F11550" s="43"/>
      <c r="G11550" s="48">
        <f t="shared" si="286"/>
        <v>616244.87847608444</v>
      </c>
      <c r="H11550" s="389" t="s">
        <v>9567</v>
      </c>
    </row>
    <row r="11551" spans="1:8" x14ac:dyDescent="0.3">
      <c r="A11551" s="45">
        <v>45692</v>
      </c>
      <c r="B11551" s="723" t="s">
        <v>25</v>
      </c>
      <c r="C11551" s="186" t="s">
        <v>54</v>
      </c>
      <c r="D11551" s="186" t="s">
        <v>15251</v>
      </c>
      <c r="E11551" s="187">
        <v>23000</v>
      </c>
      <c r="F11551" s="43"/>
      <c r="G11551" s="48">
        <f t="shared" si="286"/>
        <v>593244.87847608444</v>
      </c>
      <c r="H11551" s="389" t="s">
        <v>9567</v>
      </c>
    </row>
    <row r="11552" spans="1:8" x14ac:dyDescent="0.3">
      <c r="A11552" s="45">
        <v>45694</v>
      </c>
      <c r="B11552" s="723" t="s">
        <v>12080</v>
      </c>
      <c r="C11552" s="186" t="s">
        <v>54</v>
      </c>
      <c r="D11552" s="186" t="s">
        <v>12746</v>
      </c>
      <c r="E11552" s="187">
        <v>229969.75806451615</v>
      </c>
      <c r="F11552" s="43"/>
      <c r="G11552" s="48">
        <f t="shared" si="286"/>
        <v>363275.12041156832</v>
      </c>
      <c r="H11552" s="389" t="s">
        <v>9567</v>
      </c>
    </row>
    <row r="11553" spans="1:10" x14ac:dyDescent="0.3">
      <c r="A11553" s="45">
        <v>45694</v>
      </c>
      <c r="B11553" s="723" t="s">
        <v>12055</v>
      </c>
      <c r="C11553" s="186" t="s">
        <v>54</v>
      </c>
      <c r="D11553" s="186" t="s">
        <v>6236</v>
      </c>
      <c r="E11553" s="187">
        <v>100920</v>
      </c>
      <c r="F11553" s="43"/>
      <c r="G11553" s="48">
        <f t="shared" si="286"/>
        <v>262355.12041156832</v>
      </c>
      <c r="H11553" s="389" t="s">
        <v>9567</v>
      </c>
      <c r="J11553" s="52">
        <v>1170</v>
      </c>
    </row>
    <row r="11554" spans="1:10" x14ac:dyDescent="0.3">
      <c r="A11554" s="45">
        <v>45694</v>
      </c>
      <c r="B11554" s="724" t="s">
        <v>12080</v>
      </c>
      <c r="C11554" s="5" t="s">
        <v>26</v>
      </c>
      <c r="D11554" s="5" t="s">
        <v>15476</v>
      </c>
      <c r="E11554" s="43">
        <v>3000</v>
      </c>
      <c r="F11554" s="43"/>
      <c r="G11554" s="48">
        <f t="shared" si="286"/>
        <v>259355.12041156832</v>
      </c>
      <c r="H11554" s="389" t="s">
        <v>9567</v>
      </c>
      <c r="J11554" s="710">
        <f>J11553*15%</f>
        <v>175.5</v>
      </c>
    </row>
    <row r="11555" spans="1:10" ht="16.5" customHeight="1" x14ac:dyDescent="0.3">
      <c r="A11555" s="45">
        <v>45694</v>
      </c>
      <c r="B11555" s="723" t="s">
        <v>13833</v>
      </c>
      <c r="C11555" s="186" t="s">
        <v>54</v>
      </c>
      <c r="D11555" s="186" t="s">
        <v>15477</v>
      </c>
      <c r="E11555" s="187">
        <v>65140</v>
      </c>
      <c r="F11555" s="43"/>
      <c r="G11555" s="48">
        <f t="shared" si="286"/>
        <v>194215.12041156832</v>
      </c>
      <c r="H11555" s="389" t="s">
        <v>9567</v>
      </c>
      <c r="J11555" s="52">
        <f>J11553-J11554</f>
        <v>994.5</v>
      </c>
    </row>
    <row r="11556" spans="1:10" x14ac:dyDescent="0.3">
      <c r="A11556" s="45">
        <v>45694</v>
      </c>
      <c r="B11556" s="724" t="s">
        <v>13833</v>
      </c>
      <c r="C11556" s="5" t="s">
        <v>11174</v>
      </c>
      <c r="D11556" s="5" t="s">
        <v>15478</v>
      </c>
      <c r="E11556" s="43">
        <v>400</v>
      </c>
      <c r="F11556" s="43"/>
      <c r="G11556" s="48">
        <f t="shared" si="286"/>
        <v>193815.12041156832</v>
      </c>
      <c r="H11556" s="389" t="s">
        <v>9567</v>
      </c>
    </row>
    <row r="11557" spans="1:10" x14ac:dyDescent="0.3">
      <c r="A11557" s="45">
        <v>45694</v>
      </c>
      <c r="B11557" s="724" t="s">
        <v>14524</v>
      </c>
      <c r="C11557" s="5" t="s">
        <v>11174</v>
      </c>
      <c r="D11557" s="5" t="s">
        <v>15479</v>
      </c>
      <c r="E11557" s="43">
        <v>9200</v>
      </c>
      <c r="F11557" s="43"/>
      <c r="G11557" s="48">
        <f t="shared" si="286"/>
        <v>184615.12041156832</v>
      </c>
      <c r="H11557" s="389" t="s">
        <v>9567</v>
      </c>
    </row>
    <row r="11558" spans="1:10" x14ac:dyDescent="0.3">
      <c r="A11558" s="45">
        <v>45694</v>
      </c>
      <c r="B11558" s="724"/>
      <c r="C11558" s="5" t="s">
        <v>30</v>
      </c>
      <c r="D11558" s="5" t="s">
        <v>15459</v>
      </c>
      <c r="E11558" s="43">
        <v>1000</v>
      </c>
      <c r="F11558" s="43"/>
      <c r="G11558" s="48">
        <f t="shared" si="286"/>
        <v>183615.12041156832</v>
      </c>
      <c r="H11558" s="389" t="s">
        <v>9567</v>
      </c>
    </row>
    <row r="11559" spans="1:10" x14ac:dyDescent="0.3">
      <c r="A11559" s="45">
        <v>45694</v>
      </c>
      <c r="B11559" s="724" t="s">
        <v>25</v>
      </c>
      <c r="C11559" s="5" t="s">
        <v>26</v>
      </c>
      <c r="D11559" s="5" t="s">
        <v>11434</v>
      </c>
      <c r="E11559" s="43">
        <v>3000</v>
      </c>
      <c r="F11559" s="43"/>
      <c r="G11559" s="48">
        <f t="shared" ref="G11559:G11746" si="287">G11558+F11559-E11559</f>
        <v>180615.12041156832</v>
      </c>
      <c r="H11559" s="389" t="s">
        <v>9567</v>
      </c>
    </row>
    <row r="11560" spans="1:10" x14ac:dyDescent="0.3">
      <c r="A11560" s="45">
        <v>45694</v>
      </c>
      <c r="B11560" s="724" t="s">
        <v>15162</v>
      </c>
      <c r="C11560" s="5" t="s">
        <v>5793</v>
      </c>
      <c r="D11560" s="5" t="s">
        <v>40</v>
      </c>
      <c r="E11560" s="43">
        <v>1200</v>
      </c>
      <c r="F11560" s="43"/>
      <c r="G11560" s="48">
        <f t="shared" si="287"/>
        <v>179415.12041156832</v>
      </c>
      <c r="H11560" s="389" t="s">
        <v>9567</v>
      </c>
    </row>
    <row r="11561" spans="1:10" x14ac:dyDescent="0.3">
      <c r="A11561" s="45">
        <v>45694</v>
      </c>
      <c r="B11561" s="724" t="s">
        <v>14524</v>
      </c>
      <c r="C11561" s="5" t="s">
        <v>26</v>
      </c>
      <c r="D11561" s="5" t="s">
        <v>15481</v>
      </c>
      <c r="E11561" s="43">
        <v>8500</v>
      </c>
      <c r="F11561" s="43"/>
      <c r="G11561" s="48">
        <f t="shared" si="287"/>
        <v>170915.12041156832</v>
      </c>
      <c r="H11561" s="389" t="s">
        <v>9567</v>
      </c>
    </row>
    <row r="11562" spans="1:10" x14ac:dyDescent="0.3">
      <c r="A11562" s="45">
        <v>45694</v>
      </c>
      <c r="B11562" s="723" t="s">
        <v>14524</v>
      </c>
      <c r="C11562" s="186" t="s">
        <v>54</v>
      </c>
      <c r="D11562" s="186" t="s">
        <v>15482</v>
      </c>
      <c r="E11562" s="187">
        <v>45000</v>
      </c>
      <c r="F11562" s="43"/>
      <c r="G11562" s="48">
        <f t="shared" si="287"/>
        <v>125915.12041156832</v>
      </c>
      <c r="H11562" s="389" t="s">
        <v>9567</v>
      </c>
    </row>
    <row r="11563" spans="1:10" x14ac:dyDescent="0.3">
      <c r="A11563" s="45">
        <v>45694</v>
      </c>
      <c r="B11563" s="723" t="s">
        <v>13833</v>
      </c>
      <c r="C11563" s="186" t="s">
        <v>54</v>
      </c>
      <c r="D11563" s="186" t="s">
        <v>15483</v>
      </c>
      <c r="E11563" s="187">
        <f>39800+34410</f>
        <v>74210</v>
      </c>
      <c r="F11563" s="43"/>
      <c r="G11563" s="48">
        <f t="shared" si="287"/>
        <v>51705.120411568321</v>
      </c>
      <c r="H11563" s="389" t="s">
        <v>9567</v>
      </c>
    </row>
    <row r="11564" spans="1:10" x14ac:dyDescent="0.3">
      <c r="A11564" s="45">
        <v>45694</v>
      </c>
      <c r="B11564" s="724" t="s">
        <v>12133</v>
      </c>
      <c r="C11564" s="5" t="s">
        <v>11174</v>
      </c>
      <c r="D11564" s="5" t="s">
        <v>15480</v>
      </c>
      <c r="E11564" s="43">
        <v>11200</v>
      </c>
      <c r="F11564" s="43"/>
      <c r="G11564" s="48">
        <f t="shared" si="287"/>
        <v>40505.120411568321</v>
      </c>
      <c r="H11564" s="389" t="s">
        <v>9567</v>
      </c>
    </row>
    <row r="11565" spans="1:10" x14ac:dyDescent="0.3">
      <c r="A11565" s="45">
        <v>45694</v>
      </c>
      <c r="B11565" s="565"/>
      <c r="C11565" s="480"/>
      <c r="D11565" s="491" t="s">
        <v>15488</v>
      </c>
      <c r="E11565" s="480"/>
      <c r="F11565" s="43">
        <v>500000</v>
      </c>
      <c r="G11565" s="48">
        <f t="shared" si="287"/>
        <v>540505.12041156832</v>
      </c>
      <c r="H11565" s="389" t="s">
        <v>9567</v>
      </c>
    </row>
    <row r="11566" spans="1:10" x14ac:dyDescent="0.3">
      <c r="A11566" s="45">
        <v>45694</v>
      </c>
      <c r="B11566" s="725" t="s">
        <v>14701</v>
      </c>
      <c r="C11566" s="186" t="s">
        <v>54</v>
      </c>
      <c r="D11566" s="186" t="s">
        <v>15487</v>
      </c>
      <c r="E11566" s="187">
        <f>42100+21000+22900+34500+32900+29030+44770+68130+88300</f>
        <v>383630</v>
      </c>
      <c r="F11566" s="43"/>
      <c r="G11566" s="48">
        <f t="shared" si="287"/>
        <v>156875.12041156832</v>
      </c>
      <c r="H11566" s="389" t="s">
        <v>9567</v>
      </c>
    </row>
    <row r="11567" spans="1:10" x14ac:dyDescent="0.3">
      <c r="A11567" s="45">
        <v>45694</v>
      </c>
      <c r="B11567" s="725"/>
      <c r="C11567" s="186" t="s">
        <v>54</v>
      </c>
      <c r="D11567" s="186" t="s">
        <v>15489</v>
      </c>
      <c r="E11567" s="187">
        <v>53270</v>
      </c>
      <c r="F11567" s="43"/>
      <c r="G11567" s="48">
        <f t="shared" si="287"/>
        <v>103605.12041156832</v>
      </c>
      <c r="H11567" s="389" t="s">
        <v>9567</v>
      </c>
    </row>
    <row r="11568" spans="1:10" x14ac:dyDescent="0.3">
      <c r="A11568" s="45">
        <v>45694</v>
      </c>
      <c r="B11568" s="725" t="s">
        <v>12055</v>
      </c>
      <c r="C11568" s="186" t="s">
        <v>54</v>
      </c>
      <c r="D11568" s="186" t="s">
        <v>10079</v>
      </c>
      <c r="E11568" s="187">
        <v>28000</v>
      </c>
      <c r="F11568" s="43"/>
      <c r="G11568" s="48">
        <f t="shared" si="287"/>
        <v>75605.120411568321</v>
      </c>
      <c r="H11568" s="389" t="s">
        <v>9567</v>
      </c>
    </row>
    <row r="11569" spans="1:8" x14ac:dyDescent="0.3">
      <c r="A11569" s="45">
        <v>45694</v>
      </c>
      <c r="B11569" s="725"/>
      <c r="C11569" s="5" t="s">
        <v>26</v>
      </c>
      <c r="D11569" s="5" t="s">
        <v>15490</v>
      </c>
      <c r="E11569" s="43">
        <v>2000</v>
      </c>
      <c r="F11569" s="43"/>
      <c r="G11569" s="48">
        <f t="shared" si="287"/>
        <v>73605.120411568321</v>
      </c>
      <c r="H11569" s="389" t="s">
        <v>9567</v>
      </c>
    </row>
    <row r="11570" spans="1:8" x14ac:dyDescent="0.3">
      <c r="A11570" s="45">
        <v>45694</v>
      </c>
      <c r="B11570" s="727" t="s">
        <v>14701</v>
      </c>
      <c r="C11570" s="5" t="s">
        <v>30</v>
      </c>
      <c r="D11570" s="5" t="s">
        <v>15080</v>
      </c>
      <c r="E11570" s="43">
        <v>1000</v>
      </c>
      <c r="F11570" s="43"/>
      <c r="G11570" s="48">
        <f t="shared" si="287"/>
        <v>72605.120411568321</v>
      </c>
      <c r="H11570" s="389" t="s">
        <v>9567</v>
      </c>
    </row>
    <row r="11571" spans="1:8" x14ac:dyDescent="0.3">
      <c r="A11571" s="45">
        <v>45694</v>
      </c>
      <c r="B11571" s="727" t="s">
        <v>12230</v>
      </c>
      <c r="C11571" s="5" t="s">
        <v>26</v>
      </c>
      <c r="D11571" s="5" t="s">
        <v>15491</v>
      </c>
      <c r="E11571" s="43">
        <v>1000</v>
      </c>
      <c r="F11571" s="43"/>
      <c r="G11571" s="48">
        <f t="shared" si="287"/>
        <v>71605.120411568321</v>
      </c>
      <c r="H11571" s="389" t="s">
        <v>9567</v>
      </c>
    </row>
    <row r="11572" spans="1:8" x14ac:dyDescent="0.3">
      <c r="A11572" s="45">
        <v>45695</v>
      </c>
      <c r="B11572" s="727" t="s">
        <v>15384</v>
      </c>
      <c r="C11572" s="5" t="s">
        <v>11174</v>
      </c>
      <c r="D11572" s="5" t="s">
        <v>15503</v>
      </c>
      <c r="E11572" s="43">
        <v>19300</v>
      </c>
      <c r="F11572" s="43"/>
      <c r="G11572" s="48">
        <f t="shared" si="287"/>
        <v>52305.120411568321</v>
      </c>
      <c r="H11572" s="389" t="s">
        <v>9567</v>
      </c>
    </row>
    <row r="11573" spans="1:8" x14ac:dyDescent="0.3">
      <c r="A11573" s="45">
        <v>45695</v>
      </c>
      <c r="B11573" s="729" t="s">
        <v>12133</v>
      </c>
      <c r="C11573" s="5" t="s">
        <v>5793</v>
      </c>
      <c r="D11573" s="5" t="s">
        <v>40</v>
      </c>
      <c r="E11573" s="43">
        <v>500</v>
      </c>
      <c r="F11573" s="43"/>
      <c r="G11573" s="48">
        <f t="shared" si="287"/>
        <v>51805.120411568321</v>
      </c>
      <c r="H11573" s="389" t="s">
        <v>9567</v>
      </c>
    </row>
    <row r="11574" spans="1:8" x14ac:dyDescent="0.3">
      <c r="A11574" s="45">
        <v>45695</v>
      </c>
      <c r="B11574" s="727" t="s">
        <v>12133</v>
      </c>
      <c r="C11574" s="5" t="s">
        <v>68</v>
      </c>
      <c r="D11574" s="5" t="s">
        <v>294</v>
      </c>
      <c r="E11574" s="43">
        <v>500</v>
      </c>
      <c r="F11574" s="43"/>
      <c r="G11574" s="48">
        <f t="shared" si="287"/>
        <v>51305.120411568321</v>
      </c>
      <c r="H11574" s="389" t="s">
        <v>9567</v>
      </c>
    </row>
    <row r="11575" spans="1:8" x14ac:dyDescent="0.3">
      <c r="A11575" s="45">
        <v>45695</v>
      </c>
      <c r="B11575" s="565"/>
      <c r="C11575" s="480"/>
      <c r="D11575" s="491" t="s">
        <v>15488</v>
      </c>
      <c r="E11575" s="480"/>
      <c r="F11575" s="43">
        <v>1000000</v>
      </c>
      <c r="G11575" s="48">
        <f t="shared" si="287"/>
        <v>1051305.1204115683</v>
      </c>
      <c r="H11575" s="389" t="s">
        <v>9567</v>
      </c>
    </row>
    <row r="11576" spans="1:8" x14ac:dyDescent="0.3">
      <c r="A11576" s="45">
        <v>45695</v>
      </c>
      <c r="B11576" s="726"/>
      <c r="C11576" s="5" t="s">
        <v>14</v>
      </c>
      <c r="D11576" s="5" t="s">
        <v>294</v>
      </c>
      <c r="E11576" s="43">
        <v>10000</v>
      </c>
      <c r="F11576" s="43"/>
      <c r="G11576" s="48">
        <f t="shared" si="287"/>
        <v>1041305.1204115683</v>
      </c>
      <c r="H11576" s="389" t="s">
        <v>9567</v>
      </c>
    </row>
    <row r="11577" spans="1:8" x14ac:dyDescent="0.3">
      <c r="A11577" s="45">
        <v>45695</v>
      </c>
      <c r="B11577" s="726" t="s">
        <v>14882</v>
      </c>
      <c r="C11577" s="186" t="s">
        <v>54</v>
      </c>
      <c r="D11577" s="186" t="s">
        <v>8824</v>
      </c>
      <c r="E11577" s="187">
        <v>44610</v>
      </c>
      <c r="F11577" s="43"/>
      <c r="G11577" s="48">
        <f t="shared" si="287"/>
        <v>996695.12041156832</v>
      </c>
      <c r="H11577" s="389" t="s">
        <v>9567</v>
      </c>
    </row>
    <row r="11578" spans="1:8" x14ac:dyDescent="0.3">
      <c r="A11578" s="45">
        <v>45695</v>
      </c>
      <c r="B11578" s="726" t="s">
        <v>14701</v>
      </c>
      <c r="C11578" s="186" t="s">
        <v>54</v>
      </c>
      <c r="D11578" s="186" t="s">
        <v>14668</v>
      </c>
      <c r="E11578" s="187">
        <v>29650</v>
      </c>
      <c r="F11578" s="43"/>
      <c r="G11578" s="48">
        <f t="shared" si="287"/>
        <v>967045.12041156832</v>
      </c>
      <c r="H11578" s="389" t="s">
        <v>9567</v>
      </c>
    </row>
    <row r="11579" spans="1:8" x14ac:dyDescent="0.3">
      <c r="A11579" s="45">
        <v>45695</v>
      </c>
      <c r="B11579" s="729" t="s">
        <v>14701</v>
      </c>
      <c r="C11579" s="5" t="s">
        <v>26</v>
      </c>
      <c r="D11579" s="5" t="s">
        <v>15499</v>
      </c>
      <c r="E11579" s="43">
        <v>9000</v>
      </c>
      <c r="F11579" s="43"/>
      <c r="G11579" s="48">
        <f t="shared" si="287"/>
        <v>958045.12041156832</v>
      </c>
      <c r="H11579" s="389" t="s">
        <v>9567</v>
      </c>
    </row>
    <row r="11580" spans="1:8" x14ac:dyDescent="0.3">
      <c r="A11580" s="45">
        <v>45695</v>
      </c>
      <c r="B11580" s="726" t="s">
        <v>15494</v>
      </c>
      <c r="C11580" s="186" t="s">
        <v>54</v>
      </c>
      <c r="D11580" s="186" t="s">
        <v>15495</v>
      </c>
      <c r="E11580" s="187">
        <v>110000</v>
      </c>
      <c r="F11580" s="43"/>
      <c r="G11580" s="48">
        <f t="shared" si="287"/>
        <v>848045.12041156832</v>
      </c>
      <c r="H11580" s="389" t="s">
        <v>9567</v>
      </c>
    </row>
    <row r="11581" spans="1:8" x14ac:dyDescent="0.3">
      <c r="A11581" s="45">
        <v>45694</v>
      </c>
      <c r="B11581" s="725" t="s">
        <v>25</v>
      </c>
      <c r="C11581" s="186" t="s">
        <v>54</v>
      </c>
      <c r="D11581" s="186" t="s">
        <v>15492</v>
      </c>
      <c r="E11581" s="187">
        <f>47500+75000</f>
        <v>122500</v>
      </c>
      <c r="F11581" s="43"/>
      <c r="G11581" s="48">
        <f t="shared" si="287"/>
        <v>725545.12041156832</v>
      </c>
      <c r="H11581" s="389" t="s">
        <v>9567</v>
      </c>
    </row>
    <row r="11582" spans="1:8" x14ac:dyDescent="0.3">
      <c r="A11582" s="45">
        <v>45695</v>
      </c>
      <c r="B11582" s="726" t="s">
        <v>14882</v>
      </c>
      <c r="C11582" s="186" t="s">
        <v>54</v>
      </c>
      <c r="D11582" s="186" t="s">
        <v>15493</v>
      </c>
      <c r="E11582" s="187">
        <f>75320+50650</f>
        <v>125970</v>
      </c>
      <c r="F11582" s="43"/>
      <c r="G11582" s="48">
        <f t="shared" si="287"/>
        <v>599575.12041156832</v>
      </c>
      <c r="H11582" s="389" t="s">
        <v>9567</v>
      </c>
    </row>
    <row r="11583" spans="1:8" x14ac:dyDescent="0.3">
      <c r="A11583" s="45">
        <v>45695</v>
      </c>
      <c r="B11583" s="728" t="s">
        <v>14882</v>
      </c>
      <c r="C11583" s="186" t="s">
        <v>54</v>
      </c>
      <c r="D11583" s="186" t="s">
        <v>13171</v>
      </c>
      <c r="E11583" s="187">
        <v>47000</v>
      </c>
      <c r="F11583" s="43"/>
      <c r="G11583" s="48">
        <f t="shared" si="287"/>
        <v>552575.12041156832</v>
      </c>
      <c r="H11583" s="389" t="s">
        <v>9567</v>
      </c>
    </row>
    <row r="11584" spans="1:8" x14ac:dyDescent="0.3">
      <c r="A11584" s="45">
        <v>45695</v>
      </c>
      <c r="B11584" s="713" t="s">
        <v>14685</v>
      </c>
      <c r="C11584" s="714" t="s">
        <v>11174</v>
      </c>
      <c r="D11584" s="714" t="s">
        <v>15502</v>
      </c>
      <c r="E11584" s="65">
        <v>5000</v>
      </c>
      <c r="F11584" s="43"/>
      <c r="G11584" s="48">
        <f t="shared" si="287"/>
        <v>547575.12041156832</v>
      </c>
      <c r="H11584" s="389" t="s">
        <v>9567</v>
      </c>
    </row>
    <row r="11585" spans="1:8" x14ac:dyDescent="0.3">
      <c r="A11585" s="45">
        <v>45695</v>
      </c>
      <c r="B11585" s="726" t="s">
        <v>15146</v>
      </c>
      <c r="C11585" s="186" t="s">
        <v>54</v>
      </c>
      <c r="D11585" s="186" t="s">
        <v>12520</v>
      </c>
      <c r="E11585" s="187">
        <v>43650</v>
      </c>
      <c r="F11585" s="43"/>
      <c r="G11585" s="48">
        <f t="shared" si="287"/>
        <v>503925.12041156832</v>
      </c>
      <c r="H11585" s="389" t="s">
        <v>9567</v>
      </c>
    </row>
    <row r="11586" spans="1:8" x14ac:dyDescent="0.3">
      <c r="A11586" s="45">
        <v>45696</v>
      </c>
      <c r="B11586" s="726" t="s">
        <v>14590</v>
      </c>
      <c r="C11586" s="186" t="s">
        <v>54</v>
      </c>
      <c r="D11586" s="186" t="s">
        <v>15497</v>
      </c>
      <c r="E11586" s="187">
        <f>57800+22380+26920+74100</f>
        <v>181200</v>
      </c>
      <c r="F11586" s="43"/>
      <c r="G11586" s="48">
        <f t="shared" si="287"/>
        <v>322725.12041156832</v>
      </c>
      <c r="H11586" s="389" t="s">
        <v>9567</v>
      </c>
    </row>
    <row r="11587" spans="1:8" x14ac:dyDescent="0.3">
      <c r="A11587" s="45">
        <v>45696</v>
      </c>
      <c r="B11587" s="729" t="s">
        <v>25</v>
      </c>
      <c r="C11587" s="5" t="s">
        <v>26</v>
      </c>
      <c r="D11587" s="5" t="s">
        <v>11434</v>
      </c>
      <c r="E11587" s="43">
        <v>2000</v>
      </c>
      <c r="F11587" s="43"/>
      <c r="G11587" s="48">
        <f t="shared" si="287"/>
        <v>320725.12041156832</v>
      </c>
      <c r="H11587" s="389" t="s">
        <v>9567</v>
      </c>
    </row>
    <row r="11588" spans="1:8" x14ac:dyDescent="0.3">
      <c r="A11588" s="45">
        <v>45696</v>
      </c>
      <c r="B11588" s="726" t="s">
        <v>13138</v>
      </c>
      <c r="C11588" s="186" t="s">
        <v>54</v>
      </c>
      <c r="D11588" s="186" t="s">
        <v>15496</v>
      </c>
      <c r="E11588" s="187">
        <f>58550+53550</f>
        <v>112100</v>
      </c>
      <c r="F11588" s="43"/>
      <c r="G11588" s="48">
        <f t="shared" si="287"/>
        <v>208625.12041156832</v>
      </c>
      <c r="H11588" s="389" t="s">
        <v>9567</v>
      </c>
    </row>
    <row r="11589" spans="1:8" x14ac:dyDescent="0.3">
      <c r="A11589" s="45">
        <v>45696</v>
      </c>
      <c r="B11589" s="726" t="s">
        <v>13902</v>
      </c>
      <c r="C11589" s="186" t="s">
        <v>54</v>
      </c>
      <c r="D11589" s="186" t="s">
        <v>15498</v>
      </c>
      <c r="E11589" s="187">
        <f>38710+32910</f>
        <v>71620</v>
      </c>
      <c r="F11589" s="43"/>
      <c r="G11589" s="48">
        <f t="shared" si="287"/>
        <v>137005.12041156832</v>
      </c>
      <c r="H11589" s="389" t="s">
        <v>9567</v>
      </c>
    </row>
    <row r="11590" spans="1:8" x14ac:dyDescent="0.3">
      <c r="A11590" s="45">
        <v>45696</v>
      </c>
      <c r="B11590" s="726" t="s">
        <v>15146</v>
      </c>
      <c r="C11590" s="186" t="s">
        <v>54</v>
      </c>
      <c r="D11590" s="186" t="s">
        <v>15312</v>
      </c>
      <c r="E11590" s="187">
        <v>34230</v>
      </c>
      <c r="F11590" s="43"/>
      <c r="G11590" s="48">
        <f t="shared" si="287"/>
        <v>102775.12041156832</v>
      </c>
      <c r="H11590" s="389" t="s">
        <v>9567</v>
      </c>
    </row>
    <row r="11591" spans="1:8" x14ac:dyDescent="0.3">
      <c r="A11591" s="45">
        <v>45696</v>
      </c>
      <c r="B11591" s="728" t="s">
        <v>12133</v>
      </c>
      <c r="C11591" s="186" t="s">
        <v>54</v>
      </c>
      <c r="D11591" s="186" t="s">
        <v>15500</v>
      </c>
      <c r="E11591" s="187">
        <f>60000+28120</f>
        <v>88120</v>
      </c>
      <c r="F11591" s="43"/>
      <c r="G11591" s="48">
        <f t="shared" si="287"/>
        <v>14655.120411568321</v>
      </c>
      <c r="H11591" s="389" t="s">
        <v>9567</v>
      </c>
    </row>
    <row r="11592" spans="1:8" x14ac:dyDescent="0.3">
      <c r="A11592" s="45">
        <v>45696</v>
      </c>
      <c r="B11592" s="729" t="s">
        <v>12080</v>
      </c>
      <c r="C11592" s="5" t="s">
        <v>5793</v>
      </c>
      <c r="D11592" s="5" t="s">
        <v>15501</v>
      </c>
      <c r="E11592" s="43">
        <v>12000</v>
      </c>
      <c r="F11592" s="43"/>
      <c r="G11592" s="48">
        <f t="shared" si="287"/>
        <v>2655.1204115683213</v>
      </c>
      <c r="H11592" s="389" t="s">
        <v>9567</v>
      </c>
    </row>
    <row r="11593" spans="1:8" x14ac:dyDescent="0.3">
      <c r="A11593" s="45">
        <v>45696</v>
      </c>
      <c r="B11593" s="730" t="s">
        <v>13902</v>
      </c>
      <c r="C11593" s="5" t="s">
        <v>5793</v>
      </c>
      <c r="D11593" s="5" t="s">
        <v>8924</v>
      </c>
      <c r="E11593" s="43">
        <v>250</v>
      </c>
      <c r="F11593" s="43"/>
      <c r="G11593" s="48">
        <f t="shared" si="287"/>
        <v>2405.1204115683213</v>
      </c>
      <c r="H11593" s="389" t="s">
        <v>9567</v>
      </c>
    </row>
    <row r="11594" spans="1:8" x14ac:dyDescent="0.3">
      <c r="A11594" s="45">
        <v>45696</v>
      </c>
      <c r="B11594" s="729" t="s">
        <v>14685</v>
      </c>
      <c r="C11594" s="5" t="s">
        <v>5793</v>
      </c>
      <c r="D11594" s="5" t="s">
        <v>3332</v>
      </c>
      <c r="E11594" s="43">
        <v>1500</v>
      </c>
      <c r="F11594" s="43"/>
      <c r="G11594" s="48">
        <f t="shared" si="287"/>
        <v>905.12041156832129</v>
      </c>
      <c r="H11594" s="389" t="s">
        <v>9567</v>
      </c>
    </row>
    <row r="11595" spans="1:8" x14ac:dyDescent="0.3">
      <c r="A11595" s="45">
        <v>45696</v>
      </c>
      <c r="B11595" s="729" t="s">
        <v>14524</v>
      </c>
      <c r="C11595" s="5" t="s">
        <v>11174</v>
      </c>
      <c r="D11595" s="5" t="s">
        <v>12287</v>
      </c>
      <c r="E11595" s="43">
        <v>700</v>
      </c>
      <c r="F11595" s="43"/>
      <c r="G11595" s="48">
        <f t="shared" si="287"/>
        <v>205.12041156832129</v>
      </c>
      <c r="H11595" s="389" t="s">
        <v>9567</v>
      </c>
    </row>
    <row r="11596" spans="1:8" x14ac:dyDescent="0.3">
      <c r="A11596" s="45">
        <v>45701</v>
      </c>
      <c r="B11596" s="565"/>
      <c r="C11596" s="480"/>
      <c r="D11596" s="491" t="s">
        <v>15514</v>
      </c>
      <c r="E11596" s="480"/>
      <c r="F11596" s="43">
        <v>100000</v>
      </c>
      <c r="G11596" s="48">
        <f t="shared" si="287"/>
        <v>100205.12041156832</v>
      </c>
      <c r="H11596" s="389" t="s">
        <v>9567</v>
      </c>
    </row>
    <row r="11597" spans="1:8" x14ac:dyDescent="0.3">
      <c r="A11597" s="45">
        <v>45701</v>
      </c>
      <c r="B11597" s="729" t="s">
        <v>14524</v>
      </c>
      <c r="C11597" s="5" t="s">
        <v>5793</v>
      </c>
      <c r="D11597" s="5" t="s">
        <v>15515</v>
      </c>
      <c r="E11597" s="43">
        <v>3000</v>
      </c>
      <c r="F11597" s="43"/>
      <c r="G11597" s="48">
        <f t="shared" si="287"/>
        <v>97205.120411568321</v>
      </c>
      <c r="H11597" s="389" t="s">
        <v>9567</v>
      </c>
    </row>
    <row r="11598" spans="1:8" x14ac:dyDescent="0.3">
      <c r="A11598" s="45">
        <v>45701</v>
      </c>
      <c r="B11598" s="731" t="s">
        <v>15421</v>
      </c>
      <c r="C11598" s="5" t="s">
        <v>5793</v>
      </c>
      <c r="D11598" s="5" t="s">
        <v>15515</v>
      </c>
      <c r="E11598" s="43">
        <v>1500</v>
      </c>
      <c r="F11598" s="43"/>
      <c r="G11598" s="48">
        <f t="shared" si="287"/>
        <v>95705.120411568321</v>
      </c>
      <c r="H11598" s="389" t="s">
        <v>9567</v>
      </c>
    </row>
    <row r="11599" spans="1:8" x14ac:dyDescent="0.3">
      <c r="A11599" s="45">
        <v>45701</v>
      </c>
      <c r="B11599" s="731" t="s">
        <v>14524</v>
      </c>
      <c r="C11599" s="5" t="s">
        <v>5793</v>
      </c>
      <c r="D11599" s="5" t="s">
        <v>14563</v>
      </c>
      <c r="E11599" s="43">
        <v>1000</v>
      </c>
      <c r="F11599" s="43"/>
      <c r="G11599" s="48">
        <f t="shared" si="287"/>
        <v>94705.120411568321</v>
      </c>
      <c r="H11599" s="389" t="s">
        <v>9567</v>
      </c>
    </row>
    <row r="11600" spans="1:8" x14ac:dyDescent="0.3">
      <c r="A11600" s="45">
        <v>45701</v>
      </c>
      <c r="B11600" s="731" t="s">
        <v>14524</v>
      </c>
      <c r="C11600" s="5" t="s">
        <v>11174</v>
      </c>
      <c r="D11600" s="5" t="s">
        <v>15516</v>
      </c>
      <c r="E11600" s="43">
        <v>4600</v>
      </c>
      <c r="F11600" s="43"/>
      <c r="G11600" s="48">
        <f t="shared" si="287"/>
        <v>90105.120411568321</v>
      </c>
      <c r="H11600" s="389" t="s">
        <v>9567</v>
      </c>
    </row>
    <row r="11601" spans="1:8" x14ac:dyDescent="0.3">
      <c r="A11601" s="45">
        <v>45701</v>
      </c>
      <c r="B11601" s="731" t="s">
        <v>25</v>
      </c>
      <c r="C11601" s="5" t="s">
        <v>26</v>
      </c>
      <c r="D11601" s="5" t="s">
        <v>11434</v>
      </c>
      <c r="E11601" s="43">
        <v>5000</v>
      </c>
      <c r="F11601" s="43"/>
      <c r="G11601" s="48">
        <f t="shared" si="287"/>
        <v>85105.120411568321</v>
      </c>
      <c r="H11601" s="389" t="s">
        <v>9567</v>
      </c>
    </row>
    <row r="11602" spans="1:8" x14ac:dyDescent="0.3">
      <c r="A11602" s="45">
        <v>45701</v>
      </c>
      <c r="B11602" s="731" t="s">
        <v>25</v>
      </c>
      <c r="C11602" s="5" t="s">
        <v>7214</v>
      </c>
      <c r="D11602" s="5" t="s">
        <v>15518</v>
      </c>
      <c r="E11602" s="43">
        <v>7500</v>
      </c>
      <c r="F11602" s="43"/>
      <c r="G11602" s="48">
        <f t="shared" si="287"/>
        <v>77605.120411568321</v>
      </c>
      <c r="H11602" s="389" t="s">
        <v>9567</v>
      </c>
    </row>
    <row r="11603" spans="1:8" x14ac:dyDescent="0.3">
      <c r="A11603" s="45">
        <v>45701</v>
      </c>
      <c r="B11603" s="731" t="s">
        <v>10319</v>
      </c>
      <c r="C11603" s="5" t="s">
        <v>30</v>
      </c>
      <c r="D11603" s="5" t="s">
        <v>15519</v>
      </c>
      <c r="E11603" s="43">
        <v>3400</v>
      </c>
      <c r="F11603" s="43"/>
      <c r="G11603" s="48">
        <f t="shared" si="287"/>
        <v>74205.120411568321</v>
      </c>
      <c r="H11603" s="389" t="s">
        <v>9567</v>
      </c>
    </row>
    <row r="11604" spans="1:8" x14ac:dyDescent="0.3">
      <c r="A11604" s="45">
        <v>45701</v>
      </c>
      <c r="B11604" s="731" t="s">
        <v>14524</v>
      </c>
      <c r="C11604" s="5" t="s">
        <v>11174</v>
      </c>
      <c r="D11604" s="5" t="s">
        <v>15520</v>
      </c>
      <c r="E11604" s="43">
        <v>8400</v>
      </c>
      <c r="F11604" s="43"/>
      <c r="G11604" s="48">
        <f t="shared" si="287"/>
        <v>65805.120411568321</v>
      </c>
      <c r="H11604" s="389" t="s">
        <v>9567</v>
      </c>
    </row>
    <row r="11605" spans="1:8" x14ac:dyDescent="0.3">
      <c r="A11605" s="45">
        <v>45701</v>
      </c>
      <c r="B11605" s="731" t="s">
        <v>15521</v>
      </c>
      <c r="C11605" s="5" t="s">
        <v>5793</v>
      </c>
      <c r="D11605" s="5" t="s">
        <v>40</v>
      </c>
      <c r="E11605" s="43">
        <v>800</v>
      </c>
      <c r="F11605" s="43"/>
      <c r="G11605" s="48">
        <f t="shared" si="287"/>
        <v>65005.120411568321</v>
      </c>
      <c r="H11605" s="389" t="s">
        <v>9567</v>
      </c>
    </row>
    <row r="11606" spans="1:8" x14ac:dyDescent="0.3">
      <c r="A11606" s="45">
        <v>45701</v>
      </c>
      <c r="B11606" s="731" t="s">
        <v>12133</v>
      </c>
      <c r="C11606" s="5" t="s">
        <v>5793</v>
      </c>
      <c r="D11606" s="5" t="s">
        <v>8924</v>
      </c>
      <c r="E11606" s="43">
        <v>750</v>
      </c>
      <c r="F11606" s="43"/>
      <c r="G11606" s="48">
        <f t="shared" si="287"/>
        <v>64255.120411568321</v>
      </c>
      <c r="H11606" s="389" t="s">
        <v>9567</v>
      </c>
    </row>
    <row r="11607" spans="1:8" x14ac:dyDescent="0.3">
      <c r="A11607" s="45">
        <v>45701</v>
      </c>
      <c r="B11607" s="731" t="s">
        <v>12133</v>
      </c>
      <c r="C11607" s="5" t="s">
        <v>5793</v>
      </c>
      <c r="D11607" s="5" t="s">
        <v>40</v>
      </c>
      <c r="E11607" s="43">
        <v>700</v>
      </c>
      <c r="F11607" s="43"/>
      <c r="G11607" s="48">
        <f t="shared" si="287"/>
        <v>63555.120411568321</v>
      </c>
      <c r="H11607" s="389" t="s">
        <v>9567</v>
      </c>
    </row>
    <row r="11608" spans="1:8" x14ac:dyDescent="0.3">
      <c r="A11608" s="45">
        <v>45701</v>
      </c>
      <c r="B11608" s="731" t="s">
        <v>25</v>
      </c>
      <c r="C11608" s="5" t="s">
        <v>30</v>
      </c>
      <c r="D11608" s="5" t="s">
        <v>15522</v>
      </c>
      <c r="E11608" s="43">
        <v>500</v>
      </c>
      <c r="F11608" s="43"/>
      <c r="G11608" s="48">
        <f t="shared" si="287"/>
        <v>63055.120411568321</v>
      </c>
      <c r="H11608" s="389" t="s">
        <v>9567</v>
      </c>
    </row>
    <row r="11609" spans="1:8" x14ac:dyDescent="0.3">
      <c r="A11609" s="45">
        <v>45701</v>
      </c>
      <c r="B11609" s="731" t="s">
        <v>14701</v>
      </c>
      <c r="C11609" s="5" t="s">
        <v>5793</v>
      </c>
      <c r="D11609" s="5" t="s">
        <v>40</v>
      </c>
      <c r="E11609" s="43">
        <v>1000</v>
      </c>
      <c r="F11609" s="43"/>
      <c r="G11609" s="48">
        <f t="shared" si="287"/>
        <v>62055.120411568321</v>
      </c>
      <c r="H11609" s="389" t="s">
        <v>9567</v>
      </c>
    </row>
    <row r="11610" spans="1:8" x14ac:dyDescent="0.3">
      <c r="A11610" s="45">
        <v>45701</v>
      </c>
      <c r="B11610" s="731"/>
      <c r="C11610" s="5" t="s">
        <v>14</v>
      </c>
      <c r="D11610" s="5" t="s">
        <v>15523</v>
      </c>
      <c r="E11610" s="43">
        <v>23925</v>
      </c>
      <c r="F11610" s="43"/>
      <c r="G11610" s="48">
        <f t="shared" si="287"/>
        <v>38130.120411568321</v>
      </c>
      <c r="H11610" s="389" t="s">
        <v>9567</v>
      </c>
    </row>
    <row r="11611" spans="1:8" x14ac:dyDescent="0.3">
      <c r="A11611" s="45">
        <v>45701</v>
      </c>
      <c r="B11611" s="731" t="s">
        <v>15421</v>
      </c>
      <c r="C11611" s="5" t="s">
        <v>26</v>
      </c>
      <c r="D11611" s="5" t="s">
        <v>15526</v>
      </c>
      <c r="E11611" s="43">
        <v>2100</v>
      </c>
      <c r="F11611" s="43"/>
      <c r="G11611" s="48">
        <f t="shared" si="287"/>
        <v>36030.120411568321</v>
      </c>
      <c r="H11611" s="389" t="s">
        <v>9567</v>
      </c>
    </row>
    <row r="11612" spans="1:8" x14ac:dyDescent="0.3">
      <c r="A11612" s="45">
        <v>45701</v>
      </c>
      <c r="B11612" s="732" t="s">
        <v>15421</v>
      </c>
      <c r="C11612" s="5" t="s">
        <v>26</v>
      </c>
      <c r="D11612" s="5" t="s">
        <v>15528</v>
      </c>
      <c r="E11612" s="43">
        <v>720</v>
      </c>
      <c r="F11612" s="43"/>
      <c r="G11612" s="48">
        <f t="shared" si="287"/>
        <v>35310.120411568321</v>
      </c>
      <c r="H11612" s="389" t="s">
        <v>9567</v>
      </c>
    </row>
    <row r="11613" spans="1:8" x14ac:dyDescent="0.3">
      <c r="A11613" s="45">
        <v>45702</v>
      </c>
      <c r="B11613" s="731" t="s">
        <v>15384</v>
      </c>
      <c r="C11613" s="5" t="s">
        <v>11174</v>
      </c>
      <c r="D11613" s="5" t="s">
        <v>15524</v>
      </c>
      <c r="E11613" s="43">
        <v>8965</v>
      </c>
      <c r="F11613" s="43"/>
      <c r="G11613" s="48">
        <f t="shared" si="287"/>
        <v>26345.120411568321</v>
      </c>
      <c r="H11613" s="389" t="s">
        <v>9567</v>
      </c>
    </row>
    <row r="11614" spans="1:8" x14ac:dyDescent="0.3">
      <c r="A11614" s="45">
        <v>45702</v>
      </c>
      <c r="B11614" s="732" t="s">
        <v>15421</v>
      </c>
      <c r="C11614" s="5" t="s">
        <v>11174</v>
      </c>
      <c r="D11614" s="5" t="s">
        <v>15527</v>
      </c>
      <c r="E11614" s="43">
        <v>12000</v>
      </c>
      <c r="F11614" s="43"/>
      <c r="G11614" s="48">
        <f t="shared" si="287"/>
        <v>14345.120411568321</v>
      </c>
      <c r="H11614" s="389" t="s">
        <v>9567</v>
      </c>
    </row>
    <row r="11615" spans="1:8" x14ac:dyDescent="0.3">
      <c r="A11615" s="45">
        <v>45702</v>
      </c>
      <c r="B11615" s="731" t="s">
        <v>14524</v>
      </c>
      <c r="C11615" s="5" t="s">
        <v>11174</v>
      </c>
      <c r="D11615" s="5" t="s">
        <v>15516</v>
      </c>
      <c r="E11615" s="43">
        <v>4600</v>
      </c>
      <c r="F11615" s="43"/>
      <c r="G11615" s="48">
        <f t="shared" si="287"/>
        <v>9745.1204115683213</v>
      </c>
      <c r="H11615" s="389" t="s">
        <v>9567</v>
      </c>
    </row>
    <row r="11616" spans="1:8" x14ac:dyDescent="0.3">
      <c r="A11616" s="45">
        <v>45702</v>
      </c>
      <c r="B11616" s="734" t="s">
        <v>15421</v>
      </c>
      <c r="C11616" s="5" t="s">
        <v>11174</v>
      </c>
      <c r="D11616" s="5" t="s">
        <v>15541</v>
      </c>
      <c r="E11616" s="43">
        <v>1320</v>
      </c>
      <c r="F11616" s="43"/>
      <c r="G11616" s="48">
        <f t="shared" si="287"/>
        <v>8425.1204115683213</v>
      </c>
      <c r="H11616" s="389" t="s">
        <v>9567</v>
      </c>
    </row>
    <row r="11617" spans="1:10" x14ac:dyDescent="0.3">
      <c r="A11617" s="45">
        <v>45702</v>
      </c>
      <c r="B11617" s="732" t="s">
        <v>25</v>
      </c>
      <c r="C11617" s="5" t="s">
        <v>26</v>
      </c>
      <c r="D11617" s="5" t="s">
        <v>11434</v>
      </c>
      <c r="E11617" s="43">
        <v>4000</v>
      </c>
      <c r="F11617" s="43"/>
      <c r="G11617" s="48">
        <f t="shared" si="287"/>
        <v>4425.1204115683213</v>
      </c>
      <c r="H11617" s="389" t="s">
        <v>9567</v>
      </c>
    </row>
    <row r="11618" spans="1:10" x14ac:dyDescent="0.3">
      <c r="A11618" s="45">
        <v>45702</v>
      </c>
      <c r="B11618" s="731" t="s">
        <v>14701</v>
      </c>
      <c r="C11618" s="5" t="s">
        <v>26</v>
      </c>
      <c r="D11618" s="5" t="s">
        <v>11536</v>
      </c>
      <c r="E11618" s="43">
        <v>1380</v>
      </c>
      <c r="F11618" s="43"/>
      <c r="G11618" s="48">
        <f t="shared" si="287"/>
        <v>3045.1204115683213</v>
      </c>
      <c r="H11618" s="389" t="s">
        <v>9567</v>
      </c>
    </row>
    <row r="11619" spans="1:10" x14ac:dyDescent="0.3">
      <c r="A11619" s="45">
        <v>45703</v>
      </c>
      <c r="B11619" s="565"/>
      <c r="C11619" s="480"/>
      <c r="D11619" s="491" t="s">
        <v>15514</v>
      </c>
      <c r="E11619" s="480"/>
      <c r="F11619" s="43">
        <v>150000</v>
      </c>
      <c r="G11619" s="48">
        <f t="shared" si="287"/>
        <v>153045.12041156832</v>
      </c>
      <c r="H11619" s="389" t="s">
        <v>9567</v>
      </c>
    </row>
    <row r="11620" spans="1:10" x14ac:dyDescent="0.3">
      <c r="A11620" s="45">
        <v>45703</v>
      </c>
      <c r="B11620" s="732" t="s">
        <v>15384</v>
      </c>
      <c r="C11620" s="5" t="s">
        <v>11174</v>
      </c>
      <c r="D11620" s="5" t="s">
        <v>15532</v>
      </c>
      <c r="E11620" s="43">
        <v>15600</v>
      </c>
      <c r="F11620" s="43"/>
      <c r="G11620" s="48">
        <f t="shared" si="287"/>
        <v>137445.12041156832</v>
      </c>
      <c r="H11620" s="389" t="s">
        <v>9567</v>
      </c>
    </row>
    <row r="11621" spans="1:10" x14ac:dyDescent="0.3">
      <c r="A11621" s="45">
        <v>45703</v>
      </c>
      <c r="B11621" s="733" t="s">
        <v>14701</v>
      </c>
      <c r="C11621" s="5" t="s">
        <v>18</v>
      </c>
      <c r="D11621" s="5" t="s">
        <v>15533</v>
      </c>
      <c r="E11621" s="43">
        <v>15000</v>
      </c>
      <c r="F11621" s="43"/>
      <c r="G11621" s="48">
        <f t="shared" si="287"/>
        <v>122445.12041156832</v>
      </c>
      <c r="H11621" s="389" t="s">
        <v>9567</v>
      </c>
    </row>
    <row r="11622" spans="1:10" x14ac:dyDescent="0.3">
      <c r="A11622" s="45">
        <v>45703</v>
      </c>
      <c r="B11622" s="733" t="s">
        <v>25</v>
      </c>
      <c r="C11622" s="5" t="s">
        <v>26</v>
      </c>
      <c r="D11622" s="5" t="s">
        <v>11434</v>
      </c>
      <c r="E11622" s="43">
        <v>4000</v>
      </c>
      <c r="F11622" s="43"/>
      <c r="G11622" s="48">
        <f t="shared" si="287"/>
        <v>118445.12041156832</v>
      </c>
      <c r="H11622" s="389" t="s">
        <v>9567</v>
      </c>
    </row>
    <row r="11623" spans="1:10" x14ac:dyDescent="0.3">
      <c r="A11623" s="45">
        <v>45703</v>
      </c>
      <c r="B11623" s="733" t="s">
        <v>12230</v>
      </c>
      <c r="C11623" s="5" t="s">
        <v>14848</v>
      </c>
      <c r="D11623" s="5" t="s">
        <v>15534</v>
      </c>
      <c r="E11623" s="43">
        <v>2900</v>
      </c>
      <c r="F11623" s="43"/>
      <c r="G11623" s="48">
        <f t="shared" si="287"/>
        <v>115545.12041156832</v>
      </c>
      <c r="H11623" s="389" t="s">
        <v>9567</v>
      </c>
    </row>
    <row r="11624" spans="1:10" x14ac:dyDescent="0.3">
      <c r="A11624" s="45">
        <v>45703</v>
      </c>
      <c r="B11624" s="733" t="s">
        <v>12080</v>
      </c>
      <c r="C11624" s="5" t="s">
        <v>57</v>
      </c>
      <c r="D11624" s="5" t="s">
        <v>294</v>
      </c>
      <c r="E11624" s="43">
        <v>10000</v>
      </c>
      <c r="F11624" s="43"/>
      <c r="G11624" s="48">
        <f t="shared" si="287"/>
        <v>105545.12041156832</v>
      </c>
      <c r="H11624" s="389" t="s">
        <v>9567</v>
      </c>
    </row>
    <row r="11625" spans="1:10" x14ac:dyDescent="0.3">
      <c r="A11625" s="45">
        <v>45703</v>
      </c>
      <c r="B11625" s="733" t="s">
        <v>14524</v>
      </c>
      <c r="C11625" s="5" t="s">
        <v>11174</v>
      </c>
      <c r="D11625" s="5" t="s">
        <v>15535</v>
      </c>
      <c r="E11625" s="43">
        <v>10000</v>
      </c>
      <c r="F11625" s="43"/>
      <c r="G11625" s="48">
        <f t="shared" si="287"/>
        <v>95545.120411568321</v>
      </c>
      <c r="H11625" s="389" t="s">
        <v>9567</v>
      </c>
    </row>
    <row r="11626" spans="1:10" x14ac:dyDescent="0.3">
      <c r="A11626" s="45">
        <v>45703</v>
      </c>
      <c r="B11626" s="733" t="s">
        <v>12080</v>
      </c>
      <c r="C11626" s="5" t="s">
        <v>54</v>
      </c>
      <c r="D11626" s="5" t="s">
        <v>15536</v>
      </c>
      <c r="E11626" s="43">
        <v>3000</v>
      </c>
      <c r="F11626" s="43"/>
      <c r="G11626" s="48">
        <f t="shared" si="287"/>
        <v>92545.120411568321</v>
      </c>
      <c r="H11626" s="389" t="s">
        <v>9567</v>
      </c>
    </row>
    <row r="11627" spans="1:10" x14ac:dyDescent="0.3">
      <c r="A11627" s="45">
        <v>45703</v>
      </c>
      <c r="B11627" s="733" t="s">
        <v>13902</v>
      </c>
      <c r="C11627" s="5" t="s">
        <v>11174</v>
      </c>
      <c r="D11627" s="5" t="s">
        <v>15537</v>
      </c>
      <c r="E11627" s="43">
        <v>6000</v>
      </c>
      <c r="F11627" s="43"/>
      <c r="G11627" s="48">
        <f t="shared" si="287"/>
        <v>86545.120411568321</v>
      </c>
      <c r="H11627" s="389" t="s">
        <v>9567</v>
      </c>
      <c r="I11627" s="583" t="s">
        <v>12514</v>
      </c>
      <c r="J11627" s="187">
        <v>2789328.2258064514</v>
      </c>
    </row>
    <row r="11628" spans="1:10" x14ac:dyDescent="0.3">
      <c r="A11628" s="45">
        <v>45703</v>
      </c>
      <c r="B11628" s="733" t="s">
        <v>13902</v>
      </c>
      <c r="C11628" s="5" t="s">
        <v>84</v>
      </c>
      <c r="D11628" s="5" t="s">
        <v>15540</v>
      </c>
      <c r="E11628" s="43">
        <v>1000</v>
      </c>
      <c r="F11628" s="43"/>
      <c r="G11628" s="48">
        <f t="shared" si="287"/>
        <v>85545.120411568321</v>
      </c>
      <c r="H11628" s="389" t="s">
        <v>9567</v>
      </c>
      <c r="I11628" s="583" t="s">
        <v>55</v>
      </c>
      <c r="J11628" s="187">
        <f ca="1">SUMIF(C11429:E127408,"salary",E11429:E138419)</f>
        <v>10148625.265168972</v>
      </c>
    </row>
    <row r="11629" spans="1:10" x14ac:dyDescent="0.3">
      <c r="A11629" s="45">
        <v>45705</v>
      </c>
      <c r="B11629" s="733" t="s">
        <v>10319</v>
      </c>
      <c r="C11629" s="5" t="s">
        <v>26</v>
      </c>
      <c r="D11629" s="5" t="s">
        <v>15542</v>
      </c>
      <c r="E11629" s="43">
        <v>9000</v>
      </c>
      <c r="F11629" s="43"/>
      <c r="G11629" s="48">
        <f t="shared" si="287"/>
        <v>76545.120411568321</v>
      </c>
      <c r="H11629" s="389" t="s">
        <v>9567</v>
      </c>
      <c r="I11629" s="583" t="s">
        <v>12233</v>
      </c>
      <c r="J11629" s="187">
        <f ca="1">J11627-J11628</f>
        <v>-7359297.0393625209</v>
      </c>
    </row>
    <row r="11630" spans="1:10" x14ac:dyDescent="0.3">
      <c r="A11630" s="45">
        <v>45705</v>
      </c>
      <c r="B11630" s="734" t="s">
        <v>12230</v>
      </c>
      <c r="C11630" s="5" t="s">
        <v>26</v>
      </c>
      <c r="D11630" s="5" t="s">
        <v>15544</v>
      </c>
      <c r="E11630" s="43">
        <v>12860</v>
      </c>
      <c r="F11630" s="43"/>
      <c r="G11630" s="48">
        <f t="shared" si="287"/>
        <v>63685.120411568321</v>
      </c>
      <c r="H11630" s="389" t="s">
        <v>9567</v>
      </c>
      <c r="I11630" s="589"/>
      <c r="J11630" s="590"/>
    </row>
    <row r="11631" spans="1:10" x14ac:dyDescent="0.3">
      <c r="A11631" s="45">
        <v>45705</v>
      </c>
      <c r="B11631" s="734" t="s">
        <v>12055</v>
      </c>
      <c r="C11631" s="5" t="s">
        <v>11174</v>
      </c>
      <c r="D11631" s="5" t="s">
        <v>15545</v>
      </c>
      <c r="E11631" s="43">
        <v>10000</v>
      </c>
      <c r="F11631" s="43"/>
      <c r="G11631" s="48">
        <f t="shared" si="287"/>
        <v>53685.120411568321</v>
      </c>
      <c r="H11631" s="389" t="s">
        <v>9567</v>
      </c>
      <c r="I11631" s="589"/>
      <c r="J11631" s="590"/>
    </row>
    <row r="11632" spans="1:10" x14ac:dyDescent="0.3">
      <c r="A11632" s="45">
        <v>45705</v>
      </c>
      <c r="B11632" s="734" t="s">
        <v>14590</v>
      </c>
      <c r="C11632" s="5" t="s">
        <v>5793</v>
      </c>
      <c r="D11632" s="5" t="s">
        <v>15547</v>
      </c>
      <c r="E11632" s="43">
        <v>3000</v>
      </c>
      <c r="F11632" s="43"/>
      <c r="G11632" s="48">
        <f t="shared" si="287"/>
        <v>50685.120411568321</v>
      </c>
      <c r="H11632" s="389" t="s">
        <v>9567</v>
      </c>
      <c r="I11632" s="589"/>
      <c r="J11632" s="590"/>
    </row>
    <row r="11633" spans="1:14" s="387" customFormat="1" ht="37.5" x14ac:dyDescent="0.3">
      <c r="A11633" s="45">
        <v>45705</v>
      </c>
      <c r="B11633" s="320" t="s">
        <v>14031</v>
      </c>
      <c r="C11633" s="44" t="s">
        <v>11174</v>
      </c>
      <c r="D11633" s="124" t="s">
        <v>15546</v>
      </c>
      <c r="E11633" s="28">
        <v>15600</v>
      </c>
      <c r="F11633" s="28"/>
      <c r="G11633" s="48">
        <f t="shared" si="287"/>
        <v>35085.120411568321</v>
      </c>
      <c r="H11633" s="389" t="s">
        <v>9567</v>
      </c>
      <c r="I11633" s="736"/>
      <c r="J11633" s="737"/>
      <c r="K11633" s="155"/>
      <c r="N11633" s="155"/>
    </row>
    <row r="11634" spans="1:14" x14ac:dyDescent="0.3">
      <c r="A11634" s="45">
        <v>45705</v>
      </c>
      <c r="B11634" s="734" t="s">
        <v>15162</v>
      </c>
      <c r="C11634" s="5" t="s">
        <v>5793</v>
      </c>
      <c r="D11634" s="5" t="s">
        <v>40</v>
      </c>
      <c r="E11634" s="43">
        <v>2200</v>
      </c>
      <c r="F11634" s="43"/>
      <c r="G11634" s="48">
        <f t="shared" si="287"/>
        <v>32885.120411568321</v>
      </c>
      <c r="H11634" s="389" t="s">
        <v>9567</v>
      </c>
      <c r="I11634" s="589"/>
      <c r="J11634" s="590"/>
    </row>
    <row r="11635" spans="1:14" x14ac:dyDescent="0.3">
      <c r="A11635" s="45">
        <v>45705</v>
      </c>
      <c r="B11635" s="734" t="s">
        <v>12230</v>
      </c>
      <c r="C11635" s="5" t="s">
        <v>1074</v>
      </c>
      <c r="D11635" s="5" t="s">
        <v>6280</v>
      </c>
      <c r="E11635" s="43">
        <v>3150</v>
      </c>
      <c r="F11635" s="43"/>
      <c r="G11635" s="48">
        <f t="shared" si="287"/>
        <v>29735.120411568321</v>
      </c>
      <c r="H11635" s="389" t="s">
        <v>9567</v>
      </c>
      <c r="I11635" s="589"/>
      <c r="J11635" s="590"/>
    </row>
    <row r="11636" spans="1:14" x14ac:dyDescent="0.3">
      <c r="A11636" s="45">
        <v>45705</v>
      </c>
      <c r="B11636" s="734" t="s">
        <v>25</v>
      </c>
      <c r="C11636" s="5" t="s">
        <v>1074</v>
      </c>
      <c r="D11636" s="5" t="s">
        <v>6280</v>
      </c>
      <c r="E11636" s="43">
        <v>11595</v>
      </c>
      <c r="F11636" s="43"/>
      <c r="G11636" s="48">
        <f t="shared" si="287"/>
        <v>18140.120411568321</v>
      </c>
      <c r="H11636" s="389" t="s">
        <v>9567</v>
      </c>
      <c r="I11636" s="589"/>
      <c r="J11636" s="590"/>
    </row>
    <row r="11637" spans="1:14" x14ac:dyDescent="0.3">
      <c r="A11637" s="45">
        <v>45705</v>
      </c>
      <c r="B11637" s="734" t="s">
        <v>25</v>
      </c>
      <c r="C11637" s="5" t="s">
        <v>26</v>
      </c>
      <c r="D11637" s="5" t="s">
        <v>11434</v>
      </c>
      <c r="E11637" s="43">
        <v>3000</v>
      </c>
      <c r="F11637" s="43"/>
      <c r="G11637" s="48">
        <f t="shared" si="287"/>
        <v>15140.120411568321</v>
      </c>
      <c r="H11637" s="389" t="s">
        <v>9567</v>
      </c>
      <c r="I11637" s="589"/>
      <c r="J11637" s="590"/>
    </row>
    <row r="11638" spans="1:14" x14ac:dyDescent="0.3">
      <c r="A11638" s="45">
        <v>45705</v>
      </c>
      <c r="B11638" s="565"/>
      <c r="C11638" s="480"/>
      <c r="D11638" s="491" t="s">
        <v>15514</v>
      </c>
      <c r="E11638" s="480"/>
      <c r="F11638" s="43">
        <v>285000</v>
      </c>
      <c r="G11638" s="48">
        <f t="shared" si="287"/>
        <v>300140.12041156832</v>
      </c>
      <c r="H11638" s="389" t="s">
        <v>9567</v>
      </c>
    </row>
    <row r="11639" spans="1:14" x14ac:dyDescent="0.3">
      <c r="A11639" s="45">
        <v>45705</v>
      </c>
      <c r="B11639" s="734" t="s">
        <v>14031</v>
      </c>
      <c r="C11639" s="5" t="s">
        <v>5793</v>
      </c>
      <c r="D11639" s="5" t="s">
        <v>15549</v>
      </c>
      <c r="E11639" s="43">
        <v>560</v>
      </c>
      <c r="F11639" s="43"/>
      <c r="G11639" s="48">
        <f t="shared" si="287"/>
        <v>299580.12041156832</v>
      </c>
      <c r="H11639" s="389" t="s">
        <v>9567</v>
      </c>
      <c r="I11639" s="589"/>
      <c r="J11639" s="590"/>
    </row>
    <row r="11640" spans="1:14" x14ac:dyDescent="0.3">
      <c r="A11640" s="45">
        <v>45705</v>
      </c>
      <c r="B11640" s="734" t="s">
        <v>25</v>
      </c>
      <c r="C11640" s="5" t="s">
        <v>26</v>
      </c>
      <c r="D11640" s="5" t="s">
        <v>15548</v>
      </c>
      <c r="E11640" s="43">
        <v>4500</v>
      </c>
      <c r="F11640" s="43"/>
      <c r="G11640" s="48">
        <f t="shared" si="287"/>
        <v>295080.12041156832</v>
      </c>
      <c r="H11640" s="389" t="s">
        <v>9567</v>
      </c>
      <c r="I11640" s="589"/>
      <c r="J11640" s="590"/>
    </row>
    <row r="11641" spans="1:14" x14ac:dyDescent="0.3">
      <c r="A11641" s="45">
        <v>45705</v>
      </c>
      <c r="B11641" s="734" t="s">
        <v>13902</v>
      </c>
      <c r="C11641" s="5" t="s">
        <v>11174</v>
      </c>
      <c r="D11641" s="5" t="s">
        <v>15550</v>
      </c>
      <c r="E11641" s="43">
        <v>14300</v>
      </c>
      <c r="F11641" s="43"/>
      <c r="G11641" s="48">
        <f t="shared" si="287"/>
        <v>280780.12041156832</v>
      </c>
      <c r="H11641" s="389" t="s">
        <v>9567</v>
      </c>
      <c r="I11641" s="589"/>
      <c r="J11641" s="590"/>
    </row>
    <row r="11642" spans="1:14" x14ac:dyDescent="0.3">
      <c r="A11642" s="45">
        <v>45705</v>
      </c>
      <c r="B11642" s="734"/>
      <c r="C11642" s="5" t="s">
        <v>14</v>
      </c>
      <c r="D11642" s="5" t="s">
        <v>15551</v>
      </c>
      <c r="E11642" s="43">
        <v>5000</v>
      </c>
      <c r="F11642" s="43"/>
      <c r="G11642" s="48">
        <f t="shared" si="287"/>
        <v>275780.12041156832</v>
      </c>
      <c r="H11642" s="389" t="s">
        <v>9567</v>
      </c>
      <c r="I11642" s="589"/>
      <c r="J11642" s="590"/>
    </row>
    <row r="11643" spans="1:14" x14ac:dyDescent="0.3">
      <c r="A11643" s="45">
        <v>45706</v>
      </c>
      <c r="B11643" s="734" t="s">
        <v>15421</v>
      </c>
      <c r="C11643" s="5" t="s">
        <v>11174</v>
      </c>
      <c r="D11643" s="5" t="s">
        <v>15552</v>
      </c>
      <c r="E11643" s="43">
        <v>25200</v>
      </c>
      <c r="F11643" s="43"/>
      <c r="G11643" s="48">
        <f t="shared" si="287"/>
        <v>250580.12041156832</v>
      </c>
      <c r="H11643" s="389" t="s">
        <v>9567</v>
      </c>
      <c r="I11643" s="589"/>
      <c r="J11643" s="590"/>
    </row>
    <row r="11644" spans="1:14" s="387" customFormat="1" ht="37.5" x14ac:dyDescent="0.25">
      <c r="A11644" s="45">
        <v>45706</v>
      </c>
      <c r="B11644" s="320" t="s">
        <v>14524</v>
      </c>
      <c r="C11644" s="44" t="s">
        <v>11174</v>
      </c>
      <c r="D11644" s="124" t="s">
        <v>15554</v>
      </c>
      <c r="E11644" s="28">
        <v>27850</v>
      </c>
      <c r="F11644" s="28"/>
      <c r="G11644" s="48">
        <f t="shared" si="287"/>
        <v>222730.12041156832</v>
      </c>
      <c r="H11644" s="535" t="s">
        <v>9567</v>
      </c>
      <c r="I11644" s="736"/>
      <c r="J11644" s="737"/>
      <c r="K11644" s="155"/>
      <c r="N11644" s="155"/>
    </row>
    <row r="11645" spans="1:14" x14ac:dyDescent="0.3">
      <c r="A11645" s="45">
        <v>45706</v>
      </c>
      <c r="B11645" s="738" t="s">
        <v>14701</v>
      </c>
      <c r="C11645" s="186" t="s">
        <v>54</v>
      </c>
      <c r="D11645" s="186" t="s">
        <v>15556</v>
      </c>
      <c r="E11645" s="187">
        <v>2000</v>
      </c>
      <c r="F11645" s="43"/>
      <c r="G11645" s="48">
        <f t="shared" si="287"/>
        <v>220730.12041156832</v>
      </c>
      <c r="H11645" s="389" t="s">
        <v>9567</v>
      </c>
      <c r="I11645" s="589">
        <v>1750000</v>
      </c>
      <c r="J11645" s="590"/>
    </row>
    <row r="11646" spans="1:14" x14ac:dyDescent="0.3">
      <c r="A11646" s="45">
        <v>45706</v>
      </c>
      <c r="B11646" s="735"/>
      <c r="C11646" s="5" t="s">
        <v>14</v>
      </c>
      <c r="D11646" s="5" t="s">
        <v>294</v>
      </c>
      <c r="E11646" s="43">
        <v>3000</v>
      </c>
      <c r="F11646" s="43"/>
      <c r="G11646" s="48">
        <f t="shared" si="287"/>
        <v>217730.12041156832</v>
      </c>
      <c r="H11646" s="389" t="s">
        <v>9567</v>
      </c>
      <c r="I11646" s="589">
        <f>I11645*8%</f>
        <v>140000</v>
      </c>
      <c r="J11646" s="590"/>
    </row>
    <row r="11647" spans="1:14" x14ac:dyDescent="0.3">
      <c r="A11647" s="45">
        <v>45706</v>
      </c>
      <c r="B11647" s="739" t="s">
        <v>25</v>
      </c>
      <c r="C11647" s="5" t="s">
        <v>26</v>
      </c>
      <c r="D11647" s="5" t="s">
        <v>11434</v>
      </c>
      <c r="E11647" s="43">
        <v>3000</v>
      </c>
      <c r="F11647" s="43"/>
      <c r="G11647" s="48">
        <f t="shared" si="287"/>
        <v>214730.12041156832</v>
      </c>
      <c r="H11647" s="389" t="s">
        <v>9567</v>
      </c>
      <c r="I11647" s="589">
        <f>I11645-I11646</f>
        <v>1610000</v>
      </c>
      <c r="J11647" s="590"/>
    </row>
    <row r="11648" spans="1:14" x14ac:dyDescent="0.3">
      <c r="A11648" s="45">
        <v>45706</v>
      </c>
      <c r="B11648" s="735" t="s">
        <v>14524</v>
      </c>
      <c r="C11648" s="5" t="s">
        <v>11174</v>
      </c>
      <c r="D11648" s="5" t="s">
        <v>15553</v>
      </c>
      <c r="E11648" s="43">
        <v>4600</v>
      </c>
      <c r="F11648" s="43"/>
      <c r="G11648" s="48">
        <f t="shared" si="287"/>
        <v>210130.12041156832</v>
      </c>
      <c r="H11648" s="389" t="s">
        <v>9567</v>
      </c>
      <c r="I11648" s="589"/>
      <c r="J11648" s="590"/>
    </row>
    <row r="11649" spans="1:14" x14ac:dyDescent="0.3">
      <c r="A11649" s="45">
        <v>45706</v>
      </c>
      <c r="B11649" s="735"/>
      <c r="C11649" s="5" t="s">
        <v>30</v>
      </c>
      <c r="D11649" s="5" t="s">
        <v>15555</v>
      </c>
      <c r="E11649" s="43">
        <v>3000</v>
      </c>
      <c r="F11649" s="43"/>
      <c r="G11649" s="48">
        <f t="shared" si="287"/>
        <v>207130.12041156832</v>
      </c>
      <c r="H11649" s="389" t="s">
        <v>9567</v>
      </c>
      <c r="I11649" s="589"/>
      <c r="J11649" s="590"/>
    </row>
    <row r="11650" spans="1:14" x14ac:dyDescent="0.3">
      <c r="A11650" s="45">
        <v>45706</v>
      </c>
      <c r="B11650" s="739" t="s">
        <v>13833</v>
      </c>
      <c r="C11650" s="5" t="s">
        <v>11174</v>
      </c>
      <c r="D11650" s="5" t="s">
        <v>14050</v>
      </c>
      <c r="E11650" s="43">
        <v>8400</v>
      </c>
      <c r="F11650" s="43"/>
      <c r="G11650" s="48">
        <f t="shared" si="287"/>
        <v>198730.12041156832</v>
      </c>
      <c r="H11650" s="389" t="s">
        <v>9567</v>
      </c>
      <c r="I11650" s="589"/>
      <c r="J11650" s="590"/>
    </row>
    <row r="11651" spans="1:14" x14ac:dyDescent="0.3">
      <c r="A11651" s="45">
        <v>45706</v>
      </c>
      <c r="B11651" s="739" t="s">
        <v>15421</v>
      </c>
      <c r="C11651" s="5" t="s">
        <v>26</v>
      </c>
      <c r="D11651" s="5" t="s">
        <v>15557</v>
      </c>
      <c r="E11651" s="43">
        <v>2000</v>
      </c>
      <c r="F11651" s="43"/>
      <c r="G11651" s="48">
        <f t="shared" si="287"/>
        <v>196730.12041156832</v>
      </c>
      <c r="H11651" s="389" t="s">
        <v>9567</v>
      </c>
      <c r="I11651" s="589"/>
      <c r="J11651" s="590"/>
    </row>
    <row r="11652" spans="1:14" x14ac:dyDescent="0.3">
      <c r="A11652" s="45">
        <v>45706</v>
      </c>
      <c r="B11652" s="739" t="s">
        <v>15558</v>
      </c>
      <c r="C11652" s="5" t="s">
        <v>5793</v>
      </c>
      <c r="D11652" s="5" t="s">
        <v>40</v>
      </c>
      <c r="E11652" s="43">
        <v>1800</v>
      </c>
      <c r="F11652" s="43"/>
      <c r="G11652" s="48">
        <f t="shared" si="287"/>
        <v>194930.12041156832</v>
      </c>
      <c r="H11652" s="389" t="s">
        <v>9567</v>
      </c>
      <c r="I11652" s="589"/>
      <c r="J11652" s="590"/>
    </row>
    <row r="11653" spans="1:14" x14ac:dyDescent="0.3">
      <c r="A11653" s="45">
        <v>45707</v>
      </c>
      <c r="B11653" s="739" t="s">
        <v>13833</v>
      </c>
      <c r="C11653" s="5" t="s">
        <v>11174</v>
      </c>
      <c r="D11653" s="5" t="s">
        <v>15180</v>
      </c>
      <c r="E11653" s="43">
        <v>16000</v>
      </c>
      <c r="F11653" s="43"/>
      <c r="G11653" s="48">
        <f t="shared" si="287"/>
        <v>178930.12041156832</v>
      </c>
      <c r="H11653" s="389" t="s">
        <v>9567</v>
      </c>
      <c r="I11653" s="589"/>
      <c r="J11653" s="590"/>
    </row>
    <row r="11654" spans="1:14" s="387" customFormat="1" ht="37.5" x14ac:dyDescent="0.3">
      <c r="A11654" s="45">
        <v>45707</v>
      </c>
      <c r="B11654" s="320" t="s">
        <v>13833</v>
      </c>
      <c r="C11654" s="44" t="s">
        <v>26</v>
      </c>
      <c r="D11654" s="124" t="s">
        <v>15559</v>
      </c>
      <c r="E11654" s="28">
        <v>15000</v>
      </c>
      <c r="F11654" s="28"/>
      <c r="G11654" s="48">
        <f t="shared" si="287"/>
        <v>163930.12041156832</v>
      </c>
      <c r="H11654" s="389" t="s">
        <v>9567</v>
      </c>
      <c r="I11654" s="736"/>
      <c r="J11654" s="737"/>
      <c r="K11654" s="155"/>
      <c r="N11654" s="155"/>
    </row>
    <row r="11655" spans="1:14" x14ac:dyDescent="0.3">
      <c r="A11655" s="45">
        <v>45707</v>
      </c>
      <c r="B11655" s="740" t="s">
        <v>10319</v>
      </c>
      <c r="C11655" s="5" t="s">
        <v>7737</v>
      </c>
      <c r="D11655" s="5" t="s">
        <v>15560</v>
      </c>
      <c r="E11655" s="43">
        <v>30000</v>
      </c>
      <c r="F11655" s="43"/>
      <c r="G11655" s="48">
        <f t="shared" si="287"/>
        <v>133930.12041156832</v>
      </c>
      <c r="H11655" s="389" t="s">
        <v>9567</v>
      </c>
      <c r="I11655" s="589"/>
      <c r="J11655" s="590"/>
    </row>
    <row r="11656" spans="1:14" x14ac:dyDescent="0.3">
      <c r="A11656" s="45">
        <v>45707</v>
      </c>
      <c r="B11656" s="739" t="s">
        <v>25</v>
      </c>
      <c r="C11656" s="5" t="s">
        <v>26</v>
      </c>
      <c r="D11656" s="5" t="s">
        <v>15561</v>
      </c>
      <c r="E11656" s="43">
        <v>400</v>
      </c>
      <c r="F11656" s="43"/>
      <c r="G11656" s="48">
        <f t="shared" si="287"/>
        <v>133530.12041156832</v>
      </c>
      <c r="H11656" s="389" t="s">
        <v>9567</v>
      </c>
      <c r="I11656" s="589"/>
      <c r="J11656" s="590"/>
    </row>
    <row r="11657" spans="1:14" x14ac:dyDescent="0.3">
      <c r="A11657" s="45">
        <v>45707</v>
      </c>
      <c r="B11657" s="740" t="s">
        <v>14524</v>
      </c>
      <c r="C11657" s="5" t="s">
        <v>84</v>
      </c>
      <c r="D11657" s="5" t="s">
        <v>15562</v>
      </c>
      <c r="E11657" s="43">
        <v>5000</v>
      </c>
      <c r="F11657" s="43"/>
      <c r="G11657" s="48">
        <f t="shared" si="287"/>
        <v>128530.12041156832</v>
      </c>
      <c r="H11657" s="389" t="s">
        <v>9567</v>
      </c>
      <c r="I11657" s="589"/>
      <c r="J11657" s="590"/>
    </row>
    <row r="11658" spans="1:14" s="387" customFormat="1" ht="56.25" x14ac:dyDescent="0.3">
      <c r="A11658" s="45">
        <v>45707</v>
      </c>
      <c r="B11658" s="320" t="s">
        <v>14701</v>
      </c>
      <c r="C11658" s="44" t="s">
        <v>84</v>
      </c>
      <c r="D11658" s="124" t="s">
        <v>15563</v>
      </c>
      <c r="E11658" s="28">
        <v>48000</v>
      </c>
      <c r="F11658" s="28"/>
      <c r="G11658" s="48">
        <f t="shared" si="287"/>
        <v>80530.120411568321</v>
      </c>
      <c r="H11658" s="389" t="s">
        <v>9567</v>
      </c>
      <c r="I11658" s="736"/>
      <c r="J11658" s="737"/>
      <c r="K11658" s="155"/>
      <c r="N11658" s="155"/>
    </row>
    <row r="11659" spans="1:14" x14ac:dyDescent="0.3">
      <c r="A11659" s="45">
        <v>45708</v>
      </c>
      <c r="B11659" s="740" t="s">
        <v>25</v>
      </c>
      <c r="C11659" s="5" t="s">
        <v>26</v>
      </c>
      <c r="D11659" s="5" t="s">
        <v>15565</v>
      </c>
      <c r="E11659" s="43">
        <v>5000</v>
      </c>
      <c r="F11659" s="43"/>
      <c r="G11659" s="48">
        <f t="shared" si="287"/>
        <v>75530.120411568321</v>
      </c>
      <c r="H11659" s="389" t="s">
        <v>9567</v>
      </c>
      <c r="I11659" s="589"/>
      <c r="J11659" s="590"/>
    </row>
    <row r="11660" spans="1:14" x14ac:dyDescent="0.3">
      <c r="A11660" s="45">
        <v>45708</v>
      </c>
      <c r="B11660" s="742" t="s">
        <v>25</v>
      </c>
      <c r="C11660" s="5" t="s">
        <v>26</v>
      </c>
      <c r="D11660" s="5" t="s">
        <v>11434</v>
      </c>
      <c r="E11660" s="43">
        <v>3000</v>
      </c>
      <c r="F11660" s="43"/>
      <c r="G11660" s="48">
        <f t="shared" si="287"/>
        <v>72530.120411568321</v>
      </c>
      <c r="H11660" s="389" t="s">
        <v>9567</v>
      </c>
      <c r="I11660" s="589"/>
      <c r="J11660" s="590"/>
    </row>
    <row r="11661" spans="1:14" x14ac:dyDescent="0.3">
      <c r="A11661" s="45">
        <v>45708</v>
      </c>
      <c r="B11661" s="740" t="s">
        <v>13833</v>
      </c>
      <c r="C11661" s="5" t="s">
        <v>5793</v>
      </c>
      <c r="D11661" s="5" t="s">
        <v>40</v>
      </c>
      <c r="E11661" s="43">
        <v>2000</v>
      </c>
      <c r="F11661" s="43"/>
      <c r="G11661" s="48">
        <f t="shared" si="287"/>
        <v>70530.120411568321</v>
      </c>
      <c r="H11661" s="389" t="s">
        <v>9567</v>
      </c>
      <c r="I11661" s="589"/>
      <c r="J11661" s="590"/>
    </row>
    <row r="11662" spans="1:14" x14ac:dyDescent="0.3">
      <c r="A11662" s="45">
        <v>45708</v>
      </c>
      <c r="B11662" s="742" t="s">
        <v>12230</v>
      </c>
      <c r="C11662" s="5" t="s">
        <v>26</v>
      </c>
      <c r="D11662" s="5" t="s">
        <v>15566</v>
      </c>
      <c r="E11662" s="43">
        <v>16000</v>
      </c>
      <c r="F11662" s="43"/>
      <c r="G11662" s="48">
        <f t="shared" si="287"/>
        <v>54530.120411568321</v>
      </c>
      <c r="H11662" s="389" t="s">
        <v>9567</v>
      </c>
      <c r="I11662" s="589"/>
      <c r="J11662" s="590"/>
    </row>
    <row r="11663" spans="1:14" x14ac:dyDescent="0.3">
      <c r="A11663" s="45">
        <v>45708</v>
      </c>
      <c r="B11663" s="320" t="s">
        <v>14701</v>
      </c>
      <c r="C11663" s="5" t="s">
        <v>84</v>
      </c>
      <c r="D11663" s="5" t="s">
        <v>15567</v>
      </c>
      <c r="E11663" s="43">
        <v>5000</v>
      </c>
      <c r="F11663" s="43"/>
      <c r="G11663" s="48">
        <f t="shared" si="287"/>
        <v>49530.120411568321</v>
      </c>
      <c r="H11663" s="389" t="s">
        <v>9567</v>
      </c>
      <c r="I11663" s="589"/>
      <c r="J11663" s="590"/>
    </row>
    <row r="11664" spans="1:14" x14ac:dyDescent="0.3">
      <c r="A11664" s="45">
        <v>45708</v>
      </c>
      <c r="B11664" s="742" t="s">
        <v>15558</v>
      </c>
      <c r="C11664" s="5" t="s">
        <v>5793</v>
      </c>
      <c r="D11664" s="5" t="s">
        <v>40</v>
      </c>
      <c r="E11664" s="43">
        <v>250</v>
      </c>
      <c r="F11664" s="43"/>
      <c r="G11664" s="48">
        <f t="shared" si="287"/>
        <v>49280.120411568321</v>
      </c>
      <c r="H11664" s="389" t="s">
        <v>9567</v>
      </c>
      <c r="I11664" s="589"/>
      <c r="J11664" s="590"/>
    </row>
    <row r="11665" spans="1:14" x14ac:dyDescent="0.3">
      <c r="A11665" s="45">
        <v>45708</v>
      </c>
      <c r="B11665" s="742" t="s">
        <v>13833</v>
      </c>
      <c r="C11665" s="5" t="s">
        <v>11174</v>
      </c>
      <c r="D11665" s="5" t="s">
        <v>15568</v>
      </c>
      <c r="E11665" s="43">
        <v>9000</v>
      </c>
      <c r="F11665" s="43"/>
      <c r="G11665" s="48">
        <f t="shared" si="287"/>
        <v>40280.120411568321</v>
      </c>
      <c r="H11665" s="389" t="s">
        <v>9567</v>
      </c>
      <c r="I11665" s="589"/>
      <c r="J11665" s="590"/>
    </row>
    <row r="11666" spans="1:14" x14ac:dyDescent="0.3">
      <c r="A11666" s="45">
        <v>45708</v>
      </c>
      <c r="B11666" s="742" t="s">
        <v>15558</v>
      </c>
      <c r="C11666" s="5" t="s">
        <v>26</v>
      </c>
      <c r="D11666" s="5" t="s">
        <v>15569</v>
      </c>
      <c r="E11666" s="43">
        <v>700</v>
      </c>
      <c r="F11666" s="43"/>
      <c r="G11666" s="48">
        <f t="shared" si="287"/>
        <v>39580.120411568321</v>
      </c>
      <c r="H11666" s="389" t="s">
        <v>9567</v>
      </c>
      <c r="I11666" s="589"/>
      <c r="J11666" s="590"/>
    </row>
    <row r="11667" spans="1:14" x14ac:dyDescent="0.3">
      <c r="A11667" s="45">
        <v>45708</v>
      </c>
      <c r="B11667" s="742" t="s">
        <v>13902</v>
      </c>
      <c r="C11667" s="5" t="s">
        <v>30</v>
      </c>
      <c r="D11667" s="5" t="s">
        <v>15570</v>
      </c>
      <c r="E11667" s="43">
        <v>300</v>
      </c>
      <c r="F11667" s="43"/>
      <c r="G11667" s="48">
        <f t="shared" si="287"/>
        <v>39280.120411568321</v>
      </c>
      <c r="H11667" s="389" t="s">
        <v>9567</v>
      </c>
      <c r="I11667" s="589"/>
      <c r="J11667" s="590"/>
    </row>
    <row r="11668" spans="1:14" x14ac:dyDescent="0.3">
      <c r="A11668" s="45">
        <v>45708</v>
      </c>
      <c r="B11668" s="742" t="s">
        <v>25</v>
      </c>
      <c r="C11668" s="5" t="s">
        <v>84</v>
      </c>
      <c r="D11668" s="5" t="s">
        <v>15572</v>
      </c>
      <c r="E11668" s="43">
        <v>5000</v>
      </c>
      <c r="F11668" s="43"/>
      <c r="G11668" s="48">
        <f t="shared" si="287"/>
        <v>34280.120411568321</v>
      </c>
      <c r="H11668" s="389" t="s">
        <v>9567</v>
      </c>
      <c r="I11668" s="589"/>
      <c r="J11668" s="590"/>
    </row>
    <row r="11669" spans="1:14" s="387" customFormat="1" ht="37.5" x14ac:dyDescent="0.3">
      <c r="A11669" s="45">
        <v>45708</v>
      </c>
      <c r="B11669" s="320" t="s">
        <v>13902</v>
      </c>
      <c r="C11669" s="44" t="s">
        <v>11174</v>
      </c>
      <c r="D11669" s="124" t="s">
        <v>15576</v>
      </c>
      <c r="E11669" s="28">
        <v>5680</v>
      </c>
      <c r="F11669" s="28"/>
      <c r="G11669" s="48">
        <f t="shared" si="287"/>
        <v>28600.120411568321</v>
      </c>
      <c r="H11669" s="389" t="s">
        <v>9567</v>
      </c>
      <c r="I11669" s="736"/>
      <c r="J11669" s="737"/>
      <c r="K11669" s="155"/>
      <c r="N11669" s="155"/>
    </row>
    <row r="11670" spans="1:14" x14ac:dyDescent="0.3">
      <c r="A11670" s="45">
        <v>45708</v>
      </c>
      <c r="B11670" s="741" t="s">
        <v>13902</v>
      </c>
      <c r="C11670" s="186" t="s">
        <v>54</v>
      </c>
      <c r="D11670" s="186" t="s">
        <v>15575</v>
      </c>
      <c r="E11670" s="43">
        <v>1300</v>
      </c>
      <c r="F11670" s="43"/>
      <c r="G11670" s="48">
        <f t="shared" si="287"/>
        <v>27300.120411568321</v>
      </c>
      <c r="H11670" s="389" t="s">
        <v>9567</v>
      </c>
      <c r="I11670" s="589"/>
      <c r="J11670" s="590"/>
    </row>
    <row r="11671" spans="1:14" x14ac:dyDescent="0.3">
      <c r="A11671" s="45">
        <v>45708</v>
      </c>
      <c r="B11671" s="742" t="s">
        <v>14524</v>
      </c>
      <c r="C11671" s="5" t="s">
        <v>11174</v>
      </c>
      <c r="D11671" s="5" t="s">
        <v>15573</v>
      </c>
      <c r="E11671" s="43">
        <v>2400</v>
      </c>
      <c r="F11671" s="43"/>
      <c r="G11671" s="48">
        <f t="shared" si="287"/>
        <v>24900.120411568321</v>
      </c>
      <c r="H11671" s="389" t="s">
        <v>9567</v>
      </c>
      <c r="I11671" s="589"/>
      <c r="J11671" s="590"/>
    </row>
    <row r="11672" spans="1:14" x14ac:dyDescent="0.3">
      <c r="A11672" s="45">
        <v>45708</v>
      </c>
      <c r="B11672" s="742" t="s">
        <v>14701</v>
      </c>
      <c r="C11672" s="5" t="s">
        <v>84</v>
      </c>
      <c r="D11672" s="5" t="s">
        <v>15574</v>
      </c>
      <c r="E11672" s="43">
        <v>2000</v>
      </c>
      <c r="F11672" s="43"/>
      <c r="G11672" s="48">
        <f t="shared" si="287"/>
        <v>22900.120411568321</v>
      </c>
      <c r="H11672" s="389" t="s">
        <v>9567</v>
      </c>
      <c r="I11672" s="589"/>
      <c r="J11672" s="590"/>
    </row>
    <row r="11673" spans="1:14" x14ac:dyDescent="0.3">
      <c r="A11673" s="45">
        <v>45708</v>
      </c>
      <c r="B11673" s="742" t="s">
        <v>13833</v>
      </c>
      <c r="C11673" s="5" t="s">
        <v>5793</v>
      </c>
      <c r="D11673" s="5" t="s">
        <v>15577</v>
      </c>
      <c r="E11673" s="43">
        <v>4000</v>
      </c>
      <c r="F11673" s="43"/>
      <c r="G11673" s="48">
        <f t="shared" si="287"/>
        <v>18900.120411568321</v>
      </c>
      <c r="H11673" s="389" t="s">
        <v>9567</v>
      </c>
      <c r="I11673" s="589"/>
      <c r="J11673" s="590"/>
    </row>
    <row r="11674" spans="1:14" x14ac:dyDescent="0.3">
      <c r="A11674" s="45">
        <v>45709</v>
      </c>
      <c r="B11674" s="742" t="s">
        <v>13321</v>
      </c>
      <c r="C11674" s="5" t="s">
        <v>57</v>
      </c>
      <c r="D11674" s="5" t="s">
        <v>294</v>
      </c>
      <c r="E11674" s="43">
        <v>500</v>
      </c>
      <c r="F11674" s="43"/>
      <c r="G11674" s="48">
        <f t="shared" si="287"/>
        <v>18400.120411568321</v>
      </c>
      <c r="H11674" s="389" t="s">
        <v>9567</v>
      </c>
      <c r="I11674" s="589"/>
      <c r="J11674" s="590"/>
    </row>
    <row r="11675" spans="1:14" x14ac:dyDescent="0.3">
      <c r="A11675" s="45">
        <v>45709</v>
      </c>
      <c r="B11675" s="743" t="s">
        <v>12133</v>
      </c>
      <c r="C11675" s="5" t="s">
        <v>26</v>
      </c>
      <c r="D11675" s="5" t="s">
        <v>15580</v>
      </c>
      <c r="E11675" s="43">
        <v>1500</v>
      </c>
      <c r="F11675" s="43"/>
      <c r="G11675" s="48">
        <f t="shared" si="287"/>
        <v>16900.120411568321</v>
      </c>
      <c r="H11675" s="389" t="s">
        <v>9567</v>
      </c>
      <c r="I11675" s="589"/>
      <c r="J11675" s="590"/>
    </row>
    <row r="11676" spans="1:14" x14ac:dyDescent="0.3">
      <c r="A11676" s="45">
        <v>45709</v>
      </c>
      <c r="B11676" s="743" t="s">
        <v>14590</v>
      </c>
      <c r="C11676" s="5" t="s">
        <v>11174</v>
      </c>
      <c r="D11676" s="5" t="s">
        <v>15578</v>
      </c>
      <c r="E11676" s="43">
        <v>4600</v>
      </c>
      <c r="F11676" s="43"/>
      <c r="G11676" s="48">
        <f t="shared" si="287"/>
        <v>12300.120411568321</v>
      </c>
      <c r="H11676" s="389" t="s">
        <v>9567</v>
      </c>
      <c r="I11676" s="589"/>
      <c r="J11676" s="590"/>
    </row>
    <row r="11677" spans="1:14" x14ac:dyDescent="0.3">
      <c r="A11677" s="45">
        <v>45709</v>
      </c>
      <c r="B11677" s="744" t="s">
        <v>14590</v>
      </c>
      <c r="C11677" s="5" t="s">
        <v>11174</v>
      </c>
      <c r="D11677" s="5" t="s">
        <v>15579</v>
      </c>
      <c r="E11677" s="43">
        <v>1980</v>
      </c>
      <c r="F11677" s="43"/>
      <c r="G11677" s="48">
        <f t="shared" si="287"/>
        <v>10320.120411568321</v>
      </c>
      <c r="H11677" s="389" t="s">
        <v>9567</v>
      </c>
      <c r="I11677" s="589"/>
      <c r="J11677" s="590"/>
    </row>
    <row r="11678" spans="1:14" x14ac:dyDescent="0.3">
      <c r="A11678" s="45">
        <v>45709</v>
      </c>
      <c r="B11678" s="743" t="s">
        <v>14524</v>
      </c>
      <c r="C11678" s="5" t="s">
        <v>11174</v>
      </c>
      <c r="D11678" s="5" t="s">
        <v>15578</v>
      </c>
      <c r="E11678" s="43">
        <v>4600</v>
      </c>
      <c r="F11678" s="43"/>
      <c r="G11678" s="48">
        <f t="shared" si="287"/>
        <v>5720.1204115683213</v>
      </c>
      <c r="H11678" s="389" t="s">
        <v>9567</v>
      </c>
      <c r="I11678" s="589"/>
      <c r="J11678" s="590"/>
    </row>
    <row r="11679" spans="1:14" x14ac:dyDescent="0.3">
      <c r="A11679" s="45">
        <v>45709</v>
      </c>
      <c r="B11679" s="743"/>
      <c r="C11679" s="5" t="s">
        <v>14</v>
      </c>
      <c r="D11679" s="5" t="s">
        <v>294</v>
      </c>
      <c r="E11679" s="43">
        <v>2500</v>
      </c>
      <c r="F11679" s="43"/>
      <c r="G11679" s="48">
        <f t="shared" si="287"/>
        <v>3220.1204115683213</v>
      </c>
      <c r="H11679" s="389" t="s">
        <v>9567</v>
      </c>
      <c r="I11679" s="589"/>
      <c r="J11679" s="590"/>
    </row>
    <row r="11680" spans="1:14" x14ac:dyDescent="0.3">
      <c r="A11680" s="45">
        <v>45709</v>
      </c>
      <c r="B11680" s="744" t="s">
        <v>25</v>
      </c>
      <c r="C11680" s="5" t="s">
        <v>26</v>
      </c>
      <c r="D11680" s="5" t="s">
        <v>11434</v>
      </c>
      <c r="E11680" s="43">
        <v>2000</v>
      </c>
      <c r="F11680" s="43"/>
      <c r="G11680" s="48">
        <f t="shared" si="287"/>
        <v>1220.1204115683213</v>
      </c>
      <c r="H11680" s="389" t="s">
        <v>9567</v>
      </c>
      <c r="I11680" s="589"/>
      <c r="J11680" s="590"/>
    </row>
    <row r="11681" spans="1:10" x14ac:dyDescent="0.3">
      <c r="A11681" s="45">
        <v>45713</v>
      </c>
      <c r="B11681" s="565"/>
      <c r="C11681" s="480"/>
      <c r="D11681" s="491" t="s">
        <v>6069</v>
      </c>
      <c r="E11681" s="480"/>
      <c r="F11681" s="43">
        <v>300000</v>
      </c>
      <c r="G11681" s="48">
        <f t="shared" si="287"/>
        <v>301220.12041156832</v>
      </c>
      <c r="H11681" s="389" t="s">
        <v>9567</v>
      </c>
    </row>
    <row r="11682" spans="1:10" x14ac:dyDescent="0.3">
      <c r="A11682" s="45">
        <v>45713</v>
      </c>
      <c r="B11682" s="744" t="s">
        <v>25</v>
      </c>
      <c r="C11682" s="5" t="s">
        <v>1074</v>
      </c>
      <c r="D11682" s="5" t="s">
        <v>15589</v>
      </c>
      <c r="E11682" s="43">
        <v>15117</v>
      </c>
      <c r="F11682" s="43"/>
      <c r="G11682" s="48">
        <f t="shared" si="287"/>
        <v>286103.12041156832</v>
      </c>
      <c r="H11682" s="389" t="s">
        <v>9567</v>
      </c>
      <c r="I11682" s="589"/>
      <c r="J11682" s="590"/>
    </row>
    <row r="11683" spans="1:10" x14ac:dyDescent="0.3">
      <c r="A11683" s="45">
        <v>45713</v>
      </c>
      <c r="B11683" s="747" t="s">
        <v>12230</v>
      </c>
      <c r="C11683" s="5" t="s">
        <v>1074</v>
      </c>
      <c r="D11683" s="5" t="s">
        <v>15589</v>
      </c>
      <c r="E11683" s="43">
        <v>37943</v>
      </c>
      <c r="F11683" s="43"/>
      <c r="G11683" s="48">
        <f t="shared" si="287"/>
        <v>248160.12041156832</v>
      </c>
      <c r="H11683" s="389" t="s">
        <v>9567</v>
      </c>
      <c r="I11683" s="589"/>
      <c r="J11683" s="590"/>
    </row>
    <row r="11684" spans="1:10" x14ac:dyDescent="0.3">
      <c r="A11684" s="45">
        <v>45713</v>
      </c>
      <c r="B11684" s="747"/>
      <c r="C11684" s="5" t="s">
        <v>14</v>
      </c>
      <c r="D11684" s="5" t="s">
        <v>640</v>
      </c>
      <c r="E11684" s="43">
        <v>1000</v>
      </c>
      <c r="F11684" s="43"/>
      <c r="G11684" s="48">
        <f t="shared" si="287"/>
        <v>247160.12041156832</v>
      </c>
      <c r="H11684" s="389" t="s">
        <v>9567</v>
      </c>
      <c r="I11684" s="589"/>
      <c r="J11684" s="590"/>
    </row>
    <row r="11685" spans="1:10" x14ac:dyDescent="0.3">
      <c r="A11685" s="45">
        <v>45713</v>
      </c>
      <c r="B11685" s="747" t="s">
        <v>14524</v>
      </c>
      <c r="C11685" s="5" t="s">
        <v>11174</v>
      </c>
      <c r="D11685" s="5" t="s">
        <v>3183</v>
      </c>
      <c r="E11685" s="43">
        <v>2400</v>
      </c>
      <c r="F11685" s="43"/>
      <c r="G11685" s="48">
        <f t="shared" si="287"/>
        <v>244760.12041156832</v>
      </c>
      <c r="H11685" s="389" t="s">
        <v>9567</v>
      </c>
      <c r="I11685" s="589"/>
      <c r="J11685" s="590"/>
    </row>
    <row r="11686" spans="1:10" x14ac:dyDescent="0.3">
      <c r="A11686" s="45">
        <v>45713</v>
      </c>
      <c r="B11686" s="747" t="s">
        <v>14701</v>
      </c>
      <c r="C11686" s="5" t="s">
        <v>9287</v>
      </c>
      <c r="D11686" s="5" t="s">
        <v>15590</v>
      </c>
      <c r="E11686" s="43">
        <v>30000</v>
      </c>
      <c r="F11686" s="43"/>
      <c r="G11686" s="48">
        <f t="shared" si="287"/>
        <v>214760.12041156832</v>
      </c>
      <c r="H11686" s="389" t="s">
        <v>9567</v>
      </c>
      <c r="I11686" s="589"/>
      <c r="J11686" s="590"/>
    </row>
    <row r="11687" spans="1:10" x14ac:dyDescent="0.3">
      <c r="A11687" s="45">
        <v>45713</v>
      </c>
      <c r="B11687" s="747" t="s">
        <v>14590</v>
      </c>
      <c r="C11687" s="714" t="s">
        <v>11174</v>
      </c>
      <c r="D11687" s="714" t="s">
        <v>15180</v>
      </c>
      <c r="E11687" s="65">
        <v>15840</v>
      </c>
      <c r="F11687" s="43"/>
      <c r="G11687" s="48">
        <f t="shared" si="287"/>
        <v>198920.12041156832</v>
      </c>
      <c r="H11687" s="389" t="s">
        <v>9567</v>
      </c>
      <c r="I11687" s="589"/>
      <c r="J11687" s="590"/>
    </row>
    <row r="11688" spans="1:10" x14ac:dyDescent="0.3">
      <c r="A11688" s="45">
        <v>45713</v>
      </c>
      <c r="B11688" s="747" t="s">
        <v>13321</v>
      </c>
      <c r="C11688" s="714" t="s">
        <v>57</v>
      </c>
      <c r="D11688" s="714" t="s">
        <v>294</v>
      </c>
      <c r="E11688" s="65">
        <v>100000</v>
      </c>
      <c r="F11688" s="43"/>
      <c r="G11688" s="48">
        <f t="shared" si="287"/>
        <v>98920.120411568321</v>
      </c>
      <c r="H11688" s="389" t="s">
        <v>9567</v>
      </c>
      <c r="I11688" s="589"/>
      <c r="J11688" s="590"/>
    </row>
    <row r="11689" spans="1:10" x14ac:dyDescent="0.3">
      <c r="A11689" s="45">
        <v>45713</v>
      </c>
      <c r="B11689" s="747" t="s">
        <v>15494</v>
      </c>
      <c r="C11689" s="714" t="s">
        <v>26</v>
      </c>
      <c r="D11689" s="714" t="s">
        <v>15599</v>
      </c>
      <c r="E11689" s="65">
        <v>15000</v>
      </c>
      <c r="F11689" s="43"/>
      <c r="G11689" s="48">
        <f t="shared" si="287"/>
        <v>83920.120411568321</v>
      </c>
      <c r="H11689" s="389" t="s">
        <v>9567</v>
      </c>
      <c r="I11689" s="589"/>
      <c r="J11689" s="590"/>
    </row>
    <row r="11690" spans="1:10" x14ac:dyDescent="0.3">
      <c r="A11690" s="45">
        <v>45713</v>
      </c>
      <c r="B11690" s="747" t="s">
        <v>14701</v>
      </c>
      <c r="C11690" s="714" t="s">
        <v>26</v>
      </c>
      <c r="D11690" s="714" t="s">
        <v>15600</v>
      </c>
      <c r="E11690" s="65">
        <v>1600</v>
      </c>
      <c r="F11690" s="43"/>
      <c r="G11690" s="48">
        <f t="shared" si="287"/>
        <v>82320.120411568321</v>
      </c>
      <c r="H11690" s="389" t="s">
        <v>9567</v>
      </c>
      <c r="I11690" s="589"/>
      <c r="J11690" s="590"/>
    </row>
    <row r="11691" spans="1:10" x14ac:dyDescent="0.3">
      <c r="A11691" s="45">
        <v>45713</v>
      </c>
      <c r="B11691" s="747" t="s">
        <v>14524</v>
      </c>
      <c r="C11691" s="714" t="s">
        <v>11174</v>
      </c>
      <c r="D11691" s="714" t="s">
        <v>15601</v>
      </c>
      <c r="E11691" s="65">
        <v>5500</v>
      </c>
      <c r="F11691" s="43"/>
      <c r="G11691" s="48">
        <f t="shared" si="287"/>
        <v>76820.120411568321</v>
      </c>
      <c r="H11691" s="389" t="s">
        <v>9567</v>
      </c>
      <c r="I11691" s="589"/>
      <c r="J11691" s="590"/>
    </row>
    <row r="11692" spans="1:10" x14ac:dyDescent="0.3">
      <c r="A11692" s="45">
        <v>45713</v>
      </c>
      <c r="B11692" s="747" t="s">
        <v>13833</v>
      </c>
      <c r="C11692" s="714" t="s">
        <v>11174</v>
      </c>
      <c r="D11692" s="714" t="s">
        <v>15606</v>
      </c>
      <c r="E11692" s="65">
        <v>2643</v>
      </c>
      <c r="F11692" s="43"/>
      <c r="G11692" s="48">
        <f t="shared" si="287"/>
        <v>74177.120411568321</v>
      </c>
      <c r="H11692" s="389" t="s">
        <v>9567</v>
      </c>
      <c r="I11692" s="589">
        <f>E11692+E11687</f>
        <v>18483</v>
      </c>
      <c r="J11692" s="590"/>
    </row>
    <row r="11693" spans="1:10" x14ac:dyDescent="0.3">
      <c r="A11693" s="45">
        <v>45713</v>
      </c>
      <c r="B11693" s="747" t="s">
        <v>13833</v>
      </c>
      <c r="C11693" s="714" t="s">
        <v>5288</v>
      </c>
      <c r="D11693" s="714" t="s">
        <v>294</v>
      </c>
      <c r="E11693" s="65">
        <v>5000</v>
      </c>
      <c r="F11693" s="43"/>
      <c r="G11693" s="48">
        <f t="shared" si="287"/>
        <v>69177.120411568321</v>
      </c>
      <c r="H11693" s="389" t="s">
        <v>9567</v>
      </c>
      <c r="I11693" s="589"/>
      <c r="J11693" s="590">
        <f>21000-I11692</f>
        <v>2517</v>
      </c>
    </row>
    <row r="11694" spans="1:10" x14ac:dyDescent="0.3">
      <c r="A11694" s="45">
        <v>45713</v>
      </c>
      <c r="B11694" s="747" t="s">
        <v>15384</v>
      </c>
      <c r="C11694" s="714" t="s">
        <v>26</v>
      </c>
      <c r="D11694" s="714" t="s">
        <v>15602</v>
      </c>
      <c r="E11694" s="65">
        <v>5050</v>
      </c>
      <c r="F11694" s="43"/>
      <c r="G11694" s="48">
        <f t="shared" si="287"/>
        <v>64127.120411568321</v>
      </c>
      <c r="H11694" s="389" t="s">
        <v>9567</v>
      </c>
      <c r="I11694" s="589"/>
      <c r="J11694" s="590"/>
    </row>
    <row r="11695" spans="1:10" x14ac:dyDescent="0.3">
      <c r="A11695" s="45">
        <v>45713</v>
      </c>
      <c r="B11695" s="747" t="s">
        <v>14524</v>
      </c>
      <c r="C11695" s="5" t="s">
        <v>5793</v>
      </c>
      <c r="D11695" s="5" t="s">
        <v>15603</v>
      </c>
      <c r="E11695" s="43">
        <v>3000</v>
      </c>
      <c r="F11695" s="43"/>
      <c r="G11695" s="48">
        <f>G11694+F11695-E11695</f>
        <v>61127.120411568321</v>
      </c>
      <c r="H11695" s="389" t="s">
        <v>9567</v>
      </c>
      <c r="I11695" s="589"/>
      <c r="J11695" s="590"/>
    </row>
    <row r="11696" spans="1:10" x14ac:dyDescent="0.3">
      <c r="A11696" s="45">
        <v>45713</v>
      </c>
      <c r="B11696" s="747" t="s">
        <v>10319</v>
      </c>
      <c r="C11696" s="5" t="s">
        <v>30</v>
      </c>
      <c r="D11696" s="5" t="s">
        <v>15604</v>
      </c>
      <c r="E11696" s="43">
        <v>3000</v>
      </c>
      <c r="F11696" s="43"/>
      <c r="G11696" s="48">
        <f t="shared" si="287"/>
        <v>58127.120411568321</v>
      </c>
      <c r="H11696" s="389" t="s">
        <v>9567</v>
      </c>
      <c r="I11696" s="589"/>
      <c r="J11696" s="590"/>
    </row>
    <row r="11697" spans="1:10" x14ac:dyDescent="0.3">
      <c r="A11697" s="45">
        <v>45713</v>
      </c>
      <c r="B11697" s="747" t="s">
        <v>14524</v>
      </c>
      <c r="C11697" s="5" t="s">
        <v>11174</v>
      </c>
      <c r="D11697" s="5" t="s">
        <v>15605</v>
      </c>
      <c r="E11697" s="43">
        <v>15500</v>
      </c>
      <c r="F11697" s="43"/>
      <c r="G11697" s="48">
        <f t="shared" si="287"/>
        <v>42627.120411568321</v>
      </c>
      <c r="H11697" s="389" t="s">
        <v>9567</v>
      </c>
      <c r="I11697" s="589"/>
      <c r="J11697" s="590"/>
    </row>
    <row r="11698" spans="1:10" x14ac:dyDescent="0.3">
      <c r="A11698" s="45">
        <v>45713</v>
      </c>
      <c r="B11698" s="747" t="s">
        <v>25</v>
      </c>
      <c r="C11698" s="5" t="s">
        <v>26</v>
      </c>
      <c r="D11698" s="5" t="s">
        <v>11434</v>
      </c>
      <c r="E11698" s="43">
        <v>4000</v>
      </c>
      <c r="F11698" s="43"/>
      <c r="G11698" s="48">
        <f t="shared" si="287"/>
        <v>38627.120411568321</v>
      </c>
      <c r="H11698" s="389" t="s">
        <v>9567</v>
      </c>
      <c r="I11698" s="589"/>
      <c r="J11698" s="590"/>
    </row>
    <row r="11699" spans="1:10" x14ac:dyDescent="0.3">
      <c r="A11699" s="45">
        <v>45714</v>
      </c>
      <c r="B11699" s="565"/>
      <c r="C11699" s="480"/>
      <c r="D11699" s="491" t="s">
        <v>6069</v>
      </c>
      <c r="E11699" s="480"/>
      <c r="F11699" s="43">
        <v>91500</v>
      </c>
      <c r="G11699" s="48">
        <f t="shared" si="287"/>
        <v>130127.12041156832</v>
      </c>
      <c r="H11699" s="389" t="s">
        <v>9567</v>
      </c>
    </row>
    <row r="11700" spans="1:10" x14ac:dyDescent="0.3">
      <c r="A11700" s="45">
        <v>45714</v>
      </c>
      <c r="B11700" s="747" t="s">
        <v>14685</v>
      </c>
      <c r="C11700" s="5" t="s">
        <v>26</v>
      </c>
      <c r="D11700" s="5" t="s">
        <v>15616</v>
      </c>
      <c r="E11700" s="43">
        <v>7500</v>
      </c>
      <c r="F11700" s="43"/>
      <c r="G11700" s="48">
        <f t="shared" si="287"/>
        <v>122627.12041156832</v>
      </c>
      <c r="H11700" s="389" t="s">
        <v>9567</v>
      </c>
      <c r="I11700" s="589"/>
      <c r="J11700" s="590"/>
    </row>
    <row r="11701" spans="1:10" x14ac:dyDescent="0.3">
      <c r="A11701" s="45">
        <v>45714</v>
      </c>
      <c r="B11701" s="748" t="s">
        <v>15162</v>
      </c>
      <c r="C11701" s="5" t="s">
        <v>9451</v>
      </c>
      <c r="D11701" s="5" t="s">
        <v>15617</v>
      </c>
      <c r="E11701" s="43">
        <v>9000</v>
      </c>
      <c r="F11701" s="43"/>
      <c r="G11701" s="48">
        <f t="shared" si="287"/>
        <v>113627.12041156832</v>
      </c>
      <c r="H11701" s="389" t="s">
        <v>9567</v>
      </c>
      <c r="I11701" s="589"/>
      <c r="J11701" s="590"/>
    </row>
    <row r="11702" spans="1:10" x14ac:dyDescent="0.3">
      <c r="A11702" s="45">
        <v>45714</v>
      </c>
      <c r="B11702" s="748" t="s">
        <v>13946</v>
      </c>
      <c r="C11702" s="5" t="s">
        <v>5793</v>
      </c>
      <c r="D11702" s="5" t="s">
        <v>40</v>
      </c>
      <c r="E11702" s="43">
        <v>1000</v>
      </c>
      <c r="F11702" s="43"/>
      <c r="G11702" s="48">
        <f t="shared" si="287"/>
        <v>112627.12041156832</v>
      </c>
      <c r="H11702" s="389" t="s">
        <v>9567</v>
      </c>
      <c r="I11702" s="589"/>
      <c r="J11702" s="590"/>
    </row>
    <row r="11703" spans="1:10" x14ac:dyDescent="0.3">
      <c r="A11703" s="45">
        <v>45714</v>
      </c>
      <c r="B11703" s="748" t="s">
        <v>14524</v>
      </c>
      <c r="C11703" s="5" t="s">
        <v>5793</v>
      </c>
      <c r="D11703" s="5" t="s">
        <v>40</v>
      </c>
      <c r="E11703" s="43">
        <v>1000</v>
      </c>
      <c r="F11703" s="43"/>
      <c r="G11703" s="48">
        <f t="shared" si="287"/>
        <v>111627.12041156832</v>
      </c>
      <c r="H11703" s="389" t="s">
        <v>9567</v>
      </c>
      <c r="I11703" s="589"/>
      <c r="J11703" s="590"/>
    </row>
    <row r="11704" spans="1:10" x14ac:dyDescent="0.3">
      <c r="A11704" s="45">
        <v>45714</v>
      </c>
      <c r="B11704" s="762" t="s">
        <v>13833</v>
      </c>
      <c r="C11704" s="5" t="s">
        <v>11174</v>
      </c>
      <c r="D11704" s="5" t="s">
        <v>15620</v>
      </c>
      <c r="E11704" s="43">
        <v>810</v>
      </c>
      <c r="F11704" s="43"/>
      <c r="G11704" s="48">
        <f t="shared" si="287"/>
        <v>110817.12041156832</v>
      </c>
      <c r="H11704" s="389" t="s">
        <v>9567</v>
      </c>
      <c r="I11704" s="589"/>
      <c r="J11704" s="590"/>
    </row>
    <row r="11705" spans="1:10" x14ac:dyDescent="0.3">
      <c r="A11705" s="45">
        <v>45714</v>
      </c>
      <c r="B11705" s="756" t="s">
        <v>14524</v>
      </c>
      <c r="C11705" s="5" t="s">
        <v>5793</v>
      </c>
      <c r="D11705" s="5" t="s">
        <v>14388</v>
      </c>
      <c r="E11705" s="43">
        <v>4500</v>
      </c>
      <c r="F11705" s="43"/>
      <c r="G11705" s="48">
        <f t="shared" si="287"/>
        <v>106317.12041156832</v>
      </c>
      <c r="H11705" s="389" t="s">
        <v>9567</v>
      </c>
      <c r="I11705" s="589"/>
      <c r="J11705" s="590"/>
    </row>
    <row r="11706" spans="1:10" x14ac:dyDescent="0.3">
      <c r="A11706" s="45">
        <v>45714</v>
      </c>
      <c r="B11706" s="756" t="s">
        <v>13833</v>
      </c>
      <c r="C11706" s="5" t="s">
        <v>5793</v>
      </c>
      <c r="D11706" s="5" t="s">
        <v>14388</v>
      </c>
      <c r="E11706" s="43">
        <v>3000</v>
      </c>
      <c r="F11706" s="43"/>
      <c r="G11706" s="48">
        <f t="shared" si="287"/>
        <v>103317.12041156832</v>
      </c>
      <c r="H11706" s="389" t="s">
        <v>9567</v>
      </c>
      <c r="I11706" s="589"/>
      <c r="J11706" s="590"/>
    </row>
    <row r="11707" spans="1:10" x14ac:dyDescent="0.3">
      <c r="A11707" s="45">
        <v>45714</v>
      </c>
      <c r="B11707" s="756" t="s">
        <v>13379</v>
      </c>
      <c r="C11707" s="5" t="s">
        <v>5793</v>
      </c>
      <c r="D11707" s="5" t="s">
        <v>40</v>
      </c>
      <c r="E11707" s="43">
        <v>1200</v>
      </c>
      <c r="F11707" s="43"/>
      <c r="G11707" s="48">
        <f t="shared" si="287"/>
        <v>102117.12041156832</v>
      </c>
      <c r="H11707" s="389" t="s">
        <v>9567</v>
      </c>
      <c r="I11707" s="589">
        <v>1500</v>
      </c>
      <c r="J11707" s="590"/>
    </row>
    <row r="11708" spans="1:10" x14ac:dyDescent="0.3">
      <c r="A11708" s="45">
        <v>45714</v>
      </c>
      <c r="B11708" s="756" t="s">
        <v>15623</v>
      </c>
      <c r="C11708" s="5" t="s">
        <v>9758</v>
      </c>
      <c r="D11708" s="5" t="s">
        <v>294</v>
      </c>
      <c r="E11708" s="43">
        <v>15000</v>
      </c>
      <c r="F11708" s="43"/>
      <c r="G11708" s="48">
        <f t="shared" si="287"/>
        <v>87117.120411568321</v>
      </c>
      <c r="H11708" s="389" t="s">
        <v>9567</v>
      </c>
      <c r="I11708" s="589">
        <v>810</v>
      </c>
      <c r="J11708" s="590"/>
    </row>
    <row r="11709" spans="1:10" x14ac:dyDescent="0.3">
      <c r="A11709" s="45">
        <v>45714</v>
      </c>
      <c r="B11709" s="756" t="s">
        <v>14524</v>
      </c>
      <c r="C11709" s="5" t="s">
        <v>26</v>
      </c>
      <c r="D11709" s="5" t="s">
        <v>15618</v>
      </c>
      <c r="E11709" s="43">
        <v>10000</v>
      </c>
      <c r="F11709" s="43"/>
      <c r="G11709" s="48">
        <f t="shared" si="287"/>
        <v>77117.120411568321</v>
      </c>
      <c r="H11709" s="389" t="s">
        <v>9567</v>
      </c>
      <c r="I11709" s="589">
        <f>I11707-I11708</f>
        <v>690</v>
      </c>
      <c r="J11709" s="590"/>
    </row>
    <row r="11710" spans="1:10" x14ac:dyDescent="0.3">
      <c r="A11710" s="45">
        <v>45714</v>
      </c>
      <c r="B11710" s="756" t="s">
        <v>14524</v>
      </c>
      <c r="C11710" s="5" t="s">
        <v>26</v>
      </c>
      <c r="D11710" s="5" t="s">
        <v>15619</v>
      </c>
      <c r="E11710" s="43">
        <v>10000</v>
      </c>
      <c r="F11710" s="43"/>
      <c r="G11710" s="48">
        <f t="shared" si="287"/>
        <v>67117.120411568321</v>
      </c>
      <c r="H11710" s="389" t="s">
        <v>9567</v>
      </c>
      <c r="I11710" s="589"/>
      <c r="J11710" s="590"/>
    </row>
    <row r="11711" spans="1:10" x14ac:dyDescent="0.3">
      <c r="A11711" s="45">
        <v>45714</v>
      </c>
      <c r="B11711" s="756" t="s">
        <v>13833</v>
      </c>
      <c r="C11711" s="5" t="s">
        <v>30</v>
      </c>
      <c r="D11711" s="5" t="s">
        <v>15438</v>
      </c>
      <c r="E11711" s="43">
        <v>5000</v>
      </c>
      <c r="F11711" s="43"/>
      <c r="G11711" s="48">
        <f t="shared" si="287"/>
        <v>62117.120411568321</v>
      </c>
      <c r="H11711" s="389" t="s">
        <v>9567</v>
      </c>
      <c r="I11711" s="589"/>
      <c r="J11711" s="590"/>
    </row>
    <row r="11712" spans="1:10" x14ac:dyDescent="0.3">
      <c r="A11712" s="45">
        <v>45714</v>
      </c>
      <c r="B11712" s="756" t="s">
        <v>15384</v>
      </c>
      <c r="C11712" s="5" t="s">
        <v>30</v>
      </c>
      <c r="D11712" s="5" t="s">
        <v>15438</v>
      </c>
      <c r="E11712" s="43">
        <v>2000</v>
      </c>
      <c r="F11712" s="43"/>
      <c r="G11712" s="48">
        <f t="shared" si="287"/>
        <v>60117.120411568321</v>
      </c>
      <c r="H11712" s="389" t="s">
        <v>9567</v>
      </c>
      <c r="I11712" s="589"/>
      <c r="J11712" s="590"/>
    </row>
    <row r="11713" spans="1:11" x14ac:dyDescent="0.3">
      <c r="A11713" s="45">
        <v>45714</v>
      </c>
      <c r="B11713" s="756" t="s">
        <v>25</v>
      </c>
      <c r="C11713" s="5" t="s">
        <v>84</v>
      </c>
      <c r="D11713" s="5" t="s">
        <v>11502</v>
      </c>
      <c r="E11713" s="43">
        <v>3000</v>
      </c>
      <c r="F11713" s="43"/>
      <c r="G11713" s="48">
        <f t="shared" si="287"/>
        <v>57117.120411568321</v>
      </c>
      <c r="H11713" s="389" t="s">
        <v>9567</v>
      </c>
      <c r="I11713" s="589"/>
      <c r="J11713" s="590"/>
    </row>
    <row r="11714" spans="1:11" x14ac:dyDescent="0.3">
      <c r="A11714" s="45">
        <v>45714</v>
      </c>
      <c r="B11714" s="756" t="s">
        <v>25</v>
      </c>
      <c r="C11714" s="5" t="s">
        <v>26</v>
      </c>
      <c r="D11714" s="5" t="s">
        <v>11434</v>
      </c>
      <c r="E11714" s="43">
        <v>3000</v>
      </c>
      <c r="F11714" s="43"/>
      <c r="G11714" s="48">
        <f t="shared" si="287"/>
        <v>54117.120411568321</v>
      </c>
      <c r="H11714" s="389" t="s">
        <v>9567</v>
      </c>
      <c r="I11714" s="589">
        <v>103</v>
      </c>
      <c r="J11714" s="590">
        <v>1658</v>
      </c>
      <c r="K11714" s="52">
        <f>J11714*I11714</f>
        <v>170774</v>
      </c>
    </row>
    <row r="11715" spans="1:11" x14ac:dyDescent="0.3">
      <c r="A11715" s="45">
        <v>45715</v>
      </c>
      <c r="B11715" s="756" t="s">
        <v>13833</v>
      </c>
      <c r="C11715" s="5" t="s">
        <v>5793</v>
      </c>
      <c r="D11715" s="5" t="s">
        <v>40</v>
      </c>
      <c r="E11715" s="43">
        <v>600</v>
      </c>
      <c r="F11715" s="43"/>
      <c r="G11715" s="48">
        <f t="shared" si="287"/>
        <v>53517.120411568321</v>
      </c>
      <c r="H11715" s="389" t="s">
        <v>9567</v>
      </c>
      <c r="I11715" s="589">
        <v>108</v>
      </c>
      <c r="J11715" s="590">
        <v>319</v>
      </c>
      <c r="K11715" s="52">
        <f t="shared" ref="K11715:K11722" si="288">J11715*I11715</f>
        <v>34452</v>
      </c>
    </row>
    <row r="11716" spans="1:11" x14ac:dyDescent="0.3">
      <c r="A11716" s="45">
        <v>45715</v>
      </c>
      <c r="B11716" s="762" t="s">
        <v>25</v>
      </c>
      <c r="C11716" s="5" t="s">
        <v>26</v>
      </c>
      <c r="D11716" s="5" t="s">
        <v>15624</v>
      </c>
      <c r="E11716" s="43">
        <v>600</v>
      </c>
      <c r="F11716" s="43"/>
      <c r="G11716" s="48">
        <f t="shared" si="287"/>
        <v>52917.120411568321</v>
      </c>
      <c r="H11716" s="389" t="s">
        <v>9567</v>
      </c>
      <c r="I11716" s="589">
        <v>113</v>
      </c>
      <c r="J11716" s="590">
        <v>333</v>
      </c>
      <c r="K11716" s="52">
        <f t="shared" si="288"/>
        <v>37629</v>
      </c>
    </row>
    <row r="11717" spans="1:11" x14ac:dyDescent="0.3">
      <c r="A11717" s="45">
        <v>45715</v>
      </c>
      <c r="B11717" s="762"/>
      <c r="C11717" s="5" t="s">
        <v>4550</v>
      </c>
      <c r="D11717" s="5" t="s">
        <v>15625</v>
      </c>
      <c r="E11717" s="43">
        <v>5000</v>
      </c>
      <c r="F11717" s="43"/>
      <c r="G11717" s="48">
        <f t="shared" si="287"/>
        <v>47917.120411568321</v>
      </c>
      <c r="H11717" s="389" t="s">
        <v>9567</v>
      </c>
      <c r="I11717" s="589">
        <v>150</v>
      </c>
      <c r="J11717" s="590">
        <v>172</v>
      </c>
      <c r="K11717" s="52">
        <f t="shared" si="288"/>
        <v>25800</v>
      </c>
    </row>
    <row r="11718" spans="1:11" x14ac:dyDescent="0.3">
      <c r="A11718" s="45">
        <v>45715</v>
      </c>
      <c r="B11718" s="762" t="s">
        <v>15558</v>
      </c>
      <c r="C11718" s="5" t="s">
        <v>9451</v>
      </c>
      <c r="D11718" s="5" t="s">
        <v>15626</v>
      </c>
      <c r="E11718" s="43">
        <v>37000</v>
      </c>
      <c r="F11718" s="43"/>
      <c r="G11718" s="48">
        <f t="shared" si="287"/>
        <v>10917.120411568321</v>
      </c>
      <c r="H11718" s="389" t="s">
        <v>9567</v>
      </c>
      <c r="I11718" s="589">
        <v>158</v>
      </c>
      <c r="J11718" s="590">
        <v>386</v>
      </c>
      <c r="K11718" s="52">
        <f t="shared" si="288"/>
        <v>60988</v>
      </c>
    </row>
    <row r="11719" spans="1:11" x14ac:dyDescent="0.3">
      <c r="A11719" s="45">
        <v>45715</v>
      </c>
      <c r="B11719" s="762" t="s">
        <v>13379</v>
      </c>
      <c r="C11719" s="5" t="s">
        <v>26</v>
      </c>
      <c r="D11719" s="5" t="s">
        <v>15627</v>
      </c>
      <c r="E11719" s="43">
        <v>2500</v>
      </c>
      <c r="F11719" s="43"/>
      <c r="G11719" s="48">
        <f t="shared" si="287"/>
        <v>8417.1204115683213</v>
      </c>
      <c r="H11719" s="389" t="s">
        <v>9567</v>
      </c>
      <c r="I11719" s="589">
        <v>170</v>
      </c>
      <c r="J11719" s="590">
        <v>90</v>
      </c>
      <c r="K11719" s="52">
        <f t="shared" si="288"/>
        <v>15300</v>
      </c>
    </row>
    <row r="11720" spans="1:11" x14ac:dyDescent="0.3">
      <c r="A11720" s="45">
        <v>45715</v>
      </c>
      <c r="B11720" s="565"/>
      <c r="C11720" s="480"/>
      <c r="D11720" s="491" t="s">
        <v>98</v>
      </c>
      <c r="E11720" s="480"/>
      <c r="F11720" s="43">
        <v>200000</v>
      </c>
      <c r="G11720" s="48">
        <f t="shared" si="287"/>
        <v>208417.12041156832</v>
      </c>
      <c r="H11720" s="389" t="s">
        <v>9567</v>
      </c>
    </row>
    <row r="11721" spans="1:11" x14ac:dyDescent="0.3">
      <c r="A11721" s="45">
        <v>45715</v>
      </c>
      <c r="B11721" s="762" t="s">
        <v>15623</v>
      </c>
      <c r="C11721" s="5" t="s">
        <v>5793</v>
      </c>
      <c r="D11721" s="5" t="s">
        <v>8924</v>
      </c>
      <c r="E11721" s="43">
        <v>250</v>
      </c>
      <c r="F11721" s="43"/>
      <c r="G11721" s="48">
        <f t="shared" si="287"/>
        <v>208167.12041156832</v>
      </c>
      <c r="H11721" s="389" t="s">
        <v>9567</v>
      </c>
      <c r="I11721" s="589">
        <v>600</v>
      </c>
      <c r="J11721" s="590">
        <v>15</v>
      </c>
      <c r="K11721" s="52">
        <f t="shared" si="288"/>
        <v>9000</v>
      </c>
    </row>
    <row r="11722" spans="1:11" x14ac:dyDescent="0.3">
      <c r="A11722" s="45">
        <v>45715</v>
      </c>
      <c r="B11722" s="763" t="s">
        <v>15623</v>
      </c>
      <c r="C11722" s="5" t="s">
        <v>5793</v>
      </c>
      <c r="D11722" s="5" t="s">
        <v>15628</v>
      </c>
      <c r="E11722" s="43">
        <v>600</v>
      </c>
      <c r="F11722" s="43"/>
      <c r="G11722" s="48">
        <f t="shared" si="287"/>
        <v>207567.12041156832</v>
      </c>
      <c r="H11722" s="389" t="s">
        <v>9567</v>
      </c>
      <c r="I11722" s="589">
        <v>500</v>
      </c>
      <c r="J11722" s="590">
        <v>50</v>
      </c>
      <c r="K11722" s="52">
        <f t="shared" si="288"/>
        <v>25000</v>
      </c>
    </row>
    <row r="11723" spans="1:11" x14ac:dyDescent="0.3">
      <c r="A11723" s="45">
        <v>45715</v>
      </c>
      <c r="B11723" s="763" t="s">
        <v>14701</v>
      </c>
      <c r="C11723" s="5" t="s">
        <v>18</v>
      </c>
      <c r="D11723" s="5" t="s">
        <v>15629</v>
      </c>
      <c r="E11723" s="43">
        <v>10000</v>
      </c>
      <c r="F11723" s="43"/>
      <c r="G11723" s="48">
        <f t="shared" si="287"/>
        <v>197567.12041156832</v>
      </c>
      <c r="H11723" s="389" t="s">
        <v>9567</v>
      </c>
      <c r="I11723" s="589"/>
      <c r="J11723" s="590"/>
    </row>
    <row r="11724" spans="1:11" x14ac:dyDescent="0.3">
      <c r="A11724" s="45">
        <v>45716</v>
      </c>
      <c r="B11724" s="763" t="s">
        <v>25</v>
      </c>
      <c r="C11724" s="5" t="s">
        <v>26</v>
      </c>
      <c r="D11724" s="5" t="s">
        <v>15631</v>
      </c>
      <c r="E11724" s="43">
        <v>11971</v>
      </c>
      <c r="F11724" s="43"/>
      <c r="G11724" s="48">
        <f t="shared" si="287"/>
        <v>185596.12041156832</v>
      </c>
      <c r="H11724" s="389" t="s">
        <v>9567</v>
      </c>
      <c r="I11724" s="589"/>
      <c r="J11724" s="590"/>
    </row>
    <row r="11725" spans="1:11" x14ac:dyDescent="0.3">
      <c r="A11725" s="45">
        <v>45716</v>
      </c>
      <c r="B11725" s="764" t="s">
        <v>25</v>
      </c>
      <c r="C11725" s="5" t="s">
        <v>26</v>
      </c>
      <c r="D11725" s="5" t="s">
        <v>11434</v>
      </c>
      <c r="E11725" s="43">
        <v>3000</v>
      </c>
      <c r="F11725" s="43"/>
      <c r="G11725" s="48">
        <f t="shared" si="287"/>
        <v>182596.12041156832</v>
      </c>
      <c r="H11725" s="389" t="s">
        <v>9567</v>
      </c>
      <c r="I11725" s="589"/>
      <c r="J11725" s="590"/>
    </row>
    <row r="11726" spans="1:11" x14ac:dyDescent="0.3">
      <c r="A11726" s="45">
        <v>45716</v>
      </c>
      <c r="B11726" s="763" t="s">
        <v>14701</v>
      </c>
      <c r="C11726" s="5" t="s">
        <v>5618</v>
      </c>
      <c r="D11726" s="5" t="s">
        <v>15632</v>
      </c>
      <c r="E11726" s="43">
        <v>20000</v>
      </c>
      <c r="F11726" s="43"/>
      <c r="G11726" s="48">
        <f t="shared" si="287"/>
        <v>162596.12041156832</v>
      </c>
      <c r="H11726" s="389" t="s">
        <v>9567</v>
      </c>
      <c r="I11726" s="589"/>
      <c r="J11726" s="590"/>
    </row>
    <row r="11727" spans="1:11" x14ac:dyDescent="0.3">
      <c r="A11727" s="45">
        <v>45716</v>
      </c>
      <c r="B11727" s="763" t="s">
        <v>15162</v>
      </c>
      <c r="C11727" s="5" t="s">
        <v>5618</v>
      </c>
      <c r="D11727" s="5" t="s">
        <v>15633</v>
      </c>
      <c r="E11727" s="43">
        <v>18000</v>
      </c>
      <c r="F11727" s="43"/>
      <c r="G11727" s="48">
        <f t="shared" si="287"/>
        <v>144596.12041156832</v>
      </c>
      <c r="H11727" s="389" t="s">
        <v>9567</v>
      </c>
      <c r="I11727" s="589"/>
      <c r="J11727" s="590"/>
    </row>
    <row r="11728" spans="1:11" x14ac:dyDescent="0.3">
      <c r="A11728" s="45">
        <v>45716</v>
      </c>
      <c r="B11728" s="763" t="s">
        <v>13946</v>
      </c>
      <c r="C11728" s="5" t="s">
        <v>9451</v>
      </c>
      <c r="D11728" s="5" t="s">
        <v>15634</v>
      </c>
      <c r="E11728" s="43">
        <v>550</v>
      </c>
      <c r="F11728" s="43"/>
      <c r="G11728" s="48">
        <f t="shared" si="287"/>
        <v>144046.12041156832</v>
      </c>
      <c r="H11728" s="389" t="s">
        <v>9567</v>
      </c>
      <c r="I11728" s="589"/>
      <c r="J11728" s="590"/>
    </row>
    <row r="11729" spans="1:10" x14ac:dyDescent="0.3">
      <c r="A11729" s="45">
        <v>45716</v>
      </c>
      <c r="B11729" s="763" t="s">
        <v>15636</v>
      </c>
      <c r="C11729" s="5" t="s">
        <v>14492</v>
      </c>
      <c r="D11729" s="5" t="s">
        <v>15637</v>
      </c>
      <c r="E11729" s="43">
        <v>13600</v>
      </c>
      <c r="F11729" s="43"/>
      <c r="G11729" s="48">
        <f t="shared" si="287"/>
        <v>130446.12041156832</v>
      </c>
      <c r="H11729" s="389" t="s">
        <v>9567</v>
      </c>
      <c r="I11729" s="589"/>
      <c r="J11729" s="590"/>
    </row>
    <row r="11730" spans="1:10" x14ac:dyDescent="0.3">
      <c r="A11730" s="45">
        <v>45716</v>
      </c>
      <c r="B11730" s="763" t="s">
        <v>13379</v>
      </c>
      <c r="C11730" s="5" t="s">
        <v>84</v>
      </c>
      <c r="D11730" s="5" t="s">
        <v>15638</v>
      </c>
      <c r="E11730" s="43">
        <v>2000</v>
      </c>
      <c r="F11730" s="43"/>
      <c r="G11730" s="48">
        <f t="shared" si="287"/>
        <v>128446.12041156832</v>
      </c>
      <c r="H11730" s="389" t="s">
        <v>9567</v>
      </c>
      <c r="I11730" s="589"/>
      <c r="J11730" s="590"/>
    </row>
    <row r="11731" spans="1:10" x14ac:dyDescent="0.3">
      <c r="A11731" s="45">
        <v>45716</v>
      </c>
      <c r="B11731" s="765" t="s">
        <v>14524</v>
      </c>
      <c r="C11731" s="5" t="s">
        <v>11174</v>
      </c>
      <c r="D11731" s="5" t="s">
        <v>15640</v>
      </c>
      <c r="E11731" s="43">
        <v>47000</v>
      </c>
      <c r="F11731" s="43"/>
      <c r="G11731" s="48">
        <f t="shared" si="287"/>
        <v>81446.120411568321</v>
      </c>
      <c r="H11731" s="389" t="s">
        <v>9567</v>
      </c>
      <c r="I11731" s="589"/>
      <c r="J11731" s="590"/>
    </row>
    <row r="11732" spans="1:10" x14ac:dyDescent="0.3">
      <c r="A11732" s="45">
        <v>45716</v>
      </c>
      <c r="B11732" s="765" t="s">
        <v>14524</v>
      </c>
      <c r="C11732" s="5" t="s">
        <v>11174</v>
      </c>
      <c r="D11732" s="5" t="s">
        <v>15639</v>
      </c>
      <c r="E11732" s="43">
        <v>2000</v>
      </c>
      <c r="F11732" s="43"/>
      <c r="G11732" s="48">
        <f t="shared" si="287"/>
        <v>79446.120411568321</v>
      </c>
      <c r="H11732" s="389" t="s">
        <v>9567</v>
      </c>
      <c r="I11732" s="589"/>
      <c r="J11732" s="590"/>
    </row>
    <row r="11733" spans="1:10" x14ac:dyDescent="0.3">
      <c r="A11733" s="45">
        <v>45716</v>
      </c>
      <c r="B11733" s="765"/>
      <c r="C11733" s="5" t="s">
        <v>14</v>
      </c>
      <c r="D11733" s="5" t="s">
        <v>294</v>
      </c>
      <c r="E11733" s="43">
        <v>5000</v>
      </c>
      <c r="F11733" s="43"/>
      <c r="G11733" s="48">
        <f t="shared" si="287"/>
        <v>74446.120411568321</v>
      </c>
      <c r="H11733" s="389" t="s">
        <v>9567</v>
      </c>
      <c r="I11733" s="589"/>
      <c r="J11733" s="590"/>
    </row>
    <row r="11734" spans="1:10" x14ac:dyDescent="0.3">
      <c r="A11734" s="45">
        <v>45716</v>
      </c>
      <c r="B11734" s="766" t="s">
        <v>14590</v>
      </c>
      <c r="C11734" s="5" t="s">
        <v>84</v>
      </c>
      <c r="D11734" s="5" t="s">
        <v>15641</v>
      </c>
      <c r="E11734" s="43">
        <v>10000</v>
      </c>
      <c r="F11734" s="43"/>
      <c r="G11734" s="48">
        <f t="shared" si="287"/>
        <v>64446.120411568321</v>
      </c>
      <c r="H11734" s="389" t="s">
        <v>9567</v>
      </c>
      <c r="I11734" s="589"/>
      <c r="J11734" s="590"/>
    </row>
    <row r="11735" spans="1:10" x14ac:dyDescent="0.3">
      <c r="A11735" s="45">
        <v>45716</v>
      </c>
      <c r="B11735" s="765" t="s">
        <v>14590</v>
      </c>
      <c r="C11735" s="5" t="s">
        <v>4550</v>
      </c>
      <c r="D11735" s="5" t="s">
        <v>3910</v>
      </c>
      <c r="E11735" s="43">
        <v>10000</v>
      </c>
      <c r="F11735" s="43"/>
      <c r="G11735" s="48">
        <f t="shared" si="287"/>
        <v>54446.120411568321</v>
      </c>
      <c r="H11735" s="389" t="s">
        <v>9567</v>
      </c>
      <c r="I11735" s="589"/>
      <c r="J11735" s="590"/>
    </row>
    <row r="11736" spans="1:10" x14ac:dyDescent="0.3">
      <c r="A11736" s="45">
        <v>45716</v>
      </c>
      <c r="B11736" s="767" t="s">
        <v>14590</v>
      </c>
      <c r="C11736" s="5" t="s">
        <v>11174</v>
      </c>
      <c r="D11736" s="5" t="s">
        <v>15642</v>
      </c>
      <c r="E11736" s="43">
        <v>15870</v>
      </c>
      <c r="F11736" s="43"/>
      <c r="G11736" s="48">
        <f t="shared" si="287"/>
        <v>38576.120411568321</v>
      </c>
      <c r="H11736" s="389" t="s">
        <v>9567</v>
      </c>
      <c r="I11736" s="589"/>
      <c r="J11736" s="590"/>
    </row>
    <row r="11737" spans="1:10" x14ac:dyDescent="0.3">
      <c r="A11737" s="45">
        <v>45716</v>
      </c>
      <c r="B11737" s="767" t="s">
        <v>14524</v>
      </c>
      <c r="C11737" s="5" t="s">
        <v>11174</v>
      </c>
      <c r="D11737" s="5" t="s">
        <v>15643</v>
      </c>
      <c r="E11737" s="43">
        <v>3000</v>
      </c>
      <c r="F11737" s="43"/>
      <c r="G11737" s="48">
        <f t="shared" si="287"/>
        <v>35576.120411568321</v>
      </c>
      <c r="H11737" s="389" t="s">
        <v>9567</v>
      </c>
      <c r="I11737" s="589"/>
      <c r="J11737" s="590"/>
    </row>
    <row r="11738" spans="1:10" x14ac:dyDescent="0.3">
      <c r="A11738" s="45">
        <v>45717</v>
      </c>
      <c r="B11738" s="767" t="s">
        <v>14524</v>
      </c>
      <c r="C11738" s="5" t="s">
        <v>5793</v>
      </c>
      <c r="D11738" s="5" t="s">
        <v>40</v>
      </c>
      <c r="E11738" s="43">
        <v>1500</v>
      </c>
      <c r="F11738" s="43"/>
      <c r="G11738" s="48">
        <f t="shared" si="287"/>
        <v>34076.120411568321</v>
      </c>
      <c r="H11738" s="389" t="s">
        <v>9567</v>
      </c>
      <c r="I11738" s="589"/>
      <c r="J11738" s="590"/>
    </row>
    <row r="11739" spans="1:10" x14ac:dyDescent="0.3">
      <c r="A11739" s="45">
        <v>45717</v>
      </c>
      <c r="B11739" s="767" t="s">
        <v>13379</v>
      </c>
      <c r="C11739" s="5" t="s">
        <v>5793</v>
      </c>
      <c r="D11739" s="5" t="s">
        <v>40</v>
      </c>
      <c r="E11739" s="43">
        <v>1700</v>
      </c>
      <c r="F11739" s="43"/>
      <c r="G11739" s="48">
        <f t="shared" si="287"/>
        <v>32376.120411568321</v>
      </c>
      <c r="H11739" s="389" t="s">
        <v>9567</v>
      </c>
      <c r="I11739" s="589"/>
      <c r="J11739" s="590"/>
    </row>
    <row r="11740" spans="1:10" x14ac:dyDescent="0.3">
      <c r="A11740" s="45">
        <v>45717</v>
      </c>
      <c r="B11740" s="767" t="s">
        <v>25</v>
      </c>
      <c r="C11740" s="5" t="s">
        <v>26</v>
      </c>
      <c r="D11740" s="5" t="s">
        <v>11434</v>
      </c>
      <c r="E11740" s="43">
        <v>4000</v>
      </c>
      <c r="F11740" s="43"/>
      <c r="G11740" s="48">
        <f t="shared" si="287"/>
        <v>28376.120411568321</v>
      </c>
      <c r="H11740" s="389" t="s">
        <v>9567</v>
      </c>
      <c r="I11740" s="589"/>
      <c r="J11740" s="590"/>
    </row>
    <row r="11741" spans="1:10" x14ac:dyDescent="0.3">
      <c r="A11741" s="45">
        <v>45717</v>
      </c>
      <c r="B11741" s="767" t="s">
        <v>13833</v>
      </c>
      <c r="C11741" s="5" t="s">
        <v>26</v>
      </c>
      <c r="D11741" s="5" t="s">
        <v>15490</v>
      </c>
      <c r="E11741" s="43">
        <v>2000</v>
      </c>
      <c r="F11741" s="43"/>
      <c r="G11741" s="48">
        <f t="shared" si="287"/>
        <v>26376.120411568321</v>
      </c>
      <c r="H11741" s="389" t="s">
        <v>9567</v>
      </c>
      <c r="I11741" s="589"/>
      <c r="J11741" s="590"/>
    </row>
    <row r="11742" spans="1:10" x14ac:dyDescent="0.3">
      <c r="A11742" s="45">
        <v>45717</v>
      </c>
      <c r="B11742" s="767" t="s">
        <v>15623</v>
      </c>
      <c r="C11742" s="5" t="s">
        <v>5793</v>
      </c>
      <c r="D11742" s="5" t="s">
        <v>40</v>
      </c>
      <c r="E11742" s="43">
        <v>1500</v>
      </c>
      <c r="F11742" s="43"/>
      <c r="G11742" s="48">
        <f t="shared" si="287"/>
        <v>24876.120411568321</v>
      </c>
      <c r="H11742" s="389" t="s">
        <v>9567</v>
      </c>
      <c r="I11742" s="589"/>
      <c r="J11742" s="590"/>
    </row>
    <row r="11743" spans="1:10" x14ac:dyDescent="0.3">
      <c r="A11743" s="45">
        <v>45717</v>
      </c>
      <c r="B11743" s="767" t="s">
        <v>14524</v>
      </c>
      <c r="C11743" s="5" t="s">
        <v>11174</v>
      </c>
      <c r="D11743" s="5" t="s">
        <v>15644</v>
      </c>
      <c r="E11743" s="43">
        <v>11880</v>
      </c>
      <c r="F11743" s="43"/>
      <c r="G11743" s="48">
        <f t="shared" si="287"/>
        <v>12996.120411568321</v>
      </c>
      <c r="H11743" s="389" t="s">
        <v>9567</v>
      </c>
      <c r="I11743" s="589"/>
      <c r="J11743" s="590"/>
    </row>
    <row r="11744" spans="1:10" x14ac:dyDescent="0.3">
      <c r="A11744" s="45">
        <v>45717</v>
      </c>
      <c r="B11744" s="768" t="s">
        <v>14524</v>
      </c>
      <c r="C11744" s="5" t="s">
        <v>5793</v>
      </c>
      <c r="D11744" s="5" t="s">
        <v>40</v>
      </c>
      <c r="E11744" s="43">
        <v>1000</v>
      </c>
      <c r="F11744" s="43"/>
      <c r="G11744" s="48">
        <f t="shared" si="287"/>
        <v>11996.120411568321</v>
      </c>
      <c r="H11744" s="389" t="s">
        <v>9567</v>
      </c>
      <c r="I11744" s="589"/>
      <c r="J11744" s="590"/>
    </row>
    <row r="11745" spans="1:10" x14ac:dyDescent="0.3">
      <c r="A11745" s="45">
        <v>45717</v>
      </c>
      <c r="B11745" s="767" t="s">
        <v>13379</v>
      </c>
      <c r="C11745" s="5" t="s">
        <v>5793</v>
      </c>
      <c r="D11745" s="5" t="s">
        <v>40</v>
      </c>
      <c r="E11745" s="43">
        <v>460</v>
      </c>
      <c r="F11745" s="43"/>
      <c r="G11745" s="48">
        <f t="shared" si="287"/>
        <v>11536.120411568321</v>
      </c>
      <c r="H11745" s="389" t="s">
        <v>9567</v>
      </c>
      <c r="I11745" s="589"/>
      <c r="J11745" s="590"/>
    </row>
    <row r="11746" spans="1:10" x14ac:dyDescent="0.3">
      <c r="A11746" s="45">
        <v>45719</v>
      </c>
      <c r="B11746" s="767" t="s">
        <v>14524</v>
      </c>
      <c r="C11746" s="5" t="s">
        <v>5793</v>
      </c>
      <c r="D11746" s="5" t="s">
        <v>40</v>
      </c>
      <c r="E11746" s="43">
        <v>300</v>
      </c>
      <c r="F11746" s="43"/>
      <c r="G11746" s="48">
        <f t="shared" si="287"/>
        <v>11236.120411568321</v>
      </c>
      <c r="H11746" s="389" t="s">
        <v>9567</v>
      </c>
      <c r="I11746" s="589"/>
      <c r="J11746" s="590"/>
    </row>
    <row r="11747" spans="1:10" x14ac:dyDescent="0.3">
      <c r="A11747" s="45">
        <v>45720</v>
      </c>
      <c r="B11747" s="565"/>
      <c r="C11747" s="480"/>
      <c r="D11747" s="491" t="s">
        <v>15651</v>
      </c>
      <c r="E11747" s="480"/>
      <c r="F11747" s="43">
        <v>1000000</v>
      </c>
      <c r="G11747" s="48">
        <f t="shared" ref="G11747:G11939" si="289">G11746+F11747-E11747</f>
        <v>1011236.1204115683</v>
      </c>
      <c r="H11747" s="389" t="s">
        <v>9567</v>
      </c>
      <c r="I11747" s="589"/>
      <c r="J11747" s="590"/>
    </row>
    <row r="11748" spans="1:10" x14ac:dyDescent="0.3">
      <c r="A11748" s="45">
        <v>45720</v>
      </c>
      <c r="B11748" s="772" t="s">
        <v>13833</v>
      </c>
      <c r="C11748" s="5" t="s">
        <v>11174</v>
      </c>
      <c r="D11748" s="5" t="s">
        <v>15645</v>
      </c>
      <c r="E11748" s="43">
        <v>2600</v>
      </c>
      <c r="F11748" s="43"/>
      <c r="G11748" s="48">
        <f t="shared" si="289"/>
        <v>1008636.1204115683</v>
      </c>
      <c r="H11748" s="389" t="s">
        <v>9567</v>
      </c>
      <c r="I11748" s="589"/>
      <c r="J11748" s="590"/>
    </row>
    <row r="11749" spans="1:10" x14ac:dyDescent="0.3">
      <c r="A11749" s="45">
        <v>45720</v>
      </c>
      <c r="B11749" s="770" t="s">
        <v>14031</v>
      </c>
      <c r="C11749" s="5" t="s">
        <v>9451</v>
      </c>
      <c r="D11749" s="5" t="s">
        <v>15646</v>
      </c>
      <c r="E11749" s="43">
        <v>16000</v>
      </c>
      <c r="F11749" s="43"/>
      <c r="G11749" s="48">
        <f t="shared" si="289"/>
        <v>992636.12041156832</v>
      </c>
      <c r="H11749" s="389" t="s">
        <v>9567</v>
      </c>
      <c r="I11749" s="589"/>
      <c r="J11749" s="590"/>
    </row>
    <row r="11750" spans="1:10" x14ac:dyDescent="0.3">
      <c r="A11750" s="45">
        <v>45720</v>
      </c>
      <c r="B11750" s="770" t="s">
        <v>25</v>
      </c>
      <c r="C11750" s="5" t="s">
        <v>26</v>
      </c>
      <c r="D11750" s="5" t="s">
        <v>11434</v>
      </c>
      <c r="E11750" s="43">
        <v>4000</v>
      </c>
      <c r="F11750" s="43"/>
      <c r="G11750" s="48">
        <f t="shared" si="289"/>
        <v>988636.12041156832</v>
      </c>
      <c r="H11750" s="389" t="s">
        <v>9567</v>
      </c>
      <c r="I11750" s="589"/>
      <c r="J11750" s="590"/>
    </row>
    <row r="11751" spans="1:10" x14ac:dyDescent="0.3">
      <c r="A11751" s="45">
        <v>45720</v>
      </c>
      <c r="B11751" s="769" t="s">
        <v>25</v>
      </c>
      <c r="C11751" s="186" t="s">
        <v>54</v>
      </c>
      <c r="D11751" s="186" t="s">
        <v>1378</v>
      </c>
      <c r="E11751" s="187">
        <v>7000</v>
      </c>
      <c r="F11751" s="43"/>
      <c r="G11751" s="48">
        <f t="shared" si="289"/>
        <v>981636.12041156832</v>
      </c>
      <c r="H11751" s="389" t="s">
        <v>9567</v>
      </c>
      <c r="I11751" s="589"/>
      <c r="J11751" s="590"/>
    </row>
    <row r="11752" spans="1:10" x14ac:dyDescent="0.3">
      <c r="A11752" s="45">
        <v>45720</v>
      </c>
      <c r="B11752" s="784" t="s">
        <v>15162</v>
      </c>
      <c r="C11752" s="5" t="s">
        <v>26</v>
      </c>
      <c r="D11752" s="5" t="s">
        <v>15647</v>
      </c>
      <c r="E11752" s="43">
        <v>35000</v>
      </c>
      <c r="F11752" s="43"/>
      <c r="G11752" s="48">
        <f t="shared" si="289"/>
        <v>946636.12041156832</v>
      </c>
      <c r="H11752" s="389" t="s">
        <v>9567</v>
      </c>
      <c r="I11752" s="589"/>
      <c r="J11752" s="590"/>
    </row>
    <row r="11753" spans="1:10" x14ac:dyDescent="0.3">
      <c r="A11753" s="45">
        <v>45720</v>
      </c>
      <c r="B11753" s="769" t="s">
        <v>25</v>
      </c>
      <c r="C11753" s="186" t="s">
        <v>54</v>
      </c>
      <c r="D11753" s="186" t="s">
        <v>15489</v>
      </c>
      <c r="E11753" s="187">
        <v>46460</v>
      </c>
      <c r="F11753" s="43"/>
      <c r="G11753" s="48">
        <f t="shared" si="289"/>
        <v>900176.12041156832</v>
      </c>
      <c r="H11753" s="389" t="s">
        <v>9567</v>
      </c>
      <c r="I11753" s="589"/>
      <c r="J11753" s="590"/>
    </row>
    <row r="11754" spans="1:10" x14ac:dyDescent="0.3">
      <c r="A11754" s="45">
        <v>45720</v>
      </c>
      <c r="B11754" s="769" t="s">
        <v>25</v>
      </c>
      <c r="C11754" s="186" t="s">
        <v>54</v>
      </c>
      <c r="D11754" s="186" t="s">
        <v>15648</v>
      </c>
      <c r="E11754" s="187">
        <v>50870</v>
      </c>
      <c r="F11754" s="43"/>
      <c r="G11754" s="48">
        <f t="shared" si="289"/>
        <v>849306.12041156832</v>
      </c>
      <c r="H11754" s="389" t="s">
        <v>9567</v>
      </c>
      <c r="I11754" s="589"/>
      <c r="J11754" s="590"/>
    </row>
    <row r="11755" spans="1:10" x14ac:dyDescent="0.3">
      <c r="A11755" s="45">
        <v>45720</v>
      </c>
      <c r="B11755" s="770" t="s">
        <v>12080</v>
      </c>
      <c r="C11755" s="5" t="s">
        <v>26</v>
      </c>
      <c r="D11755" s="5" t="s">
        <v>5915</v>
      </c>
      <c r="E11755" s="43">
        <v>3000</v>
      </c>
      <c r="F11755" s="43"/>
      <c r="G11755" s="48">
        <f t="shared" si="289"/>
        <v>846306.12041156832</v>
      </c>
      <c r="H11755" s="389" t="s">
        <v>9567</v>
      </c>
      <c r="I11755" s="589"/>
      <c r="J11755" s="590"/>
    </row>
    <row r="11756" spans="1:10" x14ac:dyDescent="0.3">
      <c r="A11756" s="45">
        <v>45720</v>
      </c>
      <c r="B11756" s="770" t="s">
        <v>12080</v>
      </c>
      <c r="C11756" s="5" t="s">
        <v>26</v>
      </c>
      <c r="D11756" s="5" t="s">
        <v>15649</v>
      </c>
      <c r="E11756" s="43">
        <v>2000</v>
      </c>
      <c r="F11756" s="43"/>
      <c r="G11756" s="48">
        <f t="shared" si="289"/>
        <v>844306.12041156832</v>
      </c>
      <c r="H11756" s="389" t="s">
        <v>9567</v>
      </c>
      <c r="I11756" s="589"/>
      <c r="J11756" s="590"/>
    </row>
    <row r="11757" spans="1:10" x14ac:dyDescent="0.3">
      <c r="A11757" s="45">
        <v>45720</v>
      </c>
      <c r="B11757" s="769" t="s">
        <v>12055</v>
      </c>
      <c r="C11757" s="186" t="s">
        <v>54</v>
      </c>
      <c r="D11757" s="186" t="s">
        <v>6236</v>
      </c>
      <c r="E11757" s="187">
        <v>167424.10714285713</v>
      </c>
      <c r="F11757" s="43"/>
      <c r="G11757" s="48">
        <f t="shared" si="289"/>
        <v>676882.01326871116</v>
      </c>
      <c r="H11757" s="389" t="s">
        <v>9567</v>
      </c>
      <c r="I11757" s="589"/>
      <c r="J11757" s="590"/>
    </row>
    <row r="11758" spans="1:10" x14ac:dyDescent="0.3">
      <c r="A11758" s="45">
        <v>45720</v>
      </c>
      <c r="B11758" s="769" t="s">
        <v>12080</v>
      </c>
      <c r="C11758" s="186" t="s">
        <v>54</v>
      </c>
      <c r="D11758" s="186" t="s">
        <v>12746</v>
      </c>
      <c r="E11758" s="187">
        <v>215792.41071428571</v>
      </c>
      <c r="F11758" s="43"/>
      <c r="G11758" s="48">
        <f t="shared" si="289"/>
        <v>461089.60255442548</v>
      </c>
      <c r="H11758" s="389" t="s">
        <v>9567</v>
      </c>
      <c r="I11758" s="589"/>
      <c r="J11758" s="590"/>
    </row>
    <row r="11759" spans="1:10" x14ac:dyDescent="0.3">
      <c r="A11759" s="45">
        <v>45720</v>
      </c>
      <c r="B11759" s="769" t="s">
        <v>25</v>
      </c>
      <c r="C11759" s="186" t="s">
        <v>54</v>
      </c>
      <c r="D11759" s="186" t="s">
        <v>15251</v>
      </c>
      <c r="E11759" s="187">
        <v>22000</v>
      </c>
      <c r="F11759" s="43"/>
      <c r="G11759" s="48">
        <f t="shared" si="289"/>
        <v>439089.60255442548</v>
      </c>
      <c r="H11759" s="389" t="s">
        <v>9567</v>
      </c>
      <c r="I11759" s="589"/>
      <c r="J11759" s="590"/>
    </row>
    <row r="11760" spans="1:10" x14ac:dyDescent="0.3">
      <c r="A11760" s="45">
        <v>45720</v>
      </c>
      <c r="B11760" s="770" t="s">
        <v>25</v>
      </c>
      <c r="C11760" s="5" t="s">
        <v>26</v>
      </c>
      <c r="D11760" s="5" t="s">
        <v>14831</v>
      </c>
      <c r="E11760" s="43">
        <v>2500</v>
      </c>
      <c r="F11760" s="43"/>
      <c r="G11760" s="48">
        <f t="shared" si="289"/>
        <v>436589.60255442548</v>
      </c>
      <c r="H11760" s="389" t="s">
        <v>9567</v>
      </c>
      <c r="I11760" s="589"/>
      <c r="J11760" s="590"/>
    </row>
    <row r="11761" spans="1:10" x14ac:dyDescent="0.3">
      <c r="A11761" s="45">
        <v>45720</v>
      </c>
      <c r="B11761" s="770" t="s">
        <v>14701</v>
      </c>
      <c r="C11761" s="5" t="s">
        <v>26</v>
      </c>
      <c r="D11761" s="5" t="s">
        <v>15650</v>
      </c>
      <c r="E11761" s="43">
        <v>1000</v>
      </c>
      <c r="F11761" s="43"/>
      <c r="G11761" s="48">
        <f t="shared" si="289"/>
        <v>435589.60255442548</v>
      </c>
      <c r="H11761" s="389" t="s">
        <v>9567</v>
      </c>
      <c r="I11761" s="589"/>
      <c r="J11761" s="590"/>
    </row>
    <row r="11762" spans="1:10" x14ac:dyDescent="0.3">
      <c r="A11762" s="45">
        <v>45720</v>
      </c>
      <c r="B11762" s="565"/>
      <c r="C11762" s="480"/>
      <c r="D11762" s="491" t="s">
        <v>12269</v>
      </c>
      <c r="E11762" s="480"/>
      <c r="F11762" s="43">
        <v>400000</v>
      </c>
      <c r="G11762" s="48">
        <f t="shared" si="289"/>
        <v>835589.60255442548</v>
      </c>
      <c r="H11762" s="389" t="s">
        <v>9567</v>
      </c>
      <c r="I11762" s="589"/>
      <c r="J11762" s="590"/>
    </row>
    <row r="11763" spans="1:10" x14ac:dyDescent="0.3">
      <c r="A11763" s="45">
        <v>45721</v>
      </c>
      <c r="B11763" s="767" t="s">
        <v>13833</v>
      </c>
      <c r="C11763" s="5" t="s">
        <v>5793</v>
      </c>
      <c r="D11763" s="5" t="s">
        <v>40</v>
      </c>
      <c r="E11763" s="43">
        <v>1000</v>
      </c>
      <c r="F11763" s="43"/>
      <c r="G11763" s="48">
        <f t="shared" si="289"/>
        <v>834589.60255442548</v>
      </c>
      <c r="H11763" s="389" t="s">
        <v>9567</v>
      </c>
      <c r="I11763" s="589"/>
      <c r="J11763" s="590"/>
    </row>
    <row r="11764" spans="1:10" x14ac:dyDescent="0.3">
      <c r="A11764" s="45">
        <v>45721</v>
      </c>
      <c r="B11764" s="756" t="s">
        <v>14524</v>
      </c>
      <c r="C11764" s="5" t="s">
        <v>5793</v>
      </c>
      <c r="D11764" s="5" t="s">
        <v>40</v>
      </c>
      <c r="E11764" s="43">
        <v>600</v>
      </c>
      <c r="F11764" s="43"/>
      <c r="G11764" s="48">
        <f t="shared" si="289"/>
        <v>833989.60255442548</v>
      </c>
      <c r="H11764" s="389" t="s">
        <v>9567</v>
      </c>
      <c r="I11764" s="589"/>
      <c r="J11764" s="590"/>
    </row>
    <row r="11765" spans="1:10" x14ac:dyDescent="0.3">
      <c r="A11765" s="45">
        <v>45721</v>
      </c>
      <c r="B11765" s="746" t="s">
        <v>14031</v>
      </c>
      <c r="C11765" s="5" t="s">
        <v>11174</v>
      </c>
      <c r="D11765" s="5" t="s">
        <v>15652</v>
      </c>
      <c r="E11765" s="43">
        <v>14140</v>
      </c>
      <c r="F11765" s="43"/>
      <c r="G11765" s="48">
        <f t="shared" si="289"/>
        <v>819849.60255442548</v>
      </c>
      <c r="H11765" s="389" t="s">
        <v>9567</v>
      </c>
      <c r="I11765" s="589"/>
      <c r="J11765" s="590"/>
    </row>
    <row r="11766" spans="1:10" x14ac:dyDescent="0.3">
      <c r="A11766" s="45">
        <v>45721</v>
      </c>
      <c r="B11766" s="724" t="s">
        <v>10319</v>
      </c>
      <c r="C11766" s="5" t="s">
        <v>30</v>
      </c>
      <c r="D11766" s="5" t="s">
        <v>15653</v>
      </c>
      <c r="E11766" s="43">
        <v>3000</v>
      </c>
      <c r="F11766" s="43"/>
      <c r="G11766" s="48">
        <f t="shared" si="289"/>
        <v>816849.60255442548</v>
      </c>
      <c r="H11766" s="389" t="s">
        <v>9567</v>
      </c>
      <c r="I11766" s="52">
        <v>2600</v>
      </c>
    </row>
    <row r="11767" spans="1:10" x14ac:dyDescent="0.3">
      <c r="A11767" s="45">
        <v>45721</v>
      </c>
      <c r="B11767" s="772" t="s">
        <v>25</v>
      </c>
      <c r="C11767" s="5" t="s">
        <v>1074</v>
      </c>
      <c r="D11767" s="5" t="s">
        <v>6234</v>
      </c>
      <c r="E11767" s="43">
        <v>820</v>
      </c>
      <c r="F11767" s="43"/>
      <c r="G11767" s="48">
        <f t="shared" si="289"/>
        <v>816029.60255442548</v>
      </c>
      <c r="H11767" s="389" t="s">
        <v>9567</v>
      </c>
    </row>
    <row r="11768" spans="1:10" x14ac:dyDescent="0.3">
      <c r="A11768" s="45">
        <v>45721</v>
      </c>
      <c r="B11768" s="781" t="s">
        <v>12230</v>
      </c>
      <c r="C11768" s="5" t="s">
        <v>1074</v>
      </c>
      <c r="D11768" s="5" t="s">
        <v>6234</v>
      </c>
      <c r="E11768" s="43">
        <v>910</v>
      </c>
      <c r="F11768" s="43"/>
      <c r="G11768" s="48">
        <f t="shared" si="289"/>
        <v>815119.60255442548</v>
      </c>
      <c r="H11768" s="389" t="s">
        <v>9567</v>
      </c>
    </row>
    <row r="11769" spans="1:10" x14ac:dyDescent="0.3">
      <c r="A11769" s="45">
        <v>45721</v>
      </c>
      <c r="B11769" s="781"/>
      <c r="C11769" s="5" t="s">
        <v>14</v>
      </c>
      <c r="D11769" s="5" t="s">
        <v>6234</v>
      </c>
      <c r="E11769" s="43">
        <v>790</v>
      </c>
      <c r="F11769" s="43"/>
      <c r="G11769" s="48">
        <f t="shared" si="289"/>
        <v>814329.60255442548</v>
      </c>
      <c r="H11769" s="389" t="s">
        <v>9567</v>
      </c>
    </row>
    <row r="11770" spans="1:10" x14ac:dyDescent="0.3">
      <c r="A11770" s="45">
        <v>45721</v>
      </c>
      <c r="B11770" s="772" t="s">
        <v>15656</v>
      </c>
      <c r="C11770" s="5" t="s">
        <v>11174</v>
      </c>
      <c r="D11770" s="5" t="s">
        <v>15654</v>
      </c>
      <c r="E11770" s="43">
        <v>29800</v>
      </c>
      <c r="F11770" s="43"/>
      <c r="G11770" s="48">
        <f t="shared" si="289"/>
        <v>784529.60255442548</v>
      </c>
      <c r="H11770" s="389" t="s">
        <v>9567</v>
      </c>
      <c r="I11770" s="52">
        <v>1000</v>
      </c>
    </row>
    <row r="11771" spans="1:10" x14ac:dyDescent="0.3">
      <c r="A11771" s="45">
        <v>45721</v>
      </c>
      <c r="B11771" s="772" t="s">
        <v>12133</v>
      </c>
      <c r="C11771" s="5" t="s">
        <v>11174</v>
      </c>
      <c r="D11771" s="5" t="s">
        <v>15655</v>
      </c>
      <c r="E11771" s="43">
        <v>900</v>
      </c>
      <c r="F11771" s="43"/>
      <c r="G11771" s="48">
        <f t="shared" si="289"/>
        <v>783629.60255442548</v>
      </c>
      <c r="H11771" s="389" t="s">
        <v>9567</v>
      </c>
      <c r="I11771" s="52">
        <f>SUM(I11766:I11770)</f>
        <v>3600</v>
      </c>
    </row>
    <row r="11772" spans="1:10" x14ac:dyDescent="0.3">
      <c r="A11772" s="45">
        <v>45721</v>
      </c>
      <c r="B11772" s="771" t="s">
        <v>13946</v>
      </c>
      <c r="C11772" s="186" t="s">
        <v>54</v>
      </c>
      <c r="D11772" s="186" t="s">
        <v>13166</v>
      </c>
      <c r="E11772" s="187">
        <v>52300</v>
      </c>
      <c r="F11772" s="43"/>
      <c r="G11772" s="48">
        <f t="shared" si="289"/>
        <v>731329.60255442548</v>
      </c>
      <c r="H11772" s="389" t="s">
        <v>9567</v>
      </c>
    </row>
    <row r="11773" spans="1:10" x14ac:dyDescent="0.3">
      <c r="A11773" s="45">
        <v>45721</v>
      </c>
      <c r="B11773" s="771" t="s">
        <v>15494</v>
      </c>
      <c r="C11773" s="186" t="s">
        <v>54</v>
      </c>
      <c r="D11773" s="186" t="s">
        <v>13793</v>
      </c>
      <c r="E11773" s="187">
        <v>70000</v>
      </c>
      <c r="F11773" s="43"/>
      <c r="G11773" s="48">
        <f t="shared" si="289"/>
        <v>661329.60255442548</v>
      </c>
      <c r="H11773" s="389" t="s">
        <v>9567</v>
      </c>
    </row>
    <row r="11774" spans="1:10" x14ac:dyDescent="0.3">
      <c r="A11774" s="45">
        <v>45721</v>
      </c>
      <c r="B11774" s="772"/>
      <c r="C11774" s="5" t="s">
        <v>14</v>
      </c>
      <c r="D11774" s="5" t="s">
        <v>294</v>
      </c>
      <c r="E11774" s="43">
        <v>58000</v>
      </c>
      <c r="F11774" s="43"/>
      <c r="G11774" s="48">
        <f t="shared" si="289"/>
        <v>603329.60255442548</v>
      </c>
      <c r="H11774" s="389" t="s">
        <v>9567</v>
      </c>
    </row>
    <row r="11775" spans="1:10" x14ac:dyDescent="0.3">
      <c r="A11775" s="45">
        <v>45721</v>
      </c>
      <c r="B11775" s="771" t="s">
        <v>14524</v>
      </c>
      <c r="C11775" s="186" t="s">
        <v>54</v>
      </c>
      <c r="D11775" s="186" t="s">
        <v>15289</v>
      </c>
      <c r="E11775" s="187">
        <v>45000</v>
      </c>
      <c r="F11775" s="43"/>
      <c r="G11775" s="48">
        <f t="shared" si="289"/>
        <v>558329.60255442548</v>
      </c>
      <c r="H11775" s="389" t="s">
        <v>9567</v>
      </c>
    </row>
    <row r="11776" spans="1:10" x14ac:dyDescent="0.3">
      <c r="A11776" s="45">
        <v>45721</v>
      </c>
      <c r="B11776" s="771" t="s">
        <v>14590</v>
      </c>
      <c r="C11776" s="186" t="s">
        <v>54</v>
      </c>
      <c r="D11776" s="186" t="s">
        <v>15657</v>
      </c>
      <c r="E11776" s="187">
        <v>178930</v>
      </c>
      <c r="F11776" s="43"/>
      <c r="G11776" s="48">
        <f t="shared" si="289"/>
        <v>379399.60255442548</v>
      </c>
      <c r="H11776" s="389" t="s">
        <v>9567</v>
      </c>
    </row>
    <row r="11777" spans="1:10" x14ac:dyDescent="0.3">
      <c r="A11777" s="45">
        <v>45721</v>
      </c>
      <c r="B11777" s="771" t="s">
        <v>13833</v>
      </c>
      <c r="C11777" s="186" t="s">
        <v>54</v>
      </c>
      <c r="D11777" s="186" t="s">
        <v>15658</v>
      </c>
      <c r="E11777" s="187">
        <v>76150</v>
      </c>
      <c r="F11777" s="43"/>
      <c r="G11777" s="48">
        <f t="shared" si="289"/>
        <v>303249.60255442548</v>
      </c>
      <c r="H11777" s="389" t="s">
        <v>9567</v>
      </c>
    </row>
    <row r="11778" spans="1:10" x14ac:dyDescent="0.3">
      <c r="A11778" s="45">
        <v>45721</v>
      </c>
      <c r="B11778" s="772" t="s">
        <v>25</v>
      </c>
      <c r="C11778" s="5" t="s">
        <v>4400</v>
      </c>
      <c r="D11778" s="5" t="s">
        <v>15659</v>
      </c>
      <c r="E11778" s="43">
        <v>11330</v>
      </c>
      <c r="F11778" s="43"/>
      <c r="G11778" s="48">
        <f t="shared" si="289"/>
        <v>291919.60255442548</v>
      </c>
      <c r="H11778" s="389" t="s">
        <v>9567</v>
      </c>
    </row>
    <row r="11779" spans="1:10" x14ac:dyDescent="0.3">
      <c r="A11779" s="45">
        <v>45721</v>
      </c>
      <c r="B11779" s="771" t="s">
        <v>12080</v>
      </c>
      <c r="C11779" s="186" t="s">
        <v>54</v>
      </c>
      <c r="D11779" s="186" t="s">
        <v>15660</v>
      </c>
      <c r="E11779" s="187">
        <v>3000</v>
      </c>
      <c r="F11779" s="43"/>
      <c r="G11779" s="48">
        <f t="shared" si="289"/>
        <v>288919.60255442548</v>
      </c>
      <c r="H11779" s="389" t="s">
        <v>9567</v>
      </c>
    </row>
    <row r="11780" spans="1:10" x14ac:dyDescent="0.3">
      <c r="A11780" s="45">
        <v>45721</v>
      </c>
      <c r="B11780" s="774" t="s">
        <v>13379</v>
      </c>
      <c r="C11780" s="5" t="s">
        <v>5793</v>
      </c>
      <c r="D11780" s="5" t="s">
        <v>40</v>
      </c>
      <c r="E11780" s="43">
        <v>1000</v>
      </c>
      <c r="F11780" s="43"/>
      <c r="G11780" s="48">
        <f t="shared" si="289"/>
        <v>287919.60255442548</v>
      </c>
      <c r="H11780" s="389" t="s">
        <v>9567</v>
      </c>
    </row>
    <row r="11781" spans="1:10" x14ac:dyDescent="0.3">
      <c r="A11781" s="45">
        <v>45721</v>
      </c>
      <c r="B11781" s="771" t="s">
        <v>13138</v>
      </c>
      <c r="C11781" s="186" t="s">
        <v>54</v>
      </c>
      <c r="D11781" s="186" t="s">
        <v>15661</v>
      </c>
      <c r="E11781" s="187">
        <v>106480</v>
      </c>
      <c r="F11781" s="43"/>
      <c r="G11781" s="48">
        <f t="shared" si="289"/>
        <v>181439.60255442548</v>
      </c>
      <c r="H11781" s="389" t="s">
        <v>9567</v>
      </c>
    </row>
    <row r="11782" spans="1:10" x14ac:dyDescent="0.3">
      <c r="A11782" s="45">
        <v>45721</v>
      </c>
      <c r="B11782" s="774" t="s">
        <v>15146</v>
      </c>
      <c r="C11782" s="5" t="s">
        <v>11174</v>
      </c>
      <c r="D11782" s="5" t="s">
        <v>15662</v>
      </c>
      <c r="E11782" s="43">
        <v>4300</v>
      </c>
      <c r="F11782" s="43"/>
      <c r="G11782" s="48">
        <f t="shared" si="289"/>
        <v>177139.60255442548</v>
      </c>
      <c r="H11782" s="389" t="s">
        <v>9567</v>
      </c>
    </row>
    <row r="11783" spans="1:10" x14ac:dyDescent="0.3">
      <c r="A11783" s="45">
        <v>45721</v>
      </c>
      <c r="B11783" s="773" t="s">
        <v>25</v>
      </c>
      <c r="C11783" s="186" t="s">
        <v>54</v>
      </c>
      <c r="D11783" s="186" t="s">
        <v>15465</v>
      </c>
      <c r="E11783" s="187">
        <v>87000</v>
      </c>
      <c r="F11783" s="43"/>
      <c r="G11783" s="48">
        <f t="shared" si="289"/>
        <v>90139.602554425481</v>
      </c>
      <c r="H11783" s="389" t="s">
        <v>9567</v>
      </c>
    </row>
    <row r="11784" spans="1:10" x14ac:dyDescent="0.3">
      <c r="A11784" s="45">
        <v>45721</v>
      </c>
      <c r="B11784" s="773" t="s">
        <v>13379</v>
      </c>
      <c r="C11784" s="186" t="s">
        <v>54</v>
      </c>
      <c r="D11784" s="186" t="s">
        <v>15663</v>
      </c>
      <c r="E11784" s="187">
        <v>38780</v>
      </c>
      <c r="F11784" s="43"/>
      <c r="G11784" s="48">
        <f t="shared" si="289"/>
        <v>51359.602554425481</v>
      </c>
      <c r="H11784" s="389" t="s">
        <v>9567</v>
      </c>
    </row>
    <row r="11785" spans="1:10" x14ac:dyDescent="0.3">
      <c r="A11785" s="45">
        <v>45721</v>
      </c>
      <c r="B11785" s="774" t="s">
        <v>13379</v>
      </c>
      <c r="C11785" s="5" t="s">
        <v>84</v>
      </c>
      <c r="D11785" s="5" t="s">
        <v>15664</v>
      </c>
      <c r="E11785" s="43">
        <v>1000</v>
      </c>
      <c r="F11785" s="43"/>
      <c r="G11785" s="48">
        <f t="shared" si="289"/>
        <v>50359.602554425481</v>
      </c>
      <c r="H11785" s="389" t="s">
        <v>9567</v>
      </c>
    </row>
    <row r="11786" spans="1:10" x14ac:dyDescent="0.3">
      <c r="A11786" s="45">
        <v>45721</v>
      </c>
      <c r="B11786" s="774" t="s">
        <v>13902</v>
      </c>
      <c r="C11786" s="5" t="s">
        <v>30</v>
      </c>
      <c r="D11786" s="5" t="s">
        <v>15665</v>
      </c>
      <c r="E11786" s="43">
        <v>1950</v>
      </c>
      <c r="F11786" s="43"/>
      <c r="G11786" s="48">
        <f t="shared" si="289"/>
        <v>48409.602554425481</v>
      </c>
      <c r="H11786" s="389" t="s">
        <v>9567</v>
      </c>
    </row>
    <row r="11787" spans="1:10" x14ac:dyDescent="0.3">
      <c r="A11787" s="45">
        <v>45722</v>
      </c>
      <c r="B11787" s="775" t="s">
        <v>12133</v>
      </c>
      <c r="C11787" s="5" t="s">
        <v>11174</v>
      </c>
      <c r="D11787" s="5" t="s">
        <v>15666</v>
      </c>
      <c r="E11787" s="43">
        <v>1500</v>
      </c>
      <c r="F11787" s="43"/>
      <c r="G11787" s="48">
        <f t="shared" si="289"/>
        <v>46909.602554425481</v>
      </c>
      <c r="H11787" s="389" t="s">
        <v>9567</v>
      </c>
    </row>
    <row r="11788" spans="1:10" x14ac:dyDescent="0.3">
      <c r="A11788" s="45">
        <v>45722</v>
      </c>
      <c r="B11788" s="775" t="s">
        <v>12133</v>
      </c>
      <c r="C11788" s="5" t="s">
        <v>5793</v>
      </c>
      <c r="D11788" s="5" t="s">
        <v>40</v>
      </c>
      <c r="E11788" s="43">
        <v>700</v>
      </c>
      <c r="F11788" s="43"/>
      <c r="G11788" s="48">
        <f t="shared" si="289"/>
        <v>46209.602554425481</v>
      </c>
      <c r="H11788" s="389" t="s">
        <v>9567</v>
      </c>
    </row>
    <row r="11789" spans="1:10" x14ac:dyDescent="0.3">
      <c r="A11789" s="45">
        <v>45722</v>
      </c>
      <c r="B11789" s="777" t="s">
        <v>15558</v>
      </c>
      <c r="C11789" s="5" t="s">
        <v>5793</v>
      </c>
      <c r="D11789" s="5" t="s">
        <v>55</v>
      </c>
      <c r="E11789" s="43">
        <v>1800</v>
      </c>
      <c r="F11789" s="43"/>
      <c r="G11789" s="48">
        <f t="shared" si="289"/>
        <v>44409.602554425481</v>
      </c>
      <c r="H11789" s="389" t="s">
        <v>9567</v>
      </c>
    </row>
    <row r="11790" spans="1:10" x14ac:dyDescent="0.3">
      <c r="A11790" s="45">
        <v>45722</v>
      </c>
      <c r="B11790" s="777" t="s">
        <v>14248</v>
      </c>
      <c r="C11790" s="5" t="s">
        <v>5793</v>
      </c>
      <c r="D11790" s="5" t="s">
        <v>55</v>
      </c>
      <c r="E11790" s="43">
        <v>2400</v>
      </c>
      <c r="F11790" s="43"/>
      <c r="G11790" s="48">
        <f t="shared" si="289"/>
        <v>42009.602554425481</v>
      </c>
      <c r="H11790" s="389" t="s">
        <v>9567</v>
      </c>
    </row>
    <row r="11791" spans="1:10" x14ac:dyDescent="0.3">
      <c r="A11791" s="45">
        <v>45722</v>
      </c>
      <c r="B11791" s="565"/>
      <c r="C11791" s="480"/>
      <c r="D11791" s="491" t="s">
        <v>11014</v>
      </c>
      <c r="E11791" s="480"/>
      <c r="F11791" s="43">
        <v>1000000</v>
      </c>
      <c r="G11791" s="48">
        <f t="shared" si="289"/>
        <v>1042009.6025544255</v>
      </c>
      <c r="H11791" s="389" t="s">
        <v>9567</v>
      </c>
      <c r="I11791" s="589"/>
      <c r="J11791" s="590"/>
    </row>
    <row r="11792" spans="1:10" x14ac:dyDescent="0.3">
      <c r="A11792" s="45">
        <v>45722</v>
      </c>
      <c r="B11792" s="776" t="s">
        <v>13379</v>
      </c>
      <c r="C11792" s="186" t="s">
        <v>54</v>
      </c>
      <c r="D11792" s="186" t="s">
        <v>15668</v>
      </c>
      <c r="E11792" s="187">
        <v>92156</v>
      </c>
      <c r="F11792" s="43"/>
      <c r="G11792" s="48">
        <f t="shared" si="289"/>
        <v>949853.60255442548</v>
      </c>
      <c r="H11792" s="389" t="s">
        <v>9567</v>
      </c>
    </row>
    <row r="11793" spans="1:10" x14ac:dyDescent="0.3">
      <c r="A11793" s="45">
        <v>45722</v>
      </c>
      <c r="B11793" s="776" t="s">
        <v>14701</v>
      </c>
      <c r="C11793" s="186" t="s">
        <v>54</v>
      </c>
      <c r="D11793" s="186" t="s">
        <v>15682</v>
      </c>
      <c r="E11793" s="187">
        <f>185714+78930</f>
        <v>264644</v>
      </c>
      <c r="F11793" s="43"/>
      <c r="G11793" s="48">
        <f t="shared" si="289"/>
        <v>685209.60255442548</v>
      </c>
      <c r="H11793" s="389" t="s">
        <v>9567</v>
      </c>
    </row>
    <row r="11794" spans="1:10" x14ac:dyDescent="0.3">
      <c r="A11794" s="45">
        <v>45722</v>
      </c>
      <c r="B11794" s="777" t="s">
        <v>13379</v>
      </c>
      <c r="C11794" s="5" t="s">
        <v>11174</v>
      </c>
      <c r="D11794" s="5" t="s">
        <v>15669</v>
      </c>
      <c r="E11794" s="43">
        <v>1500</v>
      </c>
      <c r="F11794" s="43"/>
      <c r="G11794" s="48">
        <f t="shared" si="289"/>
        <v>683709.60255442548</v>
      </c>
      <c r="H11794" s="389" t="s">
        <v>9567</v>
      </c>
    </row>
    <row r="11795" spans="1:10" x14ac:dyDescent="0.3">
      <c r="A11795" s="45">
        <v>45722</v>
      </c>
      <c r="B11795" s="777" t="s">
        <v>13379</v>
      </c>
      <c r="C11795" s="5" t="s">
        <v>5793</v>
      </c>
      <c r="D11795" s="5" t="s">
        <v>40</v>
      </c>
      <c r="E11795" s="43">
        <v>500</v>
      </c>
      <c r="F11795" s="43"/>
      <c r="G11795" s="48">
        <f t="shared" si="289"/>
        <v>683209.60255442548</v>
      </c>
      <c r="H11795" s="389" t="s">
        <v>9567</v>
      </c>
    </row>
    <row r="11796" spans="1:10" x14ac:dyDescent="0.3">
      <c r="A11796" s="45">
        <v>45722</v>
      </c>
      <c r="B11796" s="776" t="s">
        <v>25</v>
      </c>
      <c r="C11796" s="186" t="s">
        <v>54</v>
      </c>
      <c r="D11796" s="186" t="s">
        <v>15670</v>
      </c>
      <c r="E11796" s="187">
        <f>43000+100000</f>
        <v>143000</v>
      </c>
      <c r="F11796" s="43"/>
      <c r="G11796" s="48">
        <f t="shared" si="289"/>
        <v>540209.60255442548</v>
      </c>
      <c r="H11796" s="389" t="s">
        <v>9567</v>
      </c>
    </row>
    <row r="11797" spans="1:10" x14ac:dyDescent="0.3">
      <c r="A11797" s="45">
        <v>45722</v>
      </c>
      <c r="B11797" s="776" t="s">
        <v>14701</v>
      </c>
      <c r="C11797" s="186" t="s">
        <v>54</v>
      </c>
      <c r="D11797" s="186" t="s">
        <v>15487</v>
      </c>
      <c r="E11797" s="187">
        <v>413890</v>
      </c>
      <c r="F11797" s="43"/>
      <c r="G11797" s="48">
        <f t="shared" si="289"/>
        <v>126319.60255442548</v>
      </c>
      <c r="H11797" s="389" t="s">
        <v>9567</v>
      </c>
    </row>
    <row r="11798" spans="1:10" x14ac:dyDescent="0.3">
      <c r="A11798" s="45">
        <v>45723</v>
      </c>
      <c r="B11798" s="565"/>
      <c r="C11798" s="480"/>
      <c r="D11798" s="491" t="s">
        <v>11014</v>
      </c>
      <c r="E11798" s="480"/>
      <c r="F11798" s="43">
        <v>500000</v>
      </c>
      <c r="G11798" s="48">
        <f t="shared" si="289"/>
        <v>626319.60255442548</v>
      </c>
      <c r="H11798" s="389" t="s">
        <v>9567</v>
      </c>
      <c r="I11798" s="589"/>
      <c r="J11798" s="590"/>
    </row>
    <row r="11799" spans="1:10" x14ac:dyDescent="0.3">
      <c r="A11799" s="45">
        <v>45723</v>
      </c>
      <c r="B11799" s="782" t="s">
        <v>12796</v>
      </c>
      <c r="C11799" s="5" t="s">
        <v>11174</v>
      </c>
      <c r="D11799" s="5" t="s">
        <v>15683</v>
      </c>
      <c r="E11799" s="43">
        <v>5000</v>
      </c>
      <c r="F11799" s="43"/>
      <c r="G11799" s="48">
        <f t="shared" si="289"/>
        <v>621319.60255442548</v>
      </c>
      <c r="H11799" s="389" t="s">
        <v>9567</v>
      </c>
    </row>
    <row r="11800" spans="1:10" x14ac:dyDescent="0.3">
      <c r="A11800" s="45">
        <v>45723</v>
      </c>
      <c r="B11800" s="779" t="s">
        <v>12796</v>
      </c>
      <c r="C11800" s="5" t="s">
        <v>11174</v>
      </c>
      <c r="D11800" s="5" t="s">
        <v>15673</v>
      </c>
      <c r="E11800" s="43">
        <v>6000</v>
      </c>
      <c r="F11800" s="43"/>
      <c r="G11800" s="48">
        <f t="shared" si="289"/>
        <v>615319.60255442548</v>
      </c>
      <c r="H11800" s="389" t="s">
        <v>9567</v>
      </c>
    </row>
    <row r="11801" spans="1:10" x14ac:dyDescent="0.3">
      <c r="A11801" s="45">
        <v>45723</v>
      </c>
      <c r="B11801" s="779" t="s">
        <v>15162</v>
      </c>
      <c r="C11801" s="5" t="s">
        <v>5793</v>
      </c>
      <c r="D11801" s="5" t="s">
        <v>40</v>
      </c>
      <c r="E11801" s="43">
        <v>1500</v>
      </c>
      <c r="F11801" s="43"/>
      <c r="G11801" s="48">
        <f t="shared" si="289"/>
        <v>613819.60255442548</v>
      </c>
      <c r="H11801" s="389" t="s">
        <v>9567</v>
      </c>
    </row>
    <row r="11802" spans="1:10" x14ac:dyDescent="0.3">
      <c r="A11802" s="45">
        <v>45723</v>
      </c>
      <c r="B11802" s="776" t="s">
        <v>12133</v>
      </c>
      <c r="C11802" s="186" t="s">
        <v>54</v>
      </c>
      <c r="D11802" s="186" t="s">
        <v>15674</v>
      </c>
      <c r="E11802" s="187">
        <v>91100</v>
      </c>
      <c r="F11802" s="43"/>
      <c r="G11802" s="48">
        <f t="shared" si="289"/>
        <v>522719.60255442548</v>
      </c>
      <c r="H11802" s="389" t="s">
        <v>9567</v>
      </c>
    </row>
    <row r="11803" spans="1:10" x14ac:dyDescent="0.3">
      <c r="A11803" s="45">
        <v>45723</v>
      </c>
      <c r="B11803" s="778" t="s">
        <v>15146</v>
      </c>
      <c r="C11803" s="186" t="s">
        <v>54</v>
      </c>
      <c r="D11803" s="186" t="s">
        <v>12520</v>
      </c>
      <c r="E11803" s="187">
        <v>52600</v>
      </c>
      <c r="F11803" s="43"/>
      <c r="G11803" s="48">
        <f t="shared" si="289"/>
        <v>470119.60255442548</v>
      </c>
      <c r="H11803" s="389" t="s">
        <v>9567</v>
      </c>
    </row>
    <row r="11804" spans="1:10" x14ac:dyDescent="0.3">
      <c r="A11804" s="45">
        <v>45723</v>
      </c>
      <c r="B11804" s="778" t="s">
        <v>14701</v>
      </c>
      <c r="C11804" s="186" t="s">
        <v>54</v>
      </c>
      <c r="D11804" s="186" t="s">
        <v>15675</v>
      </c>
      <c r="E11804" s="187">
        <v>241780</v>
      </c>
      <c r="F11804" s="43"/>
      <c r="G11804" s="48">
        <f t="shared" si="289"/>
        <v>228339.60255442548</v>
      </c>
      <c r="H11804" s="389" t="s">
        <v>9567</v>
      </c>
    </row>
    <row r="11805" spans="1:10" x14ac:dyDescent="0.3">
      <c r="A11805" s="45">
        <v>45723</v>
      </c>
      <c r="B11805" s="779" t="s">
        <v>15421</v>
      </c>
      <c r="C11805" s="5" t="s">
        <v>26</v>
      </c>
      <c r="D11805" s="5" t="s">
        <v>15676</v>
      </c>
      <c r="E11805" s="43">
        <v>10000</v>
      </c>
      <c r="F11805" s="43"/>
      <c r="G11805" s="48">
        <f t="shared" si="289"/>
        <v>218339.60255442548</v>
      </c>
      <c r="H11805" s="389" t="s">
        <v>9567</v>
      </c>
    </row>
    <row r="11806" spans="1:10" x14ac:dyDescent="0.3">
      <c r="A11806" s="45">
        <v>45723</v>
      </c>
      <c r="B11806" s="781" t="s">
        <v>25</v>
      </c>
      <c r="C11806" s="5" t="s">
        <v>26</v>
      </c>
      <c r="D11806" s="5" t="s">
        <v>11434</v>
      </c>
      <c r="E11806" s="43">
        <v>3000</v>
      </c>
      <c r="F11806" s="43"/>
      <c r="G11806" s="48">
        <f t="shared" si="289"/>
        <v>215339.60255442548</v>
      </c>
      <c r="H11806" s="389" t="s">
        <v>9567</v>
      </c>
    </row>
    <row r="11807" spans="1:10" x14ac:dyDescent="0.3">
      <c r="A11807" s="45">
        <v>45723</v>
      </c>
      <c r="B11807" s="778" t="s">
        <v>15146</v>
      </c>
      <c r="C11807" s="186" t="s">
        <v>54</v>
      </c>
      <c r="D11807" s="186" t="s">
        <v>15312</v>
      </c>
      <c r="E11807" s="187">
        <v>33000</v>
      </c>
      <c r="F11807" s="43"/>
      <c r="G11807" s="48">
        <f t="shared" si="289"/>
        <v>182339.60255442548</v>
      </c>
      <c r="H11807" s="389" t="s">
        <v>9567</v>
      </c>
    </row>
    <row r="11808" spans="1:10" x14ac:dyDescent="0.3">
      <c r="A11808" s="45">
        <v>45723</v>
      </c>
      <c r="B11808" s="778" t="s">
        <v>13902</v>
      </c>
      <c r="C11808" s="186" t="s">
        <v>54</v>
      </c>
      <c r="D11808" s="186" t="s">
        <v>15314</v>
      </c>
      <c r="E11808" s="187">
        <v>38570</v>
      </c>
      <c r="F11808" s="43"/>
      <c r="G11808" s="48">
        <f t="shared" si="289"/>
        <v>143769.60255442548</v>
      </c>
      <c r="H11808" s="389" t="s">
        <v>9567</v>
      </c>
    </row>
    <row r="11809" spans="1:11" x14ac:dyDescent="0.3">
      <c r="A11809" s="45">
        <v>45723</v>
      </c>
      <c r="B11809" s="779" t="s">
        <v>15384</v>
      </c>
      <c r="C11809" s="5" t="s">
        <v>11174</v>
      </c>
      <c r="D11809" s="5" t="s">
        <v>15677</v>
      </c>
      <c r="E11809" s="43">
        <v>11600</v>
      </c>
      <c r="F11809" s="43"/>
      <c r="G11809" s="48">
        <f t="shared" si="289"/>
        <v>132169.60255442548</v>
      </c>
      <c r="H11809" s="389" t="s">
        <v>9567</v>
      </c>
    </row>
    <row r="11810" spans="1:11" x14ac:dyDescent="0.3">
      <c r="A11810" s="45">
        <v>45724</v>
      </c>
      <c r="B11810" s="781" t="s">
        <v>12796</v>
      </c>
      <c r="C11810" s="5" t="s">
        <v>11174</v>
      </c>
      <c r="D11810" s="5" t="s">
        <v>15691</v>
      </c>
      <c r="E11810" s="43">
        <v>3600</v>
      </c>
      <c r="F11810" s="43"/>
      <c r="G11810" s="48">
        <f t="shared" si="289"/>
        <v>128569.60255442548</v>
      </c>
      <c r="H11810" s="389" t="s">
        <v>9567</v>
      </c>
    </row>
    <row r="11811" spans="1:11" x14ac:dyDescent="0.3">
      <c r="A11811" s="45">
        <v>45724</v>
      </c>
      <c r="B11811" s="781" t="s">
        <v>15421</v>
      </c>
      <c r="C11811" s="5" t="s">
        <v>11174</v>
      </c>
      <c r="D11811" s="5" t="s">
        <v>15692</v>
      </c>
      <c r="E11811" s="43">
        <v>3208</v>
      </c>
      <c r="F11811" s="43"/>
      <c r="G11811" s="48">
        <f t="shared" si="289"/>
        <v>125361.60255442548</v>
      </c>
      <c r="H11811" s="389" t="s">
        <v>9567</v>
      </c>
    </row>
    <row r="11812" spans="1:11" x14ac:dyDescent="0.3">
      <c r="A11812" s="45">
        <v>45724</v>
      </c>
      <c r="B11812" s="780" t="s">
        <v>14701</v>
      </c>
      <c r="C11812" s="186" t="s">
        <v>54</v>
      </c>
      <c r="D11812" s="186" t="s">
        <v>8824</v>
      </c>
      <c r="E11812" s="187">
        <v>59500</v>
      </c>
      <c r="F11812" s="43"/>
      <c r="G11812" s="48">
        <f t="shared" si="289"/>
        <v>65861.602554425481</v>
      </c>
      <c r="H11812" s="389" t="s">
        <v>9567</v>
      </c>
    </row>
    <row r="11813" spans="1:11" x14ac:dyDescent="0.3">
      <c r="A11813" s="45">
        <v>45724</v>
      </c>
      <c r="B11813" s="780" t="s">
        <v>13902</v>
      </c>
      <c r="C11813" s="186" t="s">
        <v>54</v>
      </c>
      <c r="D11813" s="186" t="s">
        <v>15294</v>
      </c>
      <c r="E11813" s="187">
        <v>30400</v>
      </c>
      <c r="F11813" s="43"/>
      <c r="G11813" s="48">
        <f t="shared" si="289"/>
        <v>35461.602554425481</v>
      </c>
      <c r="H11813" s="389" t="s">
        <v>9567</v>
      </c>
    </row>
    <row r="11814" spans="1:11" x14ac:dyDescent="0.3">
      <c r="A11814" s="45">
        <v>45724</v>
      </c>
      <c r="B11814" s="781" t="s">
        <v>14701</v>
      </c>
      <c r="C11814" s="5" t="s">
        <v>26</v>
      </c>
      <c r="D11814" s="5" t="s">
        <v>11536</v>
      </c>
      <c r="E11814" s="43">
        <v>1300</v>
      </c>
      <c r="F11814" s="43"/>
      <c r="G11814" s="48">
        <f t="shared" si="289"/>
        <v>34161.602554425481</v>
      </c>
      <c r="H11814" s="389" t="s">
        <v>9567</v>
      </c>
    </row>
    <row r="11815" spans="1:11" x14ac:dyDescent="0.3">
      <c r="A11815" s="45">
        <v>45724</v>
      </c>
      <c r="B11815" s="781" t="s">
        <v>13833</v>
      </c>
      <c r="C11815" s="5" t="s">
        <v>11174</v>
      </c>
      <c r="D11815" s="5" t="s">
        <v>15685</v>
      </c>
      <c r="E11815" s="43">
        <v>10000</v>
      </c>
      <c r="F11815" s="43"/>
      <c r="G11815" s="48">
        <f t="shared" si="289"/>
        <v>24161.602554425481</v>
      </c>
      <c r="H11815" s="389" t="s">
        <v>9567</v>
      </c>
    </row>
    <row r="11816" spans="1:11" x14ac:dyDescent="0.3">
      <c r="A11816" s="45">
        <v>45726</v>
      </c>
      <c r="B11816" s="781" t="s">
        <v>25</v>
      </c>
      <c r="C11816" s="5" t="s">
        <v>64</v>
      </c>
      <c r="D11816" s="5" t="s">
        <v>40</v>
      </c>
      <c r="E11816" s="43">
        <v>1900</v>
      </c>
      <c r="F11816" s="43"/>
      <c r="G11816" s="48">
        <f t="shared" si="289"/>
        <v>22261.602554425481</v>
      </c>
      <c r="H11816" s="389" t="s">
        <v>9567</v>
      </c>
    </row>
    <row r="11817" spans="1:11" x14ac:dyDescent="0.3">
      <c r="A11817" s="45">
        <v>45726</v>
      </c>
      <c r="B11817" s="781" t="s">
        <v>25</v>
      </c>
      <c r="C11817" s="5" t="s">
        <v>5482</v>
      </c>
      <c r="D11817" s="5" t="s">
        <v>15693</v>
      </c>
      <c r="E11817" s="43">
        <v>17500</v>
      </c>
      <c r="F11817" s="43"/>
      <c r="G11817" s="48">
        <f t="shared" si="289"/>
        <v>4761.6025544254808</v>
      </c>
      <c r="H11817" s="389" t="s">
        <v>9567</v>
      </c>
      <c r="I11817" s="783" t="s">
        <v>15704</v>
      </c>
      <c r="J11817" s="783">
        <v>872673</v>
      </c>
      <c r="K11817" s="52">
        <f>J11817*1.045</f>
        <v>911943.28499999992</v>
      </c>
    </row>
    <row r="11818" spans="1:11" x14ac:dyDescent="0.3">
      <c r="A11818" s="45">
        <v>45727</v>
      </c>
      <c r="B11818" s="782" t="s">
        <v>25</v>
      </c>
      <c r="C11818" s="5" t="s">
        <v>26</v>
      </c>
      <c r="D11818" s="5" t="s">
        <v>15699</v>
      </c>
      <c r="E11818" s="43">
        <v>1000</v>
      </c>
      <c r="F11818" s="43"/>
      <c r="G11818" s="48">
        <f t="shared" si="289"/>
        <v>3761.6025544254808</v>
      </c>
      <c r="H11818" s="389" t="s">
        <v>9567</v>
      </c>
      <c r="I11818" s="783" t="s">
        <v>15705</v>
      </c>
      <c r="J11818" s="783">
        <v>1407188</v>
      </c>
      <c r="K11818" s="52">
        <f>J11818*1.045</f>
        <v>1470511.46</v>
      </c>
    </row>
    <row r="11819" spans="1:11" x14ac:dyDescent="0.3">
      <c r="A11819" s="45">
        <v>45727</v>
      </c>
      <c r="B11819" s="784" t="s">
        <v>12080</v>
      </c>
      <c r="C11819" s="5" t="s">
        <v>14</v>
      </c>
      <c r="D11819" s="5" t="s">
        <v>640</v>
      </c>
      <c r="E11819" s="43">
        <v>1000</v>
      </c>
      <c r="F11819" s="43"/>
      <c r="G11819" s="48">
        <f t="shared" si="289"/>
        <v>2761.6025544254808</v>
      </c>
      <c r="H11819" s="389" t="s">
        <v>9567</v>
      </c>
      <c r="I11819" s="783" t="s">
        <v>15706</v>
      </c>
      <c r="J11819" s="783">
        <v>1279245</v>
      </c>
      <c r="K11819" s="52">
        <f>J11819*1.045</f>
        <v>1336811.0249999999</v>
      </c>
    </row>
    <row r="11820" spans="1:11" x14ac:dyDescent="0.3">
      <c r="A11820" s="45">
        <v>45727</v>
      </c>
      <c r="B11820" s="565"/>
      <c r="C11820" s="480"/>
      <c r="D11820" s="491" t="s">
        <v>11014</v>
      </c>
      <c r="E11820" s="480"/>
      <c r="F11820" s="43">
        <v>500000</v>
      </c>
      <c r="G11820" s="48">
        <f t="shared" si="289"/>
        <v>502761.60255442548</v>
      </c>
      <c r="H11820" s="389" t="s">
        <v>9567</v>
      </c>
      <c r="I11820" s="589"/>
      <c r="J11820" s="590"/>
    </row>
    <row r="11821" spans="1:11" x14ac:dyDescent="0.3">
      <c r="A11821" s="45">
        <v>45727</v>
      </c>
      <c r="B11821" s="782" t="s">
        <v>15162</v>
      </c>
      <c r="C11821" s="5" t="s">
        <v>11174</v>
      </c>
      <c r="D11821" s="5" t="s">
        <v>15712</v>
      </c>
      <c r="E11821" s="43">
        <v>5160</v>
      </c>
      <c r="F11821" s="43"/>
      <c r="G11821" s="48">
        <f t="shared" si="289"/>
        <v>497601.60255442548</v>
      </c>
      <c r="H11821" s="389" t="s">
        <v>9567</v>
      </c>
      <c r="I11821" s="783" t="s">
        <v>15707</v>
      </c>
      <c r="J11821" s="783">
        <v>1631326</v>
      </c>
      <c r="K11821" s="52">
        <f t="shared" ref="K11821:K11822" si="290">J11821*1.045</f>
        <v>1704735.67</v>
      </c>
    </row>
    <row r="11822" spans="1:11" x14ac:dyDescent="0.3">
      <c r="A11822" s="45">
        <v>45727</v>
      </c>
      <c r="B11822" s="784" t="s">
        <v>25</v>
      </c>
      <c r="C11822" s="5" t="s">
        <v>11174</v>
      </c>
      <c r="D11822" s="5" t="s">
        <v>15711</v>
      </c>
      <c r="E11822" s="43">
        <v>800</v>
      </c>
      <c r="F11822" s="43"/>
      <c r="G11822" s="48">
        <f t="shared" si="289"/>
        <v>496801.60255442548</v>
      </c>
      <c r="H11822" s="389" t="s">
        <v>9567</v>
      </c>
      <c r="I11822" s="783" t="s">
        <v>15708</v>
      </c>
      <c r="J11822" s="783">
        <f>1179200+286633</f>
        <v>1465833</v>
      </c>
      <c r="K11822" s="52">
        <f t="shared" si="290"/>
        <v>1531795.4849999999</v>
      </c>
    </row>
    <row r="11823" spans="1:11" x14ac:dyDescent="0.3">
      <c r="A11823" s="45">
        <v>45727</v>
      </c>
      <c r="B11823" s="784" t="s">
        <v>10319</v>
      </c>
      <c r="C11823" s="5" t="s">
        <v>5978</v>
      </c>
      <c r="D11823" s="5" t="s">
        <v>294</v>
      </c>
      <c r="E11823" s="43">
        <v>450000</v>
      </c>
      <c r="F11823" s="43"/>
      <c r="G11823" s="48">
        <f t="shared" si="289"/>
        <v>46801.602554425481</v>
      </c>
      <c r="H11823" s="389" t="s">
        <v>9567</v>
      </c>
      <c r="I11823" s="583" t="s">
        <v>9746</v>
      </c>
      <c r="J11823" s="583">
        <f>SUM(J11817:J11822)</f>
        <v>6656265</v>
      </c>
      <c r="K11823" s="789">
        <f>SUM(K11817:K11822)</f>
        <v>6955796.9249999989</v>
      </c>
    </row>
    <row r="11824" spans="1:11" x14ac:dyDescent="0.3">
      <c r="A11824" s="45">
        <v>45727</v>
      </c>
      <c r="B11824" s="784" t="s">
        <v>13833</v>
      </c>
      <c r="C11824" s="5" t="s">
        <v>5793</v>
      </c>
      <c r="D11824" s="5" t="s">
        <v>40</v>
      </c>
      <c r="E11824" s="43">
        <v>1500</v>
      </c>
      <c r="F11824" s="43"/>
      <c r="G11824" s="48">
        <f t="shared" si="289"/>
        <v>45301.602554425481</v>
      </c>
      <c r="H11824" s="389" t="s">
        <v>9567</v>
      </c>
      <c r="I11824" s="783" t="s">
        <v>15709</v>
      </c>
      <c r="J11824" s="783">
        <f>J11823*4.5%</f>
        <v>299531.92499999999</v>
      </c>
    </row>
    <row r="11825" spans="1:10" x14ac:dyDescent="0.3">
      <c r="A11825" s="45">
        <v>45727</v>
      </c>
      <c r="B11825" s="784" t="s">
        <v>15558</v>
      </c>
      <c r="C11825" s="5" t="s">
        <v>5793</v>
      </c>
      <c r="D11825" s="5" t="s">
        <v>40</v>
      </c>
      <c r="E11825" s="43">
        <v>1800</v>
      </c>
      <c r="F11825" s="43"/>
      <c r="G11825" s="48">
        <f t="shared" si="289"/>
        <v>43501.602554425481</v>
      </c>
      <c r="H11825" s="389" t="s">
        <v>9567</v>
      </c>
      <c r="I11825" s="583" t="s">
        <v>9746</v>
      </c>
      <c r="J11825" s="583">
        <f>J11824+J11823</f>
        <v>6955796.9249999998</v>
      </c>
    </row>
    <row r="11826" spans="1:10" x14ac:dyDescent="0.3">
      <c r="A11826" s="45">
        <v>45727</v>
      </c>
      <c r="B11826" s="784" t="s">
        <v>10319</v>
      </c>
      <c r="C11826" s="5" t="s">
        <v>30</v>
      </c>
      <c r="D11826" s="5" t="s">
        <v>15713</v>
      </c>
      <c r="E11826" s="43">
        <v>3000</v>
      </c>
      <c r="F11826" s="43"/>
      <c r="G11826" s="48">
        <f t="shared" si="289"/>
        <v>40501.602554425481</v>
      </c>
      <c r="H11826" s="389" t="s">
        <v>9567</v>
      </c>
      <c r="I11826" s="589"/>
      <c r="J11826" s="589"/>
    </row>
    <row r="11827" spans="1:10" x14ac:dyDescent="0.3">
      <c r="A11827" s="45">
        <v>45728</v>
      </c>
      <c r="B11827" s="784" t="s">
        <v>25</v>
      </c>
      <c r="C11827" s="5" t="s">
        <v>26</v>
      </c>
      <c r="D11827" s="5" t="s">
        <v>15714</v>
      </c>
      <c r="E11827" s="43">
        <v>1000</v>
      </c>
      <c r="F11827" s="43"/>
      <c r="G11827" s="48">
        <f t="shared" si="289"/>
        <v>39501.602554425481</v>
      </c>
      <c r="H11827" s="389" t="s">
        <v>9567</v>
      </c>
      <c r="I11827" s="589"/>
      <c r="J11827" s="589"/>
    </row>
    <row r="11828" spans="1:10" x14ac:dyDescent="0.3">
      <c r="A11828" s="45">
        <v>45728</v>
      </c>
      <c r="B11828" s="785" t="s">
        <v>25</v>
      </c>
      <c r="C11828" s="5" t="s">
        <v>11143</v>
      </c>
      <c r="D11828" s="5" t="s">
        <v>294</v>
      </c>
      <c r="E11828" s="43">
        <v>5000</v>
      </c>
      <c r="F11828" s="43"/>
      <c r="G11828" s="48">
        <f t="shared" si="289"/>
        <v>34501.602554425481</v>
      </c>
      <c r="H11828" s="389" t="s">
        <v>9567</v>
      </c>
      <c r="I11828" s="589"/>
      <c r="J11828" s="589"/>
    </row>
    <row r="11829" spans="1:10" x14ac:dyDescent="0.3">
      <c r="A11829" s="45">
        <v>45728</v>
      </c>
      <c r="B11829" s="785" t="s">
        <v>13833</v>
      </c>
      <c r="C11829" s="5" t="s">
        <v>11174</v>
      </c>
      <c r="D11829" s="5" t="s">
        <v>15715</v>
      </c>
      <c r="E11829" s="43">
        <v>10000</v>
      </c>
      <c r="F11829" s="43"/>
      <c r="G11829" s="48">
        <f t="shared" si="289"/>
        <v>24501.602554425481</v>
      </c>
      <c r="H11829" s="389" t="s">
        <v>9567</v>
      </c>
      <c r="I11829" s="589"/>
      <c r="J11829" s="589"/>
    </row>
    <row r="11830" spans="1:10" x14ac:dyDescent="0.3">
      <c r="A11830" s="45">
        <v>45728</v>
      </c>
      <c r="B11830" s="785" t="s">
        <v>15656</v>
      </c>
      <c r="C11830" s="5" t="s">
        <v>15174</v>
      </c>
      <c r="D11830" s="5" t="s">
        <v>40</v>
      </c>
      <c r="E11830" s="43">
        <v>860</v>
      </c>
      <c r="F11830" s="43"/>
      <c r="G11830" s="48">
        <f t="shared" si="289"/>
        <v>23641.602554425481</v>
      </c>
      <c r="H11830" s="389" t="s">
        <v>9567</v>
      </c>
      <c r="I11830" s="589"/>
      <c r="J11830" s="589"/>
    </row>
    <row r="11831" spans="1:10" x14ac:dyDescent="0.3">
      <c r="A11831" s="45">
        <v>45728</v>
      </c>
      <c r="B11831" s="785" t="s">
        <v>14524</v>
      </c>
      <c r="C11831" s="5" t="s">
        <v>5288</v>
      </c>
      <c r="D11831" s="5" t="s">
        <v>294</v>
      </c>
      <c r="E11831" s="43">
        <v>5000</v>
      </c>
      <c r="F11831" s="43"/>
      <c r="G11831" s="48">
        <f t="shared" si="289"/>
        <v>18641.602554425481</v>
      </c>
      <c r="H11831" s="389" t="s">
        <v>9567</v>
      </c>
      <c r="I11831" s="589"/>
      <c r="J11831" s="589"/>
    </row>
    <row r="11832" spans="1:10" x14ac:dyDescent="0.3">
      <c r="A11832" s="45">
        <v>45728</v>
      </c>
      <c r="B11832" s="785" t="s">
        <v>12133</v>
      </c>
      <c r="C11832" s="5" t="s">
        <v>26</v>
      </c>
      <c r="D11832" s="5" t="s">
        <v>15717</v>
      </c>
      <c r="E11832" s="43">
        <v>1500</v>
      </c>
      <c r="F11832" s="43"/>
      <c r="G11832" s="48">
        <f t="shared" si="289"/>
        <v>17141.602554425481</v>
      </c>
      <c r="H11832" s="389" t="s">
        <v>9567</v>
      </c>
      <c r="I11832" s="589"/>
      <c r="J11832" s="589"/>
    </row>
    <row r="11833" spans="1:10" x14ac:dyDescent="0.3">
      <c r="A11833" s="45">
        <v>45728</v>
      </c>
      <c r="B11833" s="785" t="s">
        <v>25</v>
      </c>
      <c r="C11833" s="5" t="s">
        <v>26</v>
      </c>
      <c r="D11833" s="5" t="s">
        <v>11434</v>
      </c>
      <c r="E11833" s="43">
        <v>2000</v>
      </c>
      <c r="F11833" s="43"/>
      <c r="G11833" s="48">
        <f t="shared" si="289"/>
        <v>15141.602554425481</v>
      </c>
      <c r="H11833" s="389" t="s">
        <v>9567</v>
      </c>
      <c r="I11833" s="589"/>
      <c r="J11833" s="589"/>
    </row>
    <row r="11834" spans="1:10" x14ac:dyDescent="0.3">
      <c r="A11834" s="45">
        <v>45729</v>
      </c>
      <c r="B11834" s="785" t="s">
        <v>13833</v>
      </c>
      <c r="C11834" s="5" t="s">
        <v>11174</v>
      </c>
      <c r="D11834" s="5" t="s">
        <v>15720</v>
      </c>
      <c r="E11834" s="43">
        <v>3690</v>
      </c>
      <c r="F11834" s="43"/>
      <c r="G11834" s="48">
        <f t="shared" si="289"/>
        <v>11451.602554425481</v>
      </c>
      <c r="H11834" s="389" t="s">
        <v>9567</v>
      </c>
      <c r="I11834" s="589"/>
      <c r="J11834" s="589"/>
    </row>
    <row r="11835" spans="1:10" x14ac:dyDescent="0.3">
      <c r="A11835" s="45">
        <v>45729</v>
      </c>
      <c r="B11835" s="785"/>
      <c r="C11835" s="5" t="s">
        <v>14</v>
      </c>
      <c r="D11835" s="5" t="s">
        <v>15589</v>
      </c>
      <c r="E11835" s="43">
        <v>7111</v>
      </c>
      <c r="F11835" s="43"/>
      <c r="G11835" s="48">
        <f t="shared" si="289"/>
        <v>4340.6025544254808</v>
      </c>
      <c r="H11835" s="389" t="s">
        <v>9567</v>
      </c>
      <c r="I11835" s="589">
        <v>3690</v>
      </c>
      <c r="J11835" s="589"/>
    </row>
    <row r="11836" spans="1:10" x14ac:dyDescent="0.3">
      <c r="A11836" s="45">
        <v>45729</v>
      </c>
      <c r="B11836" s="785" t="s">
        <v>13833</v>
      </c>
      <c r="C11836" s="5" t="s">
        <v>5793</v>
      </c>
      <c r="D11836" s="5" t="s">
        <v>40</v>
      </c>
      <c r="E11836" s="43">
        <v>700</v>
      </c>
      <c r="F11836" s="43"/>
      <c r="G11836" s="48">
        <f t="shared" si="289"/>
        <v>3640.6025544254808</v>
      </c>
      <c r="H11836" s="389" t="s">
        <v>9567</v>
      </c>
      <c r="I11836" s="589">
        <v>7111</v>
      </c>
      <c r="J11836" s="589"/>
    </row>
    <row r="11837" spans="1:10" x14ac:dyDescent="0.3">
      <c r="A11837" s="45">
        <v>45730</v>
      </c>
      <c r="B11837" s="786" t="s">
        <v>13902</v>
      </c>
      <c r="C11837" s="5" t="s">
        <v>11174</v>
      </c>
      <c r="D11837" s="5" t="s">
        <v>15722</v>
      </c>
      <c r="E11837" s="43">
        <v>1450</v>
      </c>
      <c r="F11837" s="43"/>
      <c r="G11837" s="48">
        <f t="shared" si="289"/>
        <v>2190.6025544254808</v>
      </c>
      <c r="H11837" s="389" t="s">
        <v>9567</v>
      </c>
      <c r="I11837" s="589"/>
      <c r="J11837" s="589"/>
    </row>
    <row r="11838" spans="1:10" x14ac:dyDescent="0.3">
      <c r="A11838" s="45">
        <v>45730</v>
      </c>
      <c r="B11838" s="788" t="s">
        <v>14701</v>
      </c>
      <c r="C11838" s="5" t="s">
        <v>5793</v>
      </c>
      <c r="D11838" s="5" t="s">
        <v>40</v>
      </c>
      <c r="E11838" s="43">
        <v>1000</v>
      </c>
      <c r="F11838" s="43"/>
      <c r="G11838" s="48">
        <f t="shared" si="289"/>
        <v>1190.6025544254808</v>
      </c>
      <c r="H11838" s="389" t="s">
        <v>9567</v>
      </c>
      <c r="I11838" s="589"/>
      <c r="J11838" s="589"/>
    </row>
    <row r="11839" spans="1:10" x14ac:dyDescent="0.3">
      <c r="A11839" s="45">
        <v>45731</v>
      </c>
      <c r="B11839" s="565"/>
      <c r="C11839" s="480"/>
      <c r="D11839" s="491" t="s">
        <v>12269</v>
      </c>
      <c r="E11839" s="480"/>
      <c r="F11839" s="43">
        <v>200000</v>
      </c>
      <c r="G11839" s="48">
        <f t="shared" si="289"/>
        <v>201190.60255442548</v>
      </c>
      <c r="H11839" s="389" t="s">
        <v>9567</v>
      </c>
      <c r="I11839" s="589"/>
      <c r="J11839" s="589"/>
    </row>
    <row r="11840" spans="1:10" x14ac:dyDescent="0.3">
      <c r="A11840" s="45">
        <v>45731</v>
      </c>
      <c r="B11840" s="788" t="s">
        <v>13321</v>
      </c>
      <c r="C11840" s="5" t="s">
        <v>3220</v>
      </c>
      <c r="D11840" s="5" t="s">
        <v>294</v>
      </c>
      <c r="E11840" s="43">
        <v>100000</v>
      </c>
      <c r="F11840" s="43"/>
      <c r="G11840" s="48">
        <f t="shared" si="289"/>
        <v>101190.60255442548</v>
      </c>
      <c r="H11840" s="389" t="s">
        <v>9567</v>
      </c>
      <c r="I11840" s="589"/>
      <c r="J11840" s="589"/>
    </row>
    <row r="11841" spans="1:10" x14ac:dyDescent="0.3">
      <c r="A11841" s="45">
        <v>45731</v>
      </c>
      <c r="B11841" s="787" t="s">
        <v>14701</v>
      </c>
      <c r="C11841" s="186" t="s">
        <v>54</v>
      </c>
      <c r="D11841" s="186" t="s">
        <v>15726</v>
      </c>
      <c r="E11841" s="187">
        <v>6000</v>
      </c>
      <c r="F11841" s="43"/>
      <c r="G11841" s="48">
        <f t="shared" si="289"/>
        <v>95190.602554425481</v>
      </c>
      <c r="H11841" s="389" t="s">
        <v>9567</v>
      </c>
      <c r="I11841" s="589"/>
      <c r="J11841" s="589"/>
    </row>
    <row r="11842" spans="1:10" x14ac:dyDescent="0.3">
      <c r="A11842" s="45">
        <v>45733</v>
      </c>
      <c r="B11842" s="790" t="s">
        <v>14524</v>
      </c>
      <c r="C11842" s="5" t="s">
        <v>5793</v>
      </c>
      <c r="D11842" s="5" t="s">
        <v>40</v>
      </c>
      <c r="E11842" s="43">
        <v>600</v>
      </c>
      <c r="F11842" s="43"/>
      <c r="G11842" s="48">
        <f t="shared" si="289"/>
        <v>94590.602554425481</v>
      </c>
      <c r="H11842" s="389" t="s">
        <v>9567</v>
      </c>
      <c r="I11842" s="589"/>
      <c r="J11842" s="589"/>
    </row>
    <row r="11843" spans="1:10" x14ac:dyDescent="0.3">
      <c r="A11843" s="45">
        <v>45733</v>
      </c>
      <c r="B11843" s="790" t="s">
        <v>13833</v>
      </c>
      <c r="C11843" s="5" t="s">
        <v>5793</v>
      </c>
      <c r="D11843" s="5" t="s">
        <v>40</v>
      </c>
      <c r="E11843" s="43">
        <v>600</v>
      </c>
      <c r="F11843" s="43"/>
      <c r="G11843" s="48">
        <f t="shared" si="289"/>
        <v>93990.602554425481</v>
      </c>
      <c r="H11843" s="389" t="s">
        <v>9567</v>
      </c>
      <c r="I11843" s="589"/>
      <c r="J11843" s="589"/>
    </row>
    <row r="11844" spans="1:10" x14ac:dyDescent="0.3">
      <c r="A11844" s="45">
        <v>45733</v>
      </c>
      <c r="B11844" s="790" t="s">
        <v>15146</v>
      </c>
      <c r="C11844" s="5" t="s">
        <v>5793</v>
      </c>
      <c r="D11844" s="5" t="s">
        <v>40</v>
      </c>
      <c r="E11844" s="43">
        <v>600</v>
      </c>
      <c r="F11844" s="43"/>
      <c r="G11844" s="48">
        <f t="shared" si="289"/>
        <v>93390.602554425481</v>
      </c>
      <c r="H11844" s="389" t="s">
        <v>9567</v>
      </c>
      <c r="I11844" s="589"/>
      <c r="J11844" s="589"/>
    </row>
    <row r="11845" spans="1:10" x14ac:dyDescent="0.3">
      <c r="A11845" s="45">
        <v>45733</v>
      </c>
      <c r="B11845" s="790" t="s">
        <v>12133</v>
      </c>
      <c r="C11845" s="5" t="s">
        <v>5793</v>
      </c>
      <c r="D11845" s="5" t="s">
        <v>40</v>
      </c>
      <c r="E11845" s="43">
        <v>1500</v>
      </c>
      <c r="F11845" s="43"/>
      <c r="G11845" s="48">
        <f t="shared" si="289"/>
        <v>91890.602554425481</v>
      </c>
      <c r="H11845" s="389" t="s">
        <v>9567</v>
      </c>
      <c r="I11845" s="589"/>
      <c r="J11845" s="589"/>
    </row>
    <row r="11846" spans="1:10" x14ac:dyDescent="0.3">
      <c r="A11846" s="45">
        <v>45733</v>
      </c>
      <c r="B11846" s="788" t="s">
        <v>25</v>
      </c>
      <c r="C11846" s="5" t="s">
        <v>26</v>
      </c>
      <c r="D11846" s="5" t="s">
        <v>14818</v>
      </c>
      <c r="E11846" s="43">
        <v>3000</v>
      </c>
      <c r="F11846" s="43"/>
      <c r="G11846" s="48">
        <f t="shared" si="289"/>
        <v>88890.602554425481</v>
      </c>
      <c r="H11846" s="389" t="s">
        <v>9567</v>
      </c>
      <c r="I11846" s="589"/>
      <c r="J11846" s="589"/>
    </row>
    <row r="11847" spans="1:10" x14ac:dyDescent="0.3">
      <c r="A11847" s="45">
        <v>45733</v>
      </c>
      <c r="B11847" s="790" t="s">
        <v>15162</v>
      </c>
      <c r="C11847" s="5" t="s">
        <v>11174</v>
      </c>
      <c r="D11847" s="5" t="s">
        <v>15727</v>
      </c>
      <c r="E11847" s="43">
        <v>10000</v>
      </c>
      <c r="F11847" s="43"/>
      <c r="G11847" s="48">
        <f t="shared" si="289"/>
        <v>78890.602554425481</v>
      </c>
      <c r="H11847" s="389" t="s">
        <v>9567</v>
      </c>
      <c r="I11847" s="589"/>
      <c r="J11847" s="589"/>
    </row>
    <row r="11848" spans="1:10" x14ac:dyDescent="0.3">
      <c r="A11848" s="45">
        <v>45733</v>
      </c>
      <c r="B11848" s="790" t="s">
        <v>13902</v>
      </c>
      <c r="C11848" s="5" t="s">
        <v>26</v>
      </c>
      <c r="D11848" s="5" t="s">
        <v>15728</v>
      </c>
      <c r="E11848" s="43">
        <v>5000</v>
      </c>
      <c r="F11848" s="43"/>
      <c r="G11848" s="48">
        <f t="shared" si="289"/>
        <v>73890.602554425481</v>
      </c>
      <c r="H11848" s="389" t="s">
        <v>9567</v>
      </c>
      <c r="I11848" s="589"/>
      <c r="J11848" s="589"/>
    </row>
    <row r="11849" spans="1:10" x14ac:dyDescent="0.3">
      <c r="A11849" s="45">
        <v>45733</v>
      </c>
      <c r="B11849" s="790" t="s">
        <v>15729</v>
      </c>
      <c r="C11849" s="5" t="s">
        <v>26</v>
      </c>
      <c r="D11849" s="5" t="s">
        <v>15730</v>
      </c>
      <c r="E11849" s="43">
        <v>2500</v>
      </c>
      <c r="F11849" s="43"/>
      <c r="G11849" s="48">
        <f t="shared" si="289"/>
        <v>71390.602554425481</v>
      </c>
      <c r="H11849" s="389" t="s">
        <v>9567</v>
      </c>
      <c r="I11849" s="589"/>
      <c r="J11849" s="589"/>
    </row>
    <row r="11850" spans="1:10" x14ac:dyDescent="0.3">
      <c r="A11850" s="45">
        <v>45733</v>
      </c>
      <c r="B11850" s="790" t="s">
        <v>14701</v>
      </c>
      <c r="C11850" s="5" t="s">
        <v>18</v>
      </c>
      <c r="D11850" s="5" t="s">
        <v>294</v>
      </c>
      <c r="E11850" s="43">
        <v>5000</v>
      </c>
      <c r="F11850" s="43"/>
      <c r="G11850" s="48">
        <f t="shared" si="289"/>
        <v>66390.602554425481</v>
      </c>
      <c r="H11850" s="389" t="s">
        <v>9567</v>
      </c>
      <c r="I11850" s="589"/>
      <c r="J11850" s="589"/>
    </row>
    <row r="11851" spans="1:10" x14ac:dyDescent="0.3">
      <c r="A11851" s="45">
        <v>45733</v>
      </c>
      <c r="B11851" s="790" t="s">
        <v>14701</v>
      </c>
      <c r="C11851" s="5" t="s">
        <v>84</v>
      </c>
      <c r="D11851" s="808" t="s">
        <v>15731</v>
      </c>
      <c r="E11851" s="43">
        <v>3000</v>
      </c>
      <c r="F11851" s="43"/>
      <c r="G11851" s="48">
        <f t="shared" si="289"/>
        <v>63390.602554425481</v>
      </c>
      <c r="H11851" s="389" t="s">
        <v>9567</v>
      </c>
      <c r="I11851" s="589"/>
      <c r="J11851" s="589"/>
    </row>
    <row r="11852" spans="1:10" x14ac:dyDescent="0.3">
      <c r="A11852" s="45">
        <v>45733</v>
      </c>
      <c r="B11852" s="790" t="s">
        <v>15162</v>
      </c>
      <c r="C11852" s="5" t="s">
        <v>5793</v>
      </c>
      <c r="D11852" s="5" t="s">
        <v>15732</v>
      </c>
      <c r="E11852" s="43">
        <v>2200</v>
      </c>
      <c r="F11852" s="43"/>
      <c r="G11852" s="48">
        <f t="shared" si="289"/>
        <v>61190.602554425481</v>
      </c>
      <c r="H11852" s="389" t="s">
        <v>9567</v>
      </c>
      <c r="I11852" s="589"/>
      <c r="J11852" s="589"/>
    </row>
    <row r="11853" spans="1:10" x14ac:dyDescent="0.3">
      <c r="A11853" s="45">
        <v>45733</v>
      </c>
      <c r="B11853" s="790" t="s">
        <v>12133</v>
      </c>
      <c r="C11853" s="5" t="s">
        <v>5793</v>
      </c>
      <c r="D11853" s="5" t="s">
        <v>40</v>
      </c>
      <c r="E11853" s="43">
        <v>2000</v>
      </c>
      <c r="F11853" s="43"/>
      <c r="G11853" s="48">
        <f t="shared" si="289"/>
        <v>59190.602554425481</v>
      </c>
      <c r="H11853" s="389" t="s">
        <v>9567</v>
      </c>
      <c r="I11853" s="589"/>
      <c r="J11853" s="589"/>
    </row>
    <row r="11854" spans="1:10" x14ac:dyDescent="0.3">
      <c r="A11854" s="45">
        <v>45733</v>
      </c>
      <c r="B11854" s="794" t="s">
        <v>13138</v>
      </c>
      <c r="C11854" s="5" t="s">
        <v>26</v>
      </c>
      <c r="D11854" s="5" t="s">
        <v>15745</v>
      </c>
      <c r="E11854" s="43">
        <v>2000</v>
      </c>
      <c r="F11854" s="43"/>
      <c r="G11854" s="48">
        <f t="shared" si="289"/>
        <v>57190.602554425481</v>
      </c>
      <c r="H11854" s="389" t="s">
        <v>9567</v>
      </c>
      <c r="I11854" s="589"/>
      <c r="J11854" s="589"/>
    </row>
    <row r="11855" spans="1:10" x14ac:dyDescent="0.3">
      <c r="A11855" s="45">
        <v>45733</v>
      </c>
      <c r="B11855" s="790" t="s">
        <v>13138</v>
      </c>
      <c r="C11855" s="5" t="s">
        <v>11174</v>
      </c>
      <c r="D11855" s="5" t="s">
        <v>15183</v>
      </c>
      <c r="E11855" s="43">
        <v>27000</v>
      </c>
      <c r="F11855" s="43"/>
      <c r="G11855" s="48">
        <f t="shared" si="289"/>
        <v>30190.602554425481</v>
      </c>
      <c r="H11855" s="389" t="s">
        <v>9567</v>
      </c>
      <c r="I11855" s="589"/>
      <c r="J11855" s="589"/>
    </row>
    <row r="11856" spans="1:10" x14ac:dyDescent="0.3">
      <c r="A11856" s="45">
        <v>45733</v>
      </c>
      <c r="B11856" s="790" t="s">
        <v>25</v>
      </c>
      <c r="C11856" s="5" t="s">
        <v>26</v>
      </c>
      <c r="D11856" s="5" t="s">
        <v>14818</v>
      </c>
      <c r="E11856" s="43">
        <v>2000</v>
      </c>
      <c r="F11856" s="43"/>
      <c r="G11856" s="48">
        <f t="shared" si="289"/>
        <v>28190.602554425481</v>
      </c>
      <c r="H11856" s="389" t="s">
        <v>9567</v>
      </c>
      <c r="I11856" s="589"/>
      <c r="J11856" s="589"/>
    </row>
    <row r="11857" spans="1:10" x14ac:dyDescent="0.3">
      <c r="A11857" s="45">
        <v>45733</v>
      </c>
      <c r="B11857" s="790" t="s">
        <v>15043</v>
      </c>
      <c r="C11857" s="5" t="s">
        <v>30</v>
      </c>
      <c r="D11857" s="5" t="s">
        <v>13786</v>
      </c>
      <c r="E11857" s="43">
        <v>500</v>
      </c>
      <c r="F11857" s="43"/>
      <c r="G11857" s="48">
        <f t="shared" si="289"/>
        <v>27690.602554425481</v>
      </c>
      <c r="H11857" s="389" t="s">
        <v>9567</v>
      </c>
      <c r="I11857" s="589"/>
      <c r="J11857" s="589"/>
    </row>
    <row r="11858" spans="1:10" x14ac:dyDescent="0.3">
      <c r="A11858" s="45">
        <v>45733</v>
      </c>
      <c r="B11858" s="790" t="s">
        <v>15043</v>
      </c>
      <c r="C11858" s="5" t="s">
        <v>11174</v>
      </c>
      <c r="D11858" s="5" t="s">
        <v>15733</v>
      </c>
      <c r="E11858" s="43">
        <v>1000</v>
      </c>
      <c r="F11858" s="43"/>
      <c r="G11858" s="48">
        <f t="shared" si="289"/>
        <v>26690.602554425481</v>
      </c>
      <c r="H11858" s="389" t="s">
        <v>9567</v>
      </c>
      <c r="I11858" s="589"/>
      <c r="J11858" s="589"/>
    </row>
    <row r="11859" spans="1:10" x14ac:dyDescent="0.3">
      <c r="A11859" s="45">
        <v>45733</v>
      </c>
      <c r="B11859" s="790" t="s">
        <v>14701</v>
      </c>
      <c r="C11859" s="5" t="s">
        <v>84</v>
      </c>
      <c r="D11859" s="808" t="s">
        <v>15735</v>
      </c>
      <c r="E11859" s="43">
        <v>3000</v>
      </c>
      <c r="F11859" s="43"/>
      <c r="G11859" s="48">
        <f t="shared" si="289"/>
        <v>23690.602554425481</v>
      </c>
      <c r="H11859" s="389" t="s">
        <v>9567</v>
      </c>
      <c r="I11859" s="589"/>
      <c r="J11859" s="589"/>
    </row>
    <row r="11860" spans="1:10" x14ac:dyDescent="0.3">
      <c r="A11860" s="45">
        <v>45734</v>
      </c>
      <c r="B11860" s="791" t="s">
        <v>13902</v>
      </c>
      <c r="C11860" s="5" t="s">
        <v>84</v>
      </c>
      <c r="D11860" s="808" t="s">
        <v>15736</v>
      </c>
      <c r="E11860" s="43">
        <v>5000</v>
      </c>
      <c r="F11860" s="43"/>
      <c r="G11860" s="48">
        <f t="shared" si="289"/>
        <v>18690.602554425481</v>
      </c>
      <c r="H11860" s="389" t="s">
        <v>9567</v>
      </c>
      <c r="I11860" s="589"/>
      <c r="J11860" s="589"/>
    </row>
    <row r="11861" spans="1:10" x14ac:dyDescent="0.3">
      <c r="A11861" s="45">
        <v>45734</v>
      </c>
      <c r="B11861" s="791" t="s">
        <v>15146</v>
      </c>
      <c r="C11861" s="5" t="s">
        <v>11174</v>
      </c>
      <c r="D11861" s="5" t="s">
        <v>15737</v>
      </c>
      <c r="E11861" s="43">
        <v>9750</v>
      </c>
      <c r="F11861" s="43"/>
      <c r="G11861" s="48">
        <f t="shared" si="289"/>
        <v>8940.6025544254808</v>
      </c>
      <c r="H11861" s="389" t="s">
        <v>9567</v>
      </c>
      <c r="I11861" s="589"/>
      <c r="J11861" s="589"/>
    </row>
    <row r="11862" spans="1:10" x14ac:dyDescent="0.3">
      <c r="A11862" s="45">
        <v>45734</v>
      </c>
      <c r="B11862" s="791" t="s">
        <v>13902</v>
      </c>
      <c r="C11862" s="5" t="s">
        <v>30</v>
      </c>
      <c r="D11862" s="5" t="s">
        <v>15738</v>
      </c>
      <c r="E11862" s="43">
        <v>5000</v>
      </c>
      <c r="F11862" s="43"/>
      <c r="G11862" s="48">
        <f t="shared" si="289"/>
        <v>3940.6025544254808</v>
      </c>
      <c r="H11862" s="389" t="s">
        <v>9567</v>
      </c>
      <c r="I11862" s="589"/>
      <c r="J11862" s="589"/>
    </row>
    <row r="11863" spans="1:10" x14ac:dyDescent="0.3">
      <c r="A11863" s="45">
        <v>45734</v>
      </c>
      <c r="B11863" s="791"/>
      <c r="C11863" s="5" t="s">
        <v>5482</v>
      </c>
      <c r="D11863" s="5" t="s">
        <v>15739</v>
      </c>
      <c r="E11863" s="43">
        <v>2500</v>
      </c>
      <c r="F11863" s="43"/>
      <c r="G11863" s="48">
        <f t="shared" si="289"/>
        <v>1440.6025544254808</v>
      </c>
      <c r="H11863" s="389" t="s">
        <v>9567</v>
      </c>
      <c r="I11863" s="589"/>
      <c r="J11863" s="589"/>
    </row>
    <row r="11864" spans="1:10" x14ac:dyDescent="0.3">
      <c r="A11864" s="45">
        <v>45734</v>
      </c>
      <c r="B11864" s="795" t="s">
        <v>25</v>
      </c>
      <c r="C11864" s="5" t="s">
        <v>26</v>
      </c>
      <c r="D11864" s="5" t="s">
        <v>352</v>
      </c>
      <c r="E11864" s="43">
        <v>1300</v>
      </c>
      <c r="F11864" s="43"/>
      <c r="G11864" s="48">
        <f t="shared" si="289"/>
        <v>140.60255442548078</v>
      </c>
      <c r="H11864" s="389" t="s">
        <v>9567</v>
      </c>
      <c r="I11864" s="589"/>
      <c r="J11864" s="589"/>
    </row>
    <row r="11865" spans="1:10" x14ac:dyDescent="0.3">
      <c r="A11865" s="45">
        <v>45734</v>
      </c>
      <c r="B11865" s="565"/>
      <c r="C11865" s="480"/>
      <c r="D11865" s="491" t="s">
        <v>11014</v>
      </c>
      <c r="E11865" s="480"/>
      <c r="F11865" s="43">
        <v>150000</v>
      </c>
      <c r="G11865" s="48">
        <f t="shared" si="289"/>
        <v>150140.60255442548</v>
      </c>
      <c r="H11865" s="389" t="s">
        <v>9567</v>
      </c>
      <c r="I11865" s="589"/>
      <c r="J11865" s="589"/>
    </row>
    <row r="11866" spans="1:10" x14ac:dyDescent="0.3">
      <c r="A11866" s="45">
        <v>45735</v>
      </c>
      <c r="B11866" s="791" t="s">
        <v>13946</v>
      </c>
      <c r="C11866" s="5" t="s">
        <v>5793</v>
      </c>
      <c r="D11866" s="5" t="s">
        <v>40</v>
      </c>
      <c r="E11866" s="43">
        <v>600</v>
      </c>
      <c r="F11866" s="43"/>
      <c r="G11866" s="48">
        <f t="shared" si="289"/>
        <v>149540.60255442548</v>
      </c>
      <c r="H11866" s="389" t="s">
        <v>9567</v>
      </c>
      <c r="I11866" s="589"/>
      <c r="J11866" s="589"/>
    </row>
    <row r="11867" spans="1:10" x14ac:dyDescent="0.3">
      <c r="A11867" s="45">
        <v>45735</v>
      </c>
      <c r="B11867" s="795" t="s">
        <v>12230</v>
      </c>
      <c r="C11867" s="5" t="s">
        <v>26</v>
      </c>
      <c r="D11867" s="5" t="s">
        <v>15747</v>
      </c>
      <c r="E11867" s="43">
        <v>2900</v>
      </c>
      <c r="F11867" s="43"/>
      <c r="G11867" s="48">
        <f t="shared" si="289"/>
        <v>146640.60255442548</v>
      </c>
      <c r="H11867" s="389" t="s">
        <v>9567</v>
      </c>
      <c r="I11867" s="589"/>
      <c r="J11867" s="589"/>
    </row>
    <row r="11868" spans="1:10" x14ac:dyDescent="0.3">
      <c r="A11868" s="45">
        <v>45735</v>
      </c>
      <c r="B11868" s="795" t="s">
        <v>15162</v>
      </c>
      <c r="C11868" s="5" t="s">
        <v>5618</v>
      </c>
      <c r="D11868" s="5" t="s">
        <v>294</v>
      </c>
      <c r="E11868" s="43">
        <v>11000</v>
      </c>
      <c r="F11868" s="43"/>
      <c r="G11868" s="48">
        <f t="shared" si="289"/>
        <v>135640.60255442548</v>
      </c>
      <c r="H11868" s="389" t="s">
        <v>9567</v>
      </c>
      <c r="I11868" s="589"/>
      <c r="J11868" s="589"/>
    </row>
    <row r="11869" spans="1:10" x14ac:dyDescent="0.3">
      <c r="A11869" s="45">
        <v>45735</v>
      </c>
      <c r="B11869" s="795" t="s">
        <v>14701</v>
      </c>
      <c r="C11869" s="5" t="s">
        <v>5618</v>
      </c>
      <c r="D11869" s="5" t="s">
        <v>294</v>
      </c>
      <c r="E11869" s="43">
        <v>16000</v>
      </c>
      <c r="F11869" s="43"/>
      <c r="G11869" s="48">
        <f t="shared" si="289"/>
        <v>119640.60255442548</v>
      </c>
      <c r="H11869" s="389" t="s">
        <v>9567</v>
      </c>
      <c r="I11869" s="589"/>
      <c r="J11869" s="589"/>
    </row>
    <row r="11870" spans="1:10" x14ac:dyDescent="0.3">
      <c r="A11870" s="45">
        <v>45735</v>
      </c>
      <c r="B11870" s="795" t="s">
        <v>14590</v>
      </c>
      <c r="C11870" s="5" t="s">
        <v>30</v>
      </c>
      <c r="D11870" s="5" t="s">
        <v>15757</v>
      </c>
      <c r="E11870" s="43">
        <v>300</v>
      </c>
      <c r="F11870" s="43"/>
      <c r="G11870" s="48">
        <f t="shared" si="289"/>
        <v>119340.60255442548</v>
      </c>
      <c r="H11870" s="389" t="s">
        <v>9567</v>
      </c>
      <c r="I11870" s="589"/>
      <c r="J11870" s="589"/>
    </row>
    <row r="11871" spans="1:10" x14ac:dyDescent="0.3">
      <c r="A11871" s="45">
        <v>45735</v>
      </c>
      <c r="B11871" s="795" t="s">
        <v>14701</v>
      </c>
      <c r="C11871" s="5" t="s">
        <v>84</v>
      </c>
      <c r="D11871" s="808" t="s">
        <v>15758</v>
      </c>
      <c r="E11871" s="43">
        <v>25000</v>
      </c>
      <c r="F11871" s="43"/>
      <c r="G11871" s="48">
        <f t="shared" si="289"/>
        <v>94340.602554425481</v>
      </c>
      <c r="H11871" s="389" t="s">
        <v>9567</v>
      </c>
      <c r="I11871" s="589"/>
      <c r="J11871" s="589"/>
    </row>
    <row r="11872" spans="1:10" x14ac:dyDescent="0.3">
      <c r="A11872" s="45">
        <v>45735</v>
      </c>
      <c r="B11872" s="795" t="s">
        <v>14524</v>
      </c>
      <c r="C11872" s="5" t="s">
        <v>11174</v>
      </c>
      <c r="D11872" s="5" t="s">
        <v>15762</v>
      </c>
      <c r="E11872" s="43">
        <v>30000</v>
      </c>
      <c r="F11872" s="43"/>
      <c r="G11872" s="48">
        <f t="shared" si="289"/>
        <v>64340.602554425481</v>
      </c>
      <c r="H11872" s="389" t="s">
        <v>9567</v>
      </c>
      <c r="I11872" s="589"/>
      <c r="J11872" s="589"/>
    </row>
    <row r="11873" spans="1:10" x14ac:dyDescent="0.3">
      <c r="A11873" s="45">
        <v>45735</v>
      </c>
      <c r="B11873" s="565"/>
      <c r="C11873" s="480"/>
      <c r="D11873" s="491" t="s">
        <v>12269</v>
      </c>
      <c r="E11873" s="480"/>
      <c r="F11873" s="43">
        <v>400000</v>
      </c>
      <c r="G11873" s="48">
        <f t="shared" si="289"/>
        <v>464340.60255442548</v>
      </c>
      <c r="H11873" s="389" t="s">
        <v>9567</v>
      </c>
      <c r="I11873" s="589"/>
      <c r="J11873" s="589"/>
    </row>
    <row r="11874" spans="1:10" x14ac:dyDescent="0.3">
      <c r="A11874" s="45">
        <v>45735</v>
      </c>
      <c r="B11874" s="795" t="s">
        <v>5482</v>
      </c>
      <c r="C11874" s="5" t="s">
        <v>5482</v>
      </c>
      <c r="D11874" s="5" t="s">
        <v>15763</v>
      </c>
      <c r="E11874" s="43">
        <v>196000</v>
      </c>
      <c r="F11874" s="43"/>
      <c r="G11874" s="48">
        <f t="shared" si="289"/>
        <v>268340.60255442548</v>
      </c>
      <c r="H11874" s="389" t="s">
        <v>9567</v>
      </c>
      <c r="I11874" s="589"/>
      <c r="J11874" s="589"/>
    </row>
    <row r="11875" spans="1:10" x14ac:dyDescent="0.3">
      <c r="A11875" s="45">
        <v>45736</v>
      </c>
      <c r="B11875" s="795" t="s">
        <v>12230</v>
      </c>
      <c r="C11875" s="5" t="s">
        <v>1074</v>
      </c>
      <c r="D11875" s="5" t="s">
        <v>6280</v>
      </c>
      <c r="E11875" s="43">
        <v>3180</v>
      </c>
      <c r="F11875" s="43"/>
      <c r="G11875" s="48">
        <f t="shared" si="289"/>
        <v>265160.60255442548</v>
      </c>
      <c r="H11875" s="389" t="s">
        <v>9567</v>
      </c>
      <c r="I11875" s="589"/>
      <c r="J11875" s="589"/>
    </row>
    <row r="11876" spans="1:10" x14ac:dyDescent="0.3">
      <c r="A11876" s="45">
        <v>45736</v>
      </c>
      <c r="B11876" s="796" t="s">
        <v>25</v>
      </c>
      <c r="C11876" s="5" t="s">
        <v>1074</v>
      </c>
      <c r="D11876" s="5" t="s">
        <v>6280</v>
      </c>
      <c r="E11876" s="43">
        <v>11440</v>
      </c>
      <c r="F11876" s="43"/>
      <c r="G11876" s="48">
        <f t="shared" si="289"/>
        <v>253720.60255442548</v>
      </c>
      <c r="H11876" s="389" t="s">
        <v>9567</v>
      </c>
      <c r="I11876" s="589"/>
      <c r="J11876" s="589"/>
    </row>
    <row r="11877" spans="1:10" x14ac:dyDescent="0.3">
      <c r="A11877" s="45">
        <v>45736</v>
      </c>
      <c r="B11877" s="796" t="s">
        <v>15421</v>
      </c>
      <c r="C11877" s="5" t="s">
        <v>5793</v>
      </c>
      <c r="D11877" s="5" t="s">
        <v>40</v>
      </c>
      <c r="E11877" s="43">
        <v>800</v>
      </c>
      <c r="F11877" s="43"/>
      <c r="G11877" s="48">
        <f t="shared" si="289"/>
        <v>252920.60255442548</v>
      </c>
      <c r="H11877" s="389" t="s">
        <v>9567</v>
      </c>
      <c r="I11877" s="589"/>
      <c r="J11877" s="589"/>
    </row>
    <row r="11878" spans="1:10" x14ac:dyDescent="0.3">
      <c r="A11878" s="45">
        <v>45736</v>
      </c>
      <c r="B11878" s="796" t="s">
        <v>12133</v>
      </c>
      <c r="C11878" s="5" t="s">
        <v>5162</v>
      </c>
      <c r="D11878" s="5" t="s">
        <v>294</v>
      </c>
      <c r="E11878" s="43">
        <v>4000</v>
      </c>
      <c r="F11878" s="43"/>
      <c r="G11878" s="48">
        <f t="shared" si="289"/>
        <v>248920.60255442548</v>
      </c>
      <c r="H11878" s="389" t="s">
        <v>9567</v>
      </c>
      <c r="I11878" s="589"/>
      <c r="J11878" s="589"/>
    </row>
    <row r="11879" spans="1:10" x14ac:dyDescent="0.3">
      <c r="A11879" s="45">
        <v>45736</v>
      </c>
      <c r="B11879" s="796" t="s">
        <v>13833</v>
      </c>
      <c r="C11879" s="5" t="s">
        <v>15765</v>
      </c>
      <c r="D11879" s="5" t="s">
        <v>294</v>
      </c>
      <c r="E11879" s="43">
        <v>100000</v>
      </c>
      <c r="F11879" s="43"/>
      <c r="G11879" s="48">
        <f t="shared" si="289"/>
        <v>148920.60255442548</v>
      </c>
      <c r="H11879" s="389" t="s">
        <v>9567</v>
      </c>
      <c r="I11879" s="589"/>
      <c r="J11879" s="589"/>
    </row>
    <row r="11880" spans="1:10" x14ac:dyDescent="0.3">
      <c r="A11880" s="45">
        <v>45736</v>
      </c>
      <c r="B11880" s="796" t="s">
        <v>13833</v>
      </c>
      <c r="C11880" s="5" t="s">
        <v>15764</v>
      </c>
      <c r="D11880" s="5" t="s">
        <v>294</v>
      </c>
      <c r="E11880" s="43">
        <v>100000</v>
      </c>
      <c r="F11880" s="43"/>
      <c r="G11880" s="48">
        <f t="shared" si="289"/>
        <v>48920.602554425481</v>
      </c>
      <c r="H11880" s="389" t="s">
        <v>9567</v>
      </c>
      <c r="I11880" s="589"/>
      <c r="J11880" s="589"/>
    </row>
    <row r="11881" spans="1:10" x14ac:dyDescent="0.3">
      <c r="A11881" s="45">
        <v>45736</v>
      </c>
      <c r="B11881" s="796" t="s">
        <v>13321</v>
      </c>
      <c r="C11881" s="5" t="s">
        <v>11174</v>
      </c>
      <c r="D11881" s="5" t="s">
        <v>15141</v>
      </c>
      <c r="E11881" s="43">
        <v>48500</v>
      </c>
      <c r="F11881" s="43"/>
      <c r="G11881" s="48">
        <f t="shared" si="289"/>
        <v>420.60255442548078</v>
      </c>
      <c r="H11881" s="389" t="s">
        <v>9567</v>
      </c>
      <c r="I11881" s="589"/>
      <c r="J11881" s="589"/>
    </row>
    <row r="11882" spans="1:10" x14ac:dyDescent="0.3">
      <c r="A11882" s="45">
        <v>45736</v>
      </c>
      <c r="B11882" s="565"/>
      <c r="C11882" s="480"/>
      <c r="D11882" s="491" t="s">
        <v>4364</v>
      </c>
      <c r="E11882" s="480"/>
      <c r="F11882" s="43">
        <v>200000</v>
      </c>
      <c r="G11882" s="48">
        <f t="shared" ref="G11882" si="291">G11881+F11882-E11882</f>
        <v>200420.60255442548</v>
      </c>
      <c r="H11882" s="389" t="s">
        <v>9567</v>
      </c>
      <c r="I11882" s="589"/>
      <c r="J11882" s="589"/>
    </row>
    <row r="11883" spans="1:10" x14ac:dyDescent="0.3">
      <c r="A11883" s="45">
        <v>45736</v>
      </c>
      <c r="B11883" s="796" t="s">
        <v>14524</v>
      </c>
      <c r="C11883" s="5" t="s">
        <v>5793</v>
      </c>
      <c r="D11883" s="5" t="s">
        <v>40</v>
      </c>
      <c r="E11883" s="43">
        <v>1000</v>
      </c>
      <c r="F11883" s="43"/>
      <c r="G11883" s="48">
        <f t="shared" si="289"/>
        <v>199420.60255442548</v>
      </c>
      <c r="H11883" s="389" t="s">
        <v>9567</v>
      </c>
      <c r="I11883" s="589"/>
      <c r="J11883" s="589"/>
    </row>
    <row r="11884" spans="1:10" x14ac:dyDescent="0.3">
      <c r="A11884" s="45">
        <v>45736</v>
      </c>
      <c r="B11884" s="798" t="s">
        <v>15766</v>
      </c>
      <c r="C11884" s="5" t="s">
        <v>5793</v>
      </c>
      <c r="D11884" s="5" t="s">
        <v>40</v>
      </c>
      <c r="E11884" s="43">
        <v>500</v>
      </c>
      <c r="F11884" s="43"/>
      <c r="G11884" s="48">
        <f t="shared" si="289"/>
        <v>198920.60255442548</v>
      </c>
      <c r="H11884" s="389" t="s">
        <v>9567</v>
      </c>
      <c r="I11884" s="589"/>
      <c r="J11884" s="589"/>
    </row>
    <row r="11885" spans="1:10" x14ac:dyDescent="0.3">
      <c r="A11885" s="45">
        <v>45736</v>
      </c>
      <c r="B11885" s="799" t="s">
        <v>25</v>
      </c>
      <c r="C11885" s="5" t="s">
        <v>26</v>
      </c>
      <c r="D11885" s="5" t="s">
        <v>14818</v>
      </c>
      <c r="E11885" s="43">
        <v>2000</v>
      </c>
      <c r="F11885" s="43"/>
      <c r="G11885" s="48">
        <f t="shared" si="289"/>
        <v>196920.60255442548</v>
      </c>
      <c r="H11885" s="389" t="s">
        <v>9567</v>
      </c>
      <c r="I11885" s="589"/>
      <c r="J11885" s="589"/>
    </row>
    <row r="11886" spans="1:10" x14ac:dyDescent="0.3">
      <c r="A11886" s="45">
        <v>45737</v>
      </c>
      <c r="B11886" s="800" t="s">
        <v>13902</v>
      </c>
      <c r="C11886" s="5" t="s">
        <v>11174</v>
      </c>
      <c r="D11886" s="5" t="s">
        <v>15767</v>
      </c>
      <c r="E11886" s="43">
        <v>1460</v>
      </c>
      <c r="F11886" s="43"/>
      <c r="G11886" s="48">
        <f t="shared" si="289"/>
        <v>195460.60255442548</v>
      </c>
      <c r="H11886" s="389" t="s">
        <v>9567</v>
      </c>
      <c r="I11886" s="589"/>
      <c r="J11886" s="589"/>
    </row>
    <row r="11887" spans="1:10" x14ac:dyDescent="0.3">
      <c r="A11887" s="45">
        <v>45737</v>
      </c>
      <c r="B11887" s="800" t="s">
        <v>15766</v>
      </c>
      <c r="C11887" s="5" t="s">
        <v>11174</v>
      </c>
      <c r="D11887" s="5" t="s">
        <v>10989</v>
      </c>
      <c r="E11887" s="43">
        <v>1460</v>
      </c>
      <c r="F11887" s="43"/>
      <c r="G11887" s="48">
        <f t="shared" si="289"/>
        <v>194000.60255442548</v>
      </c>
      <c r="H11887" s="389" t="s">
        <v>9567</v>
      </c>
      <c r="I11887" s="589"/>
      <c r="J11887" s="589"/>
    </row>
    <row r="11888" spans="1:10" x14ac:dyDescent="0.3">
      <c r="A11888" s="45">
        <v>45737</v>
      </c>
      <c r="B11888" s="800" t="s">
        <v>13902</v>
      </c>
      <c r="C11888" s="5" t="s">
        <v>11174</v>
      </c>
      <c r="D11888" s="5" t="s">
        <v>15768</v>
      </c>
      <c r="E11888" s="43">
        <v>20000</v>
      </c>
      <c r="F11888" s="43"/>
      <c r="G11888" s="48">
        <f t="shared" si="289"/>
        <v>174000.60255442548</v>
      </c>
      <c r="H11888" s="389" t="s">
        <v>9567</v>
      </c>
      <c r="I11888" s="589"/>
      <c r="J11888" s="589"/>
    </row>
    <row r="11889" spans="1:10" x14ac:dyDescent="0.3">
      <c r="A11889" s="45">
        <v>45737</v>
      </c>
      <c r="B11889" s="800" t="s">
        <v>25</v>
      </c>
      <c r="C11889" s="5" t="s">
        <v>26</v>
      </c>
      <c r="D11889" s="5" t="s">
        <v>15778</v>
      </c>
      <c r="E11889" s="43">
        <v>1600</v>
      </c>
      <c r="F11889" s="43"/>
      <c r="G11889" s="48">
        <f t="shared" si="289"/>
        <v>172400.60255442548</v>
      </c>
      <c r="H11889" s="389" t="s">
        <v>9567</v>
      </c>
      <c r="I11889" s="589"/>
      <c r="J11889" s="589"/>
    </row>
    <row r="11890" spans="1:10" x14ac:dyDescent="0.3">
      <c r="A11890" s="45">
        <v>45737</v>
      </c>
      <c r="B11890" s="800" t="s">
        <v>14590</v>
      </c>
      <c r="C11890" s="5" t="s">
        <v>5793</v>
      </c>
      <c r="D11890" s="5" t="s">
        <v>40</v>
      </c>
      <c r="E11890" s="43">
        <v>1200</v>
      </c>
      <c r="F11890" s="43"/>
      <c r="G11890" s="48">
        <f t="shared" si="289"/>
        <v>171200.60255442548</v>
      </c>
      <c r="H11890" s="389" t="s">
        <v>9567</v>
      </c>
      <c r="I11890" s="589"/>
      <c r="J11890" s="589"/>
    </row>
    <row r="11891" spans="1:10" x14ac:dyDescent="0.3">
      <c r="A11891" s="45">
        <v>45737</v>
      </c>
      <c r="B11891" s="800" t="s">
        <v>13902</v>
      </c>
      <c r="C11891" s="5" t="s">
        <v>5793</v>
      </c>
      <c r="D11891" s="5" t="s">
        <v>40</v>
      </c>
      <c r="E11891" s="43">
        <v>600</v>
      </c>
      <c r="F11891" s="43"/>
      <c r="G11891" s="48">
        <f t="shared" si="289"/>
        <v>170600.60255442548</v>
      </c>
      <c r="H11891" s="389" t="s">
        <v>9567</v>
      </c>
      <c r="I11891" s="589"/>
      <c r="J11891" s="589"/>
    </row>
    <row r="11892" spans="1:10" x14ac:dyDescent="0.3">
      <c r="A11892" s="45">
        <v>45737</v>
      </c>
      <c r="B11892" s="801" t="s">
        <v>15162</v>
      </c>
      <c r="C11892" s="5" t="s">
        <v>5793</v>
      </c>
      <c r="D11892" s="5" t="s">
        <v>40</v>
      </c>
      <c r="E11892" s="43">
        <v>2000</v>
      </c>
      <c r="F11892" s="43"/>
      <c r="G11892" s="48">
        <f t="shared" si="289"/>
        <v>168600.60255442548</v>
      </c>
      <c r="H11892" s="389" t="s">
        <v>9567</v>
      </c>
      <c r="I11892" s="589"/>
      <c r="J11892" s="589"/>
    </row>
    <row r="11893" spans="1:10" x14ac:dyDescent="0.3">
      <c r="A11893" s="45">
        <v>45737</v>
      </c>
      <c r="B11893" s="801" t="s">
        <v>13833</v>
      </c>
      <c r="C11893" s="5" t="s">
        <v>11174</v>
      </c>
      <c r="D11893" s="5" t="s">
        <v>11732</v>
      </c>
      <c r="E11893" s="43">
        <v>5820</v>
      </c>
      <c r="F11893" s="43"/>
      <c r="G11893" s="48">
        <f t="shared" si="289"/>
        <v>162780.60255442548</v>
      </c>
      <c r="H11893" s="389" t="s">
        <v>9567</v>
      </c>
      <c r="I11893" s="589"/>
      <c r="J11893" s="589"/>
    </row>
    <row r="11894" spans="1:10" x14ac:dyDescent="0.3">
      <c r="A11894" s="45">
        <v>45737</v>
      </c>
      <c r="B11894" s="801" t="s">
        <v>10319</v>
      </c>
      <c r="C11894" s="5" t="s">
        <v>9794</v>
      </c>
      <c r="D11894" s="5" t="s">
        <v>15779</v>
      </c>
      <c r="E11894" s="43">
        <v>3450</v>
      </c>
      <c r="F11894" s="43"/>
      <c r="G11894" s="48">
        <f t="shared" si="289"/>
        <v>159330.60255442548</v>
      </c>
      <c r="H11894" s="389" t="s">
        <v>9567</v>
      </c>
      <c r="I11894" s="589"/>
      <c r="J11894" s="589"/>
    </row>
    <row r="11895" spans="1:10" x14ac:dyDescent="0.3">
      <c r="A11895" s="45">
        <v>45738</v>
      </c>
      <c r="B11895" s="801"/>
      <c r="C11895" s="5" t="s">
        <v>5482</v>
      </c>
      <c r="D11895" s="5" t="s">
        <v>15770</v>
      </c>
      <c r="E11895" s="43">
        <v>5000</v>
      </c>
      <c r="F11895" s="43"/>
      <c r="G11895" s="48">
        <f t="shared" si="289"/>
        <v>154330.60255442548</v>
      </c>
      <c r="H11895" s="389" t="s">
        <v>9567</v>
      </c>
      <c r="I11895" s="589"/>
      <c r="J11895" s="589"/>
    </row>
    <row r="11896" spans="1:10" x14ac:dyDescent="0.3">
      <c r="A11896" s="45">
        <v>45738</v>
      </c>
      <c r="B11896" s="801" t="s">
        <v>25</v>
      </c>
      <c r="C11896" s="5" t="s">
        <v>26</v>
      </c>
      <c r="D11896" s="5" t="s">
        <v>14818</v>
      </c>
      <c r="E11896" s="43">
        <v>2000</v>
      </c>
      <c r="F11896" s="43"/>
      <c r="G11896" s="48">
        <f t="shared" si="289"/>
        <v>152330.60255442548</v>
      </c>
      <c r="H11896" s="389" t="s">
        <v>9567</v>
      </c>
      <c r="I11896" s="589"/>
      <c r="J11896" s="589"/>
    </row>
    <row r="11897" spans="1:10" x14ac:dyDescent="0.3">
      <c r="A11897" s="45">
        <v>45738</v>
      </c>
      <c r="B11897" s="801" t="s">
        <v>14701</v>
      </c>
      <c r="C11897" s="5" t="s">
        <v>84</v>
      </c>
      <c r="D11897" s="808" t="s">
        <v>15771</v>
      </c>
      <c r="E11897" s="43">
        <v>20000</v>
      </c>
      <c r="F11897" s="43"/>
      <c r="G11897" s="48">
        <f t="shared" si="289"/>
        <v>132330.60255442548</v>
      </c>
      <c r="H11897" s="389" t="s">
        <v>9567</v>
      </c>
      <c r="I11897" s="589"/>
      <c r="J11897" s="589"/>
    </row>
    <row r="11898" spans="1:10" x14ac:dyDescent="0.3">
      <c r="A11898" s="45">
        <v>45738</v>
      </c>
      <c r="B11898" s="801" t="s">
        <v>14701</v>
      </c>
      <c r="C11898" s="5" t="s">
        <v>84</v>
      </c>
      <c r="D11898" s="808" t="s">
        <v>15772</v>
      </c>
      <c r="E11898" s="43">
        <v>20000</v>
      </c>
      <c r="F11898" s="43"/>
      <c r="G11898" s="48">
        <f t="shared" si="289"/>
        <v>112330.60255442548</v>
      </c>
      <c r="H11898" s="389" t="s">
        <v>9567</v>
      </c>
      <c r="I11898" s="589"/>
      <c r="J11898" s="589"/>
    </row>
    <row r="11899" spans="1:10" x14ac:dyDescent="0.3">
      <c r="A11899" s="45">
        <v>45738</v>
      </c>
      <c r="B11899" s="801" t="s">
        <v>14701</v>
      </c>
      <c r="C11899" s="5" t="s">
        <v>84</v>
      </c>
      <c r="D11899" s="808" t="s">
        <v>15773</v>
      </c>
      <c r="E11899" s="43">
        <v>20000</v>
      </c>
      <c r="F11899" s="43"/>
      <c r="G11899" s="48">
        <f t="shared" si="289"/>
        <v>92330.602554425481</v>
      </c>
      <c r="H11899" s="389" t="s">
        <v>9567</v>
      </c>
      <c r="I11899" s="589"/>
      <c r="J11899" s="589"/>
    </row>
    <row r="11900" spans="1:10" x14ac:dyDescent="0.3">
      <c r="A11900" s="45">
        <v>45738</v>
      </c>
      <c r="B11900" s="801" t="s">
        <v>14701</v>
      </c>
      <c r="C11900" s="5" t="s">
        <v>84</v>
      </c>
      <c r="D11900" s="808" t="s">
        <v>15774</v>
      </c>
      <c r="E11900" s="43">
        <v>10000</v>
      </c>
      <c r="F11900" s="43"/>
      <c r="G11900" s="48">
        <f t="shared" si="289"/>
        <v>82330.602554425481</v>
      </c>
      <c r="H11900" s="389" t="s">
        <v>9567</v>
      </c>
      <c r="I11900" s="589"/>
      <c r="J11900" s="589"/>
    </row>
    <row r="11901" spans="1:10" x14ac:dyDescent="0.3">
      <c r="A11901" s="45">
        <v>45738</v>
      </c>
      <c r="B11901" s="801" t="s">
        <v>14701</v>
      </c>
      <c r="C11901" s="5" t="s">
        <v>84</v>
      </c>
      <c r="D11901" s="808" t="s">
        <v>15775</v>
      </c>
      <c r="E11901" s="43">
        <v>12000</v>
      </c>
      <c r="F11901" s="43"/>
      <c r="G11901" s="48">
        <f t="shared" si="289"/>
        <v>70330.602554425481</v>
      </c>
      <c r="H11901" s="389" t="s">
        <v>9567</v>
      </c>
      <c r="I11901" s="589"/>
      <c r="J11901" s="589"/>
    </row>
    <row r="11902" spans="1:10" x14ac:dyDescent="0.3">
      <c r="A11902" s="45">
        <v>45738</v>
      </c>
      <c r="B11902" s="801" t="s">
        <v>14701</v>
      </c>
      <c r="C11902" s="5" t="s">
        <v>84</v>
      </c>
      <c r="D11902" s="808" t="s">
        <v>15776</v>
      </c>
      <c r="E11902" s="43">
        <v>20000</v>
      </c>
      <c r="F11902" s="43"/>
      <c r="G11902" s="48">
        <f t="shared" si="289"/>
        <v>50330.602554425481</v>
      </c>
      <c r="H11902" s="389" t="s">
        <v>9567</v>
      </c>
      <c r="I11902" s="589"/>
      <c r="J11902" s="589"/>
    </row>
    <row r="11903" spans="1:10" x14ac:dyDescent="0.3">
      <c r="A11903" s="45">
        <v>45738</v>
      </c>
      <c r="B11903" s="801" t="s">
        <v>10319</v>
      </c>
      <c r="C11903" s="5" t="s">
        <v>30</v>
      </c>
      <c r="D11903" s="5" t="s">
        <v>15459</v>
      </c>
      <c r="E11903" s="43">
        <v>2250</v>
      </c>
      <c r="F11903" s="43"/>
      <c r="G11903" s="48">
        <f t="shared" si="289"/>
        <v>48080.602554425481</v>
      </c>
      <c r="H11903" s="389" t="s">
        <v>9567</v>
      </c>
      <c r="I11903" s="589"/>
      <c r="J11903" s="589"/>
    </row>
    <row r="11904" spans="1:10" x14ac:dyDescent="0.3">
      <c r="A11904" s="45">
        <v>45738</v>
      </c>
      <c r="B11904" s="801" t="s">
        <v>12796</v>
      </c>
      <c r="C11904" s="5" t="s">
        <v>11174</v>
      </c>
      <c r="D11904" s="5" t="s">
        <v>15691</v>
      </c>
      <c r="E11904" s="43">
        <v>3600</v>
      </c>
      <c r="F11904" s="43"/>
      <c r="G11904" s="48">
        <f t="shared" si="289"/>
        <v>44480.602554425481</v>
      </c>
      <c r="H11904" s="389" t="s">
        <v>9567</v>
      </c>
      <c r="I11904" s="589"/>
      <c r="J11904" s="589"/>
    </row>
    <row r="11905" spans="1:10" x14ac:dyDescent="0.3">
      <c r="A11905" s="45">
        <v>45738</v>
      </c>
      <c r="B11905" s="801" t="s">
        <v>15421</v>
      </c>
      <c r="C11905" s="5" t="s">
        <v>84</v>
      </c>
      <c r="D11905" s="808" t="s">
        <v>15777</v>
      </c>
      <c r="E11905" s="43">
        <v>3000</v>
      </c>
      <c r="F11905" s="43"/>
      <c r="G11905" s="48">
        <f t="shared" si="289"/>
        <v>41480.602554425481</v>
      </c>
      <c r="H11905" s="389" t="s">
        <v>9567</v>
      </c>
      <c r="I11905" s="589"/>
      <c r="J11905" s="589"/>
    </row>
    <row r="11906" spans="1:10" x14ac:dyDescent="0.3">
      <c r="A11906" s="45">
        <v>45738</v>
      </c>
      <c r="B11906" s="801" t="s">
        <v>25</v>
      </c>
      <c r="C11906" s="5" t="s">
        <v>84</v>
      </c>
      <c r="D11906" s="808" t="s">
        <v>15780</v>
      </c>
      <c r="E11906" s="43">
        <v>5000</v>
      </c>
      <c r="F11906" s="43"/>
      <c r="G11906" s="48">
        <f t="shared" si="289"/>
        <v>36480.602554425481</v>
      </c>
      <c r="H11906" s="389" t="s">
        <v>9567</v>
      </c>
      <c r="I11906" s="589"/>
      <c r="J11906" s="589"/>
    </row>
    <row r="11907" spans="1:10" x14ac:dyDescent="0.3">
      <c r="A11907" s="45">
        <v>45740</v>
      </c>
      <c r="B11907" s="801" t="s">
        <v>13321</v>
      </c>
      <c r="C11907" s="5" t="s">
        <v>5793</v>
      </c>
      <c r="D11907" s="5" t="s">
        <v>15786</v>
      </c>
      <c r="E11907" s="43">
        <v>8000</v>
      </c>
      <c r="F11907" s="43"/>
      <c r="G11907" s="48">
        <f t="shared" si="289"/>
        <v>28480.602554425481</v>
      </c>
      <c r="H11907" s="389" t="s">
        <v>9567</v>
      </c>
      <c r="I11907" s="589"/>
      <c r="J11907" s="589"/>
    </row>
    <row r="11908" spans="1:10" x14ac:dyDescent="0.3">
      <c r="A11908" s="45">
        <v>45740</v>
      </c>
      <c r="B11908" s="804" t="s">
        <v>14524</v>
      </c>
      <c r="C11908" s="5" t="s">
        <v>11174</v>
      </c>
      <c r="D11908" s="5" t="s">
        <v>15762</v>
      </c>
      <c r="E11908" s="43">
        <v>6000</v>
      </c>
      <c r="F11908" s="43"/>
      <c r="G11908" s="48">
        <f t="shared" si="289"/>
        <v>22480.602554425481</v>
      </c>
      <c r="H11908" s="389" t="s">
        <v>9567</v>
      </c>
      <c r="I11908" s="589"/>
      <c r="J11908" s="589"/>
    </row>
    <row r="11909" spans="1:10" x14ac:dyDescent="0.3">
      <c r="A11909" s="45">
        <v>45740</v>
      </c>
      <c r="B11909" s="804" t="s">
        <v>14524</v>
      </c>
      <c r="C11909" s="5" t="s">
        <v>11174</v>
      </c>
      <c r="D11909" s="5" t="s">
        <v>15787</v>
      </c>
      <c r="E11909" s="43">
        <v>2000</v>
      </c>
      <c r="F11909" s="43"/>
      <c r="G11909" s="48">
        <f t="shared" si="289"/>
        <v>20480.602554425481</v>
      </c>
      <c r="H11909" s="389" t="s">
        <v>9567</v>
      </c>
      <c r="I11909" s="589"/>
      <c r="J11909" s="589"/>
    </row>
    <row r="11910" spans="1:10" x14ac:dyDescent="0.3">
      <c r="A11910" s="45">
        <v>45740</v>
      </c>
      <c r="B11910" s="804" t="s">
        <v>14524</v>
      </c>
      <c r="C11910" s="5" t="s">
        <v>5793</v>
      </c>
      <c r="D11910" s="5" t="s">
        <v>15788</v>
      </c>
      <c r="E11910" s="43">
        <v>500</v>
      </c>
      <c r="F11910" s="43"/>
      <c r="G11910" s="48">
        <f t="shared" si="289"/>
        <v>19980.602554425481</v>
      </c>
      <c r="H11910" s="389" t="s">
        <v>9567</v>
      </c>
      <c r="I11910" s="589"/>
      <c r="J11910" s="589"/>
    </row>
    <row r="11911" spans="1:10" x14ac:dyDescent="0.3">
      <c r="A11911" s="45">
        <v>45740</v>
      </c>
      <c r="B11911" s="804" t="s">
        <v>14590</v>
      </c>
      <c r="C11911" s="5" t="s">
        <v>5793</v>
      </c>
      <c r="D11911" s="5" t="s">
        <v>15789</v>
      </c>
      <c r="E11911" s="43">
        <v>6000</v>
      </c>
      <c r="F11911" s="43"/>
      <c r="G11911" s="48">
        <f t="shared" si="289"/>
        <v>13980.602554425481</v>
      </c>
      <c r="H11911" s="389" t="s">
        <v>9567</v>
      </c>
      <c r="I11911" s="589"/>
      <c r="J11911" s="589"/>
    </row>
    <row r="11912" spans="1:10" x14ac:dyDescent="0.3">
      <c r="A11912" s="45">
        <v>45740</v>
      </c>
      <c r="B11912" s="565"/>
      <c r="C11912" s="480"/>
      <c r="D11912" s="491" t="s">
        <v>4364</v>
      </c>
      <c r="E11912" s="480"/>
      <c r="F11912" s="43">
        <v>100000</v>
      </c>
      <c r="G11912" s="48">
        <f t="shared" si="289"/>
        <v>113980.60255442548</v>
      </c>
      <c r="H11912" s="389" t="s">
        <v>9567</v>
      </c>
      <c r="I11912" s="589"/>
      <c r="J11912" s="589"/>
    </row>
    <row r="11913" spans="1:10" x14ac:dyDescent="0.3">
      <c r="A11913" s="45">
        <v>45740</v>
      </c>
      <c r="B11913" s="804" t="s">
        <v>15146</v>
      </c>
      <c r="C11913" s="5" t="s">
        <v>15791</v>
      </c>
      <c r="D11913" s="5" t="s">
        <v>294</v>
      </c>
      <c r="E11913" s="43">
        <v>30000</v>
      </c>
      <c r="F11913" s="43"/>
      <c r="G11913" s="48">
        <f t="shared" si="289"/>
        <v>83980.602554425481</v>
      </c>
      <c r="H11913" s="389" t="s">
        <v>9567</v>
      </c>
      <c r="I11913" s="589"/>
      <c r="J11913" s="589"/>
    </row>
    <row r="11914" spans="1:10" x14ac:dyDescent="0.3">
      <c r="A11914" s="45">
        <v>45741</v>
      </c>
      <c r="B11914" s="804" t="s">
        <v>14701</v>
      </c>
      <c r="C11914" s="5" t="s">
        <v>5793</v>
      </c>
      <c r="D11914" s="5" t="s">
        <v>40</v>
      </c>
      <c r="E11914" s="43">
        <v>2200</v>
      </c>
      <c r="F11914" s="43"/>
      <c r="G11914" s="48">
        <f t="shared" si="289"/>
        <v>81780.602554425481</v>
      </c>
      <c r="H11914" s="389" t="s">
        <v>9567</v>
      </c>
      <c r="I11914" s="589"/>
      <c r="J11914" s="589"/>
    </row>
    <row r="11915" spans="1:10" x14ac:dyDescent="0.3">
      <c r="A11915" s="45">
        <v>45741</v>
      </c>
      <c r="B11915" s="805" t="s">
        <v>14701</v>
      </c>
      <c r="C11915" s="5" t="s">
        <v>84</v>
      </c>
      <c r="D11915" s="808" t="s">
        <v>15793</v>
      </c>
      <c r="E11915" s="43">
        <v>5000</v>
      </c>
      <c r="F11915" s="43"/>
      <c r="G11915" s="48">
        <f t="shared" si="289"/>
        <v>76780.602554425481</v>
      </c>
      <c r="H11915" s="389" t="s">
        <v>9567</v>
      </c>
      <c r="I11915" s="589"/>
      <c r="J11915" s="589"/>
    </row>
    <row r="11916" spans="1:10" x14ac:dyDescent="0.3">
      <c r="A11916" s="45">
        <v>45741</v>
      </c>
      <c r="B11916" s="810" t="s">
        <v>25</v>
      </c>
      <c r="C11916" s="5" t="s">
        <v>5482</v>
      </c>
      <c r="D11916" s="808" t="s">
        <v>15798</v>
      </c>
      <c r="E11916" s="43">
        <v>5000</v>
      </c>
      <c r="F11916" s="43"/>
      <c r="G11916" s="48">
        <f t="shared" si="289"/>
        <v>71780.602554425481</v>
      </c>
      <c r="H11916" s="389" t="s">
        <v>9567</v>
      </c>
      <c r="I11916" s="589"/>
      <c r="J11916" s="589"/>
    </row>
    <row r="11917" spans="1:10" x14ac:dyDescent="0.3">
      <c r="A11917" s="45">
        <v>45741</v>
      </c>
      <c r="B11917" s="805" t="s">
        <v>14701</v>
      </c>
      <c r="C11917" s="5" t="s">
        <v>84</v>
      </c>
      <c r="D11917" s="808" t="s">
        <v>15735</v>
      </c>
      <c r="E11917" s="43">
        <v>2000</v>
      </c>
      <c r="F11917" s="43"/>
      <c r="G11917" s="48">
        <f t="shared" si="289"/>
        <v>69780.602554425481</v>
      </c>
      <c r="H11917" s="389" t="s">
        <v>9567</v>
      </c>
      <c r="I11917" s="589"/>
      <c r="J11917" s="589"/>
    </row>
    <row r="11918" spans="1:10" x14ac:dyDescent="0.3">
      <c r="A11918" s="45">
        <v>45742</v>
      </c>
      <c r="B11918" s="806" t="s">
        <v>25</v>
      </c>
      <c r="C11918" s="5" t="s">
        <v>84</v>
      </c>
      <c r="D11918" s="808" t="s">
        <v>15794</v>
      </c>
      <c r="E11918" s="43">
        <v>10500</v>
      </c>
      <c r="F11918" s="43"/>
      <c r="G11918" s="48">
        <f t="shared" si="289"/>
        <v>59280.602554425481</v>
      </c>
      <c r="H11918" s="389" t="s">
        <v>9567</v>
      </c>
      <c r="I11918" s="589"/>
      <c r="J11918" s="589"/>
    </row>
    <row r="11919" spans="1:10" x14ac:dyDescent="0.3">
      <c r="A11919" s="45">
        <v>45742</v>
      </c>
      <c r="B11919" s="565"/>
      <c r="C11919" s="480"/>
      <c r="D11919" s="491" t="s">
        <v>12269</v>
      </c>
      <c r="E11919" s="480"/>
      <c r="F11919" s="43">
        <v>1500000</v>
      </c>
      <c r="G11919" s="48">
        <f t="shared" si="289"/>
        <v>1559280.6025544256</v>
      </c>
      <c r="H11919" s="389" t="s">
        <v>9567</v>
      </c>
      <c r="I11919" s="589"/>
      <c r="J11919" s="589"/>
    </row>
    <row r="11920" spans="1:10" x14ac:dyDescent="0.3">
      <c r="A11920" s="45">
        <v>45742</v>
      </c>
      <c r="B11920" s="565"/>
      <c r="C11920" s="480"/>
      <c r="D11920" s="491" t="s">
        <v>4364</v>
      </c>
      <c r="E11920" s="480"/>
      <c r="F11920" s="43">
        <v>500000</v>
      </c>
      <c r="G11920" s="48">
        <f t="shared" si="289"/>
        <v>2059280.6025544256</v>
      </c>
      <c r="H11920" s="389" t="s">
        <v>9567</v>
      </c>
      <c r="I11920" s="589"/>
      <c r="J11920" s="589"/>
    </row>
    <row r="11921" spans="1:14" x14ac:dyDescent="0.3">
      <c r="A11921" s="45">
        <v>45742</v>
      </c>
      <c r="B11921" s="806" t="s">
        <v>12133</v>
      </c>
      <c r="C11921" s="5" t="s">
        <v>84</v>
      </c>
      <c r="D11921" s="5" t="s">
        <v>15795</v>
      </c>
      <c r="E11921" s="43">
        <v>30000</v>
      </c>
      <c r="F11921" s="43"/>
      <c r="G11921" s="48">
        <f t="shared" si="289"/>
        <v>2029280.6025544256</v>
      </c>
      <c r="H11921" s="389" t="s">
        <v>9567</v>
      </c>
      <c r="I11921" s="589"/>
      <c r="J11921" s="589"/>
    </row>
    <row r="11922" spans="1:14" x14ac:dyDescent="0.3">
      <c r="A11922" s="45">
        <v>45742</v>
      </c>
      <c r="B11922" s="809" t="s">
        <v>15494</v>
      </c>
      <c r="C11922" s="186" t="s">
        <v>54</v>
      </c>
      <c r="D11922" s="5" t="s">
        <v>15796</v>
      </c>
      <c r="E11922" s="43">
        <v>70000</v>
      </c>
      <c r="F11922" s="43"/>
      <c r="G11922" s="48">
        <f t="shared" si="289"/>
        <v>1959280.6025544256</v>
      </c>
      <c r="H11922" s="389" t="s">
        <v>9567</v>
      </c>
      <c r="I11922" s="589"/>
      <c r="J11922" s="589"/>
    </row>
    <row r="11923" spans="1:14" x14ac:dyDescent="0.3">
      <c r="A11923" s="45">
        <v>45742</v>
      </c>
      <c r="B11923" s="806" t="s">
        <v>15146</v>
      </c>
      <c r="C11923" s="5" t="s">
        <v>14463</v>
      </c>
      <c r="D11923" s="5" t="s">
        <v>294</v>
      </c>
      <c r="E11923" s="43">
        <v>5000</v>
      </c>
      <c r="F11923" s="43"/>
      <c r="G11923" s="48">
        <f t="shared" si="289"/>
        <v>1954280.6025544256</v>
      </c>
      <c r="H11923" s="389" t="s">
        <v>9567</v>
      </c>
      <c r="I11923" s="589"/>
      <c r="J11923" s="589"/>
    </row>
    <row r="11924" spans="1:14" x14ac:dyDescent="0.3">
      <c r="A11924" s="45">
        <v>45742</v>
      </c>
      <c r="B11924" s="809" t="s">
        <v>25</v>
      </c>
      <c r="C11924" s="186" t="s">
        <v>54</v>
      </c>
      <c r="D11924" s="186" t="s">
        <v>15797</v>
      </c>
      <c r="E11924" s="187">
        <v>129500</v>
      </c>
      <c r="F11924" s="43"/>
      <c r="G11924" s="48">
        <f t="shared" si="289"/>
        <v>1824780.6025544256</v>
      </c>
      <c r="H11924" s="389" t="s">
        <v>9567</v>
      </c>
      <c r="I11924" s="589"/>
      <c r="J11924" s="589"/>
    </row>
    <row r="11925" spans="1:14" x14ac:dyDescent="0.3">
      <c r="A11925" s="45">
        <v>45742</v>
      </c>
      <c r="B11925" s="806" t="s">
        <v>25</v>
      </c>
      <c r="C11925" s="5" t="s">
        <v>26</v>
      </c>
      <c r="D11925" s="5" t="s">
        <v>7105</v>
      </c>
      <c r="E11925" s="43">
        <v>2500</v>
      </c>
      <c r="F11925" s="43"/>
      <c r="G11925" s="48">
        <f t="shared" si="289"/>
        <v>1822280.6025544256</v>
      </c>
      <c r="H11925" s="389" t="s">
        <v>9567</v>
      </c>
      <c r="I11925" s="589"/>
      <c r="J11925" s="589"/>
    </row>
    <row r="11926" spans="1:14" x14ac:dyDescent="0.3">
      <c r="A11926" s="45">
        <v>45742</v>
      </c>
      <c r="B11926" s="812" t="s">
        <v>25</v>
      </c>
      <c r="C11926" s="5" t="s">
        <v>26</v>
      </c>
      <c r="D11926" s="5" t="s">
        <v>11434</v>
      </c>
      <c r="E11926" s="43">
        <v>3000</v>
      </c>
      <c r="F11926" s="43"/>
      <c r="G11926" s="48">
        <f t="shared" si="289"/>
        <v>1819280.6025544256</v>
      </c>
      <c r="H11926" s="389" t="s">
        <v>9567</v>
      </c>
      <c r="I11926" s="589"/>
      <c r="J11926" s="589"/>
    </row>
    <row r="11927" spans="1:14" s="387" customFormat="1" ht="37.5" x14ac:dyDescent="0.3">
      <c r="A11927" s="45">
        <v>45743</v>
      </c>
      <c r="B11927" s="813" t="s">
        <v>14701</v>
      </c>
      <c r="C11927" s="665" t="s">
        <v>54</v>
      </c>
      <c r="D11927" s="814" t="s">
        <v>15818</v>
      </c>
      <c r="E11927" s="29">
        <f>171960+20000+17600+75500+40800+48070+46500+22000+13000</f>
        <v>455430</v>
      </c>
      <c r="F11927" s="28"/>
      <c r="G11927" s="48">
        <f t="shared" si="289"/>
        <v>1363850.6025544256</v>
      </c>
      <c r="H11927" s="389" t="s">
        <v>9567</v>
      </c>
      <c r="I11927" s="736"/>
      <c r="J11927" s="736"/>
      <c r="K11927" s="155"/>
      <c r="N11927" s="155"/>
    </row>
    <row r="11928" spans="1:14" x14ac:dyDescent="0.3">
      <c r="A11928" s="45">
        <v>45743</v>
      </c>
      <c r="B11928" s="809" t="s">
        <v>25</v>
      </c>
      <c r="C11928" s="186" t="s">
        <v>54</v>
      </c>
      <c r="D11928" s="186" t="s">
        <v>12958</v>
      </c>
      <c r="E11928" s="187">
        <v>50000</v>
      </c>
      <c r="F11928" s="43"/>
      <c r="G11928" s="48">
        <f t="shared" si="289"/>
        <v>1313850.6025544256</v>
      </c>
      <c r="H11928" s="389" t="s">
        <v>9567</v>
      </c>
      <c r="I11928" s="589"/>
      <c r="J11928" s="589"/>
    </row>
    <row r="11929" spans="1:14" x14ac:dyDescent="0.3">
      <c r="A11929" s="45">
        <v>45743</v>
      </c>
      <c r="B11929" s="807" t="s">
        <v>25</v>
      </c>
      <c r="C11929" s="5" t="s">
        <v>4400</v>
      </c>
      <c r="D11929" s="5" t="s">
        <v>3332</v>
      </c>
      <c r="E11929" s="43">
        <v>5330</v>
      </c>
      <c r="F11929" s="43"/>
      <c r="G11929" s="48">
        <f t="shared" si="289"/>
        <v>1308520.6025544256</v>
      </c>
      <c r="H11929" s="389" t="s">
        <v>9567</v>
      </c>
      <c r="I11929" s="589"/>
      <c r="J11929" s="589"/>
    </row>
    <row r="11930" spans="1:14" x14ac:dyDescent="0.3">
      <c r="A11930" s="45">
        <v>45743</v>
      </c>
      <c r="B11930" s="810" t="s">
        <v>25</v>
      </c>
      <c r="C11930" s="5" t="s">
        <v>1074</v>
      </c>
      <c r="D11930" s="5" t="s">
        <v>15589</v>
      </c>
      <c r="E11930" s="43">
        <v>22802</v>
      </c>
      <c r="F11930" s="43"/>
      <c r="G11930" s="48">
        <f t="shared" si="289"/>
        <v>1285718.6025544256</v>
      </c>
      <c r="H11930" s="389" t="s">
        <v>9567</v>
      </c>
      <c r="I11930" s="583" t="s">
        <v>15805</v>
      </c>
      <c r="J11930" s="583">
        <v>3042315</v>
      </c>
    </row>
    <row r="11931" spans="1:14" x14ac:dyDescent="0.3">
      <c r="A11931" s="45">
        <v>45743</v>
      </c>
      <c r="B11931" s="810" t="s">
        <v>12230</v>
      </c>
      <c r="C11931" s="5" t="s">
        <v>1074</v>
      </c>
      <c r="D11931" s="5" t="s">
        <v>15589</v>
      </c>
      <c r="E11931" s="43">
        <v>41796</v>
      </c>
      <c r="F11931" s="43"/>
      <c r="G11931" s="48">
        <f t="shared" si="289"/>
        <v>1243922.6025544256</v>
      </c>
      <c r="H11931" s="389" t="s">
        <v>9567</v>
      </c>
      <c r="I11931" s="583" t="s">
        <v>12921</v>
      </c>
      <c r="J11931" s="583">
        <f>J11930*8%</f>
        <v>243385.2</v>
      </c>
    </row>
    <row r="11932" spans="1:14" x14ac:dyDescent="0.3">
      <c r="A11932" s="45">
        <v>45743</v>
      </c>
      <c r="B11932" s="810" t="s">
        <v>25</v>
      </c>
      <c r="C11932" s="5" t="s">
        <v>26</v>
      </c>
      <c r="D11932" s="5" t="s">
        <v>15807</v>
      </c>
      <c r="E11932" s="43">
        <v>2200</v>
      </c>
      <c r="F11932" s="43"/>
      <c r="G11932" s="48">
        <f t="shared" si="289"/>
        <v>1241722.6025544256</v>
      </c>
      <c r="H11932" s="389" t="s">
        <v>9567</v>
      </c>
      <c r="I11932" s="583"/>
      <c r="J11932" s="583">
        <f>J11930-J11931</f>
        <v>2798929.8</v>
      </c>
    </row>
    <row r="11933" spans="1:14" x14ac:dyDescent="0.3">
      <c r="A11933" s="45">
        <v>45743</v>
      </c>
      <c r="B11933" s="809" t="s">
        <v>15808</v>
      </c>
      <c r="C11933" s="186" t="s">
        <v>54</v>
      </c>
      <c r="D11933" s="186" t="s">
        <v>13364</v>
      </c>
      <c r="E11933" s="187">
        <v>83800</v>
      </c>
      <c r="F11933" s="43"/>
      <c r="G11933" s="48">
        <f t="shared" si="289"/>
        <v>1157922.6025544256</v>
      </c>
      <c r="H11933" s="389" t="s">
        <v>9567</v>
      </c>
      <c r="I11933" s="583" t="s">
        <v>15804</v>
      </c>
      <c r="J11933" s="815">
        <f>J11932*6%</f>
        <v>167935.78799999997</v>
      </c>
    </row>
    <row r="11934" spans="1:14" x14ac:dyDescent="0.3">
      <c r="A11934" s="45">
        <v>45743</v>
      </c>
      <c r="B11934" s="809" t="s">
        <v>15421</v>
      </c>
      <c r="C11934" s="186" t="s">
        <v>54</v>
      </c>
      <c r="D11934" s="186" t="s">
        <v>15817</v>
      </c>
      <c r="E11934" s="187">
        <f>69550+45720</f>
        <v>115270</v>
      </c>
      <c r="F11934" s="43"/>
      <c r="G11934" s="48">
        <f t="shared" si="289"/>
        <v>1042652.6025544256</v>
      </c>
      <c r="H11934" s="389" t="s">
        <v>9567</v>
      </c>
      <c r="I11934" s="583"/>
      <c r="J11934" s="583">
        <f>J11932-J11933</f>
        <v>2630994.0119999996</v>
      </c>
    </row>
    <row r="11935" spans="1:14" x14ac:dyDescent="0.3">
      <c r="A11935" s="45">
        <v>45743</v>
      </c>
      <c r="B11935" s="810" t="s">
        <v>25</v>
      </c>
      <c r="C11935" s="5" t="s">
        <v>26</v>
      </c>
      <c r="D11935" s="5" t="s">
        <v>15247</v>
      </c>
      <c r="E11935" s="43">
        <v>1000</v>
      </c>
      <c r="F11935" s="43"/>
      <c r="G11935" s="48">
        <f t="shared" si="289"/>
        <v>1041652.6025544256</v>
      </c>
      <c r="H11935" s="389" t="s">
        <v>9567</v>
      </c>
      <c r="I11935" s="583"/>
      <c r="J11935" s="583"/>
    </row>
    <row r="11936" spans="1:14" x14ac:dyDescent="0.3">
      <c r="A11936" s="45">
        <v>45743</v>
      </c>
      <c r="B11936" s="809" t="s">
        <v>12133</v>
      </c>
      <c r="C11936" s="186" t="s">
        <v>54</v>
      </c>
      <c r="D11936" s="186" t="s">
        <v>12758</v>
      </c>
      <c r="E11936" s="187">
        <v>30000</v>
      </c>
      <c r="F11936" s="43"/>
      <c r="G11936" s="48">
        <f t="shared" si="289"/>
        <v>1011652.6025544256</v>
      </c>
      <c r="H11936" s="389" t="s">
        <v>9567</v>
      </c>
      <c r="I11936" s="583"/>
      <c r="J11936" s="583"/>
    </row>
    <row r="11937" spans="1:11" x14ac:dyDescent="0.3">
      <c r="A11937" s="45">
        <v>45743</v>
      </c>
      <c r="B11937" s="809" t="s">
        <v>13902</v>
      </c>
      <c r="C11937" s="186" t="s">
        <v>54</v>
      </c>
      <c r="D11937" s="186" t="s">
        <v>15809</v>
      </c>
      <c r="E11937" s="187">
        <v>55000</v>
      </c>
      <c r="F11937" s="43"/>
      <c r="G11937" s="48">
        <f t="shared" si="289"/>
        <v>956652.6025544256</v>
      </c>
      <c r="H11937" s="389" t="s">
        <v>9567</v>
      </c>
      <c r="I11937" s="583" t="s">
        <v>15806</v>
      </c>
      <c r="J11937" s="583">
        <v>2479770</v>
      </c>
    </row>
    <row r="11938" spans="1:11" x14ac:dyDescent="0.3">
      <c r="A11938" s="45">
        <v>45743</v>
      </c>
      <c r="B11938" s="809" t="s">
        <v>12080</v>
      </c>
      <c r="C11938" s="186" t="s">
        <v>54</v>
      </c>
      <c r="D11938" s="186" t="s">
        <v>12746</v>
      </c>
      <c r="E11938" s="187">
        <f>221427+3000</f>
        <v>224427</v>
      </c>
      <c r="F11938" s="43"/>
      <c r="G11938" s="48">
        <f t="shared" si="289"/>
        <v>732225.6025544256</v>
      </c>
      <c r="H11938" s="389" t="s">
        <v>9567</v>
      </c>
      <c r="I11938" s="583"/>
      <c r="J11938" s="583"/>
    </row>
    <row r="11939" spans="1:11" x14ac:dyDescent="0.3">
      <c r="A11939" s="45">
        <v>45743</v>
      </c>
      <c r="B11939" s="810" t="s">
        <v>12080</v>
      </c>
      <c r="C11939" s="5" t="s">
        <v>26</v>
      </c>
      <c r="D11939" s="5" t="s">
        <v>15291</v>
      </c>
      <c r="E11939" s="43">
        <v>3000</v>
      </c>
      <c r="F11939" s="43"/>
      <c r="G11939" s="48">
        <f t="shared" si="289"/>
        <v>729225.6025544256</v>
      </c>
      <c r="H11939" s="389" t="s">
        <v>9567</v>
      </c>
      <c r="I11939" s="583" t="s">
        <v>15803</v>
      </c>
      <c r="J11939" s="583">
        <f>J11934-J11937</f>
        <v>151224.01199999964</v>
      </c>
    </row>
    <row r="11940" spans="1:11" x14ac:dyDescent="0.3">
      <c r="A11940" s="45">
        <v>45743</v>
      </c>
      <c r="B11940" s="809" t="s">
        <v>13138</v>
      </c>
      <c r="C11940" s="186" t="s">
        <v>54</v>
      </c>
      <c r="D11940" s="186" t="s">
        <v>15661</v>
      </c>
      <c r="E11940" s="187">
        <v>114220</v>
      </c>
      <c r="F11940" s="43"/>
      <c r="G11940" s="48">
        <f t="shared" ref="G11940:G12047" si="292">G11939+F11940-E11940</f>
        <v>615005.6025544256</v>
      </c>
      <c r="H11940" s="389" t="s">
        <v>9567</v>
      </c>
      <c r="K11940" s="710"/>
    </row>
    <row r="11941" spans="1:11" x14ac:dyDescent="0.3">
      <c r="A11941" s="45">
        <v>45743</v>
      </c>
      <c r="B11941" s="809" t="s">
        <v>13833</v>
      </c>
      <c r="C11941" s="186" t="s">
        <v>54</v>
      </c>
      <c r="D11941" s="186" t="s">
        <v>15810</v>
      </c>
      <c r="E11941" s="187">
        <v>73450</v>
      </c>
      <c r="F11941" s="43"/>
      <c r="G11941" s="48">
        <f t="shared" si="292"/>
        <v>541555.6025544256</v>
      </c>
      <c r="H11941" s="389" t="s">
        <v>9567</v>
      </c>
    </row>
    <row r="11942" spans="1:11" x14ac:dyDescent="0.3">
      <c r="A11942" s="45">
        <v>45743</v>
      </c>
      <c r="B11942" s="809" t="s">
        <v>12055</v>
      </c>
      <c r="C11942" s="186" t="s">
        <v>54</v>
      </c>
      <c r="D11942" s="186" t="s">
        <v>6236</v>
      </c>
      <c r="E11942" s="187">
        <v>167229.83870967742</v>
      </c>
      <c r="F11942" s="43"/>
      <c r="G11942" s="48">
        <f t="shared" si="292"/>
        <v>374325.76384474814</v>
      </c>
      <c r="H11942" s="389" t="s">
        <v>9567</v>
      </c>
      <c r="I11942" s="52" t="e">
        <f>#REF!-5000</f>
        <v>#REF!</v>
      </c>
    </row>
    <row r="11943" spans="1:11" x14ac:dyDescent="0.3">
      <c r="A11943" s="45">
        <v>45743</v>
      </c>
      <c r="B11943" s="809" t="s">
        <v>14701</v>
      </c>
      <c r="C11943" s="186" t="s">
        <v>54</v>
      </c>
      <c r="D11943" s="186" t="s">
        <v>15811</v>
      </c>
      <c r="E11943" s="187">
        <v>84870.967741935485</v>
      </c>
      <c r="F11943" s="43"/>
      <c r="G11943" s="48">
        <f t="shared" si="292"/>
        <v>289454.79610281263</v>
      </c>
      <c r="H11943" s="389" t="s">
        <v>9567</v>
      </c>
    </row>
    <row r="11944" spans="1:11" x14ac:dyDescent="0.3">
      <c r="A11944" s="45">
        <v>45744</v>
      </c>
      <c r="B11944" s="812" t="s">
        <v>13833</v>
      </c>
      <c r="C11944" s="5" t="s">
        <v>15765</v>
      </c>
      <c r="D11944" s="5" t="s">
        <v>14117</v>
      </c>
      <c r="E11944" s="43">
        <v>49500</v>
      </c>
      <c r="F11944" s="43"/>
      <c r="G11944" s="48">
        <f t="shared" si="292"/>
        <v>239954.79610281263</v>
      </c>
      <c r="H11944" s="389" t="s">
        <v>9567</v>
      </c>
    </row>
    <row r="11945" spans="1:11" x14ac:dyDescent="0.3">
      <c r="A11945" s="45">
        <v>45744</v>
      </c>
      <c r="B11945" s="811" t="s">
        <v>14590</v>
      </c>
      <c r="C11945" s="186" t="s">
        <v>54</v>
      </c>
      <c r="D11945" s="186" t="s">
        <v>15816</v>
      </c>
      <c r="E11945" s="187">
        <f>40000+25000</f>
        <v>65000</v>
      </c>
      <c r="F11945" s="43"/>
      <c r="G11945" s="48">
        <f t="shared" si="292"/>
        <v>174954.79610281263</v>
      </c>
      <c r="H11945" s="389" t="s">
        <v>9567</v>
      </c>
      <c r="I11945" s="583" t="s">
        <v>12514</v>
      </c>
      <c r="J11945" s="187">
        <v>3536818.5483870972</v>
      </c>
    </row>
    <row r="11946" spans="1:11" x14ac:dyDescent="0.3">
      <c r="A11946" s="45">
        <v>45744</v>
      </c>
      <c r="B11946" s="812" t="s">
        <v>14590</v>
      </c>
      <c r="C11946" s="5" t="s">
        <v>30</v>
      </c>
      <c r="D11946" s="5" t="s">
        <v>15641</v>
      </c>
      <c r="E11946" s="43">
        <v>500</v>
      </c>
      <c r="F11946" s="43"/>
      <c r="G11946" s="48">
        <f t="shared" si="292"/>
        <v>174454.79610281263</v>
      </c>
      <c r="H11946" s="389" t="s">
        <v>9567</v>
      </c>
      <c r="I11946" s="583" t="s">
        <v>55</v>
      </c>
      <c r="J11946" s="187">
        <f ca="1">SUMIF(C11913:E127551,"salary",E11913:E138562)</f>
        <v>5026958.9892473109</v>
      </c>
    </row>
    <row r="11947" spans="1:11" x14ac:dyDescent="0.3">
      <c r="A11947" s="45">
        <v>45744</v>
      </c>
      <c r="B11947" s="565"/>
      <c r="C11947" s="480"/>
      <c r="D11947" s="491" t="s">
        <v>4364</v>
      </c>
      <c r="E11947" s="480"/>
      <c r="F11947" s="43">
        <v>300000</v>
      </c>
      <c r="G11947" s="48">
        <f t="shared" si="292"/>
        <v>474454.79610281263</v>
      </c>
      <c r="H11947" s="389" t="s">
        <v>9567</v>
      </c>
      <c r="I11947" s="583" t="s">
        <v>12233</v>
      </c>
      <c r="J11947" s="187">
        <f ca="1">J11945-J11946</f>
        <v>-1490140.4408602137</v>
      </c>
    </row>
    <row r="11948" spans="1:11" x14ac:dyDescent="0.3">
      <c r="A11948" s="45">
        <v>45744</v>
      </c>
      <c r="B11948" s="811" t="s">
        <v>13138</v>
      </c>
      <c r="C11948" s="186" t="s">
        <v>54</v>
      </c>
      <c r="D11948" s="186" t="s">
        <v>14888</v>
      </c>
      <c r="E11948" s="187">
        <f>55000+40000</f>
        <v>95000</v>
      </c>
      <c r="F11948" s="43"/>
      <c r="G11948" s="48">
        <f t="shared" si="292"/>
        <v>379454.79610281263</v>
      </c>
      <c r="H11948" s="389" t="s">
        <v>9567</v>
      </c>
    </row>
    <row r="11949" spans="1:11" x14ac:dyDescent="0.3">
      <c r="A11949" s="45">
        <v>45744</v>
      </c>
      <c r="B11949" s="811" t="s">
        <v>14524</v>
      </c>
      <c r="C11949" s="186" t="s">
        <v>54</v>
      </c>
      <c r="D11949" s="186" t="s">
        <v>15289</v>
      </c>
      <c r="E11949" s="187">
        <v>45000</v>
      </c>
      <c r="F11949" s="43"/>
      <c r="G11949" s="48">
        <f t="shared" si="292"/>
        <v>334454.79610281263</v>
      </c>
      <c r="H11949" s="389" t="s">
        <v>9567</v>
      </c>
    </row>
    <row r="11950" spans="1:11" x14ac:dyDescent="0.3">
      <c r="A11950" s="45">
        <v>45745</v>
      </c>
      <c r="B11950" s="812" t="s">
        <v>12133</v>
      </c>
      <c r="C11950" s="5" t="s">
        <v>13233</v>
      </c>
      <c r="D11950" s="5" t="s">
        <v>294</v>
      </c>
      <c r="E11950" s="43">
        <v>50000</v>
      </c>
      <c r="F11950" s="43"/>
      <c r="G11950" s="48">
        <f t="shared" si="292"/>
        <v>284454.79610281263</v>
      </c>
      <c r="H11950" s="389" t="s">
        <v>9567</v>
      </c>
    </row>
    <row r="11951" spans="1:11" x14ac:dyDescent="0.3">
      <c r="A11951" s="45">
        <v>45745</v>
      </c>
      <c r="B11951" s="812" t="s">
        <v>14701</v>
      </c>
      <c r="C11951" s="5" t="s">
        <v>84</v>
      </c>
      <c r="D11951" s="5" t="s">
        <v>15819</v>
      </c>
      <c r="E11951" s="43">
        <v>10000</v>
      </c>
      <c r="F11951" s="43"/>
      <c r="G11951" s="48">
        <f t="shared" si="292"/>
        <v>274454.79610281263</v>
      </c>
      <c r="H11951" s="389" t="s">
        <v>9567</v>
      </c>
    </row>
    <row r="11952" spans="1:11" x14ac:dyDescent="0.3">
      <c r="A11952" s="45">
        <v>45745</v>
      </c>
      <c r="B11952" s="812"/>
      <c r="C11952" s="5" t="s">
        <v>14</v>
      </c>
      <c r="D11952" s="5" t="s">
        <v>14455</v>
      </c>
      <c r="E11952" s="43">
        <v>3000</v>
      </c>
      <c r="F11952" s="43"/>
      <c r="G11952" s="48">
        <f t="shared" si="292"/>
        <v>271454.79610281263</v>
      </c>
      <c r="H11952" s="389" t="s">
        <v>9567</v>
      </c>
    </row>
    <row r="11953" spans="1:8" x14ac:dyDescent="0.3">
      <c r="A11953" s="45">
        <v>45745</v>
      </c>
      <c r="B11953" s="817" t="s">
        <v>14701</v>
      </c>
      <c r="C11953" s="5" t="s">
        <v>26</v>
      </c>
      <c r="D11953" s="5" t="s">
        <v>15490</v>
      </c>
      <c r="E11953" s="43">
        <v>2000</v>
      </c>
      <c r="F11953" s="43"/>
      <c r="G11953" s="48">
        <f t="shared" si="292"/>
        <v>269454.79610281263</v>
      </c>
      <c r="H11953" s="389" t="s">
        <v>9567</v>
      </c>
    </row>
    <row r="11954" spans="1:8" x14ac:dyDescent="0.3">
      <c r="A11954" s="45">
        <v>45745</v>
      </c>
      <c r="B11954" s="817" t="s">
        <v>14701</v>
      </c>
      <c r="C11954" s="5" t="s">
        <v>30</v>
      </c>
      <c r="D11954" s="5" t="s">
        <v>15604</v>
      </c>
      <c r="E11954" s="43">
        <v>1500</v>
      </c>
      <c r="F11954" s="43"/>
      <c r="G11954" s="48">
        <f t="shared" si="292"/>
        <v>267954.79610281263</v>
      </c>
      <c r="H11954" s="389" t="s">
        <v>9567</v>
      </c>
    </row>
    <row r="11955" spans="1:8" x14ac:dyDescent="0.3">
      <c r="A11955" s="45">
        <v>45745</v>
      </c>
      <c r="B11955" s="817" t="s">
        <v>15146</v>
      </c>
      <c r="C11955" s="5" t="s">
        <v>11174</v>
      </c>
      <c r="D11955" s="5" t="s">
        <v>15823</v>
      </c>
      <c r="E11955" s="43">
        <v>3450</v>
      </c>
      <c r="F11955" s="43"/>
      <c r="G11955" s="48">
        <f t="shared" si="292"/>
        <v>264504.79610281263</v>
      </c>
      <c r="H11955" s="389" t="s">
        <v>9567</v>
      </c>
    </row>
    <row r="11956" spans="1:8" x14ac:dyDescent="0.3">
      <c r="A11956" s="45">
        <v>45745</v>
      </c>
      <c r="B11956" s="817" t="s">
        <v>25</v>
      </c>
      <c r="C11956" s="5" t="s">
        <v>26</v>
      </c>
      <c r="D11956" s="5" t="s">
        <v>11434</v>
      </c>
      <c r="E11956" s="43">
        <v>2000</v>
      </c>
      <c r="F11956" s="43"/>
      <c r="G11956" s="48">
        <f t="shared" si="292"/>
        <v>262504.79610281263</v>
      </c>
      <c r="H11956" s="389" t="s">
        <v>9567</v>
      </c>
    </row>
    <row r="11957" spans="1:8" x14ac:dyDescent="0.3">
      <c r="A11957" s="45">
        <v>45745</v>
      </c>
      <c r="B11957" s="816" t="s">
        <v>13321</v>
      </c>
      <c r="C11957" s="186" t="s">
        <v>54</v>
      </c>
      <c r="D11957" s="186" t="s">
        <v>15820</v>
      </c>
      <c r="E11957" s="187">
        <v>179048.38709677418</v>
      </c>
      <c r="F11957" s="43"/>
      <c r="G11957" s="48">
        <f t="shared" si="292"/>
        <v>83456.409006038448</v>
      </c>
      <c r="H11957" s="389" t="s">
        <v>9567</v>
      </c>
    </row>
    <row r="11958" spans="1:8" x14ac:dyDescent="0.3">
      <c r="A11958" s="45">
        <v>45745</v>
      </c>
      <c r="B11958" s="817" t="s">
        <v>15146</v>
      </c>
      <c r="C11958" s="5" t="s">
        <v>11174</v>
      </c>
      <c r="D11958" s="5" t="s">
        <v>15826</v>
      </c>
      <c r="E11958" s="43">
        <v>1000</v>
      </c>
      <c r="F11958" s="43"/>
      <c r="G11958" s="48">
        <f t="shared" si="292"/>
        <v>82456.409006038448</v>
      </c>
      <c r="H11958" s="389" t="s">
        <v>9567</v>
      </c>
    </row>
    <row r="11959" spans="1:8" x14ac:dyDescent="0.3">
      <c r="A11959" s="45">
        <v>45745</v>
      </c>
      <c r="B11959" s="818" t="s">
        <v>15146</v>
      </c>
      <c r="C11959" s="186" t="s">
        <v>54</v>
      </c>
      <c r="D11959" s="186" t="s">
        <v>15827</v>
      </c>
      <c r="E11959" s="187">
        <v>68016.129032258061</v>
      </c>
      <c r="F11959" s="43"/>
      <c r="G11959" s="48">
        <f t="shared" si="292"/>
        <v>14440.279973780387</v>
      </c>
      <c r="H11959" s="389" t="s">
        <v>9567</v>
      </c>
    </row>
    <row r="11960" spans="1:8" x14ac:dyDescent="0.3">
      <c r="A11960" s="45">
        <v>45745</v>
      </c>
      <c r="B11960" s="819" t="s">
        <v>15146</v>
      </c>
      <c r="C11960" s="5" t="s">
        <v>11174</v>
      </c>
      <c r="D11960" s="5" t="s">
        <v>15829</v>
      </c>
      <c r="E11960" s="43">
        <v>3000</v>
      </c>
      <c r="F11960" s="43"/>
      <c r="G11960" s="48">
        <f t="shared" si="292"/>
        <v>11440.279973780387</v>
      </c>
      <c r="H11960" s="389" t="s">
        <v>9567</v>
      </c>
    </row>
    <row r="11961" spans="1:8" x14ac:dyDescent="0.3">
      <c r="A11961" s="45">
        <v>45750</v>
      </c>
      <c r="B11961" s="823" t="s">
        <v>15421</v>
      </c>
      <c r="C11961" s="5" t="s">
        <v>11174</v>
      </c>
      <c r="D11961" s="5" t="s">
        <v>15832</v>
      </c>
      <c r="E11961" s="43">
        <v>4500</v>
      </c>
      <c r="F11961" s="43"/>
      <c r="G11961" s="48">
        <f t="shared" si="292"/>
        <v>6940.2799737803871</v>
      </c>
      <c r="H11961" s="389" t="s">
        <v>9567</v>
      </c>
    </row>
    <row r="11962" spans="1:8" x14ac:dyDescent="0.3">
      <c r="A11962" s="45">
        <v>45751</v>
      </c>
      <c r="B11962" s="565"/>
      <c r="C11962" s="480"/>
      <c r="D11962" s="491" t="s">
        <v>4364</v>
      </c>
      <c r="E11962" s="480"/>
      <c r="F11962" s="43">
        <v>518500</v>
      </c>
      <c r="G11962" s="48">
        <f t="shared" si="292"/>
        <v>525440.27997378039</v>
      </c>
      <c r="H11962" s="389" t="s">
        <v>9567</v>
      </c>
    </row>
    <row r="11963" spans="1:8" x14ac:dyDescent="0.3">
      <c r="A11963" s="45">
        <v>45751</v>
      </c>
      <c r="B11963" s="820" t="s">
        <v>15146</v>
      </c>
      <c r="C11963" s="186" t="s">
        <v>54</v>
      </c>
      <c r="D11963" s="186" t="s">
        <v>15314</v>
      </c>
      <c r="E11963" s="187">
        <v>41300</v>
      </c>
      <c r="F11963" s="43"/>
      <c r="G11963" s="48">
        <f t="shared" si="292"/>
        <v>484140.27997378039</v>
      </c>
      <c r="H11963" s="389" t="s">
        <v>9567</v>
      </c>
    </row>
    <row r="11964" spans="1:8" x14ac:dyDescent="0.3">
      <c r="A11964" s="45">
        <v>45751</v>
      </c>
      <c r="B11964" s="821" t="s">
        <v>25</v>
      </c>
      <c r="C11964" s="186" t="s">
        <v>54</v>
      </c>
      <c r="D11964" s="186" t="s">
        <v>15467</v>
      </c>
      <c r="E11964" s="187">
        <v>41000</v>
      </c>
      <c r="F11964" s="43"/>
      <c r="G11964" s="48">
        <f t="shared" si="292"/>
        <v>443140.27997378039</v>
      </c>
      <c r="H11964" s="389" t="s">
        <v>9567</v>
      </c>
    </row>
    <row r="11965" spans="1:8" x14ac:dyDescent="0.3">
      <c r="A11965" s="45">
        <v>45751</v>
      </c>
      <c r="B11965" s="821" t="s">
        <v>14701</v>
      </c>
      <c r="C11965" s="186" t="s">
        <v>54</v>
      </c>
      <c r="D11965" s="186" t="s">
        <v>15283</v>
      </c>
      <c r="E11965" s="187">
        <v>78000</v>
      </c>
      <c r="F11965" s="43"/>
      <c r="G11965" s="48">
        <f t="shared" si="292"/>
        <v>365140.27997378039</v>
      </c>
      <c r="H11965" s="389" t="s">
        <v>9567</v>
      </c>
    </row>
    <row r="11966" spans="1:8" x14ac:dyDescent="0.3">
      <c r="A11966" s="45">
        <v>45751</v>
      </c>
      <c r="B11966" s="822" t="s">
        <v>25</v>
      </c>
      <c r="C11966" s="186" t="s">
        <v>54</v>
      </c>
      <c r="D11966" s="186" t="s">
        <v>15468</v>
      </c>
      <c r="E11966" s="187">
        <v>51050</v>
      </c>
      <c r="F11966" s="43"/>
      <c r="G11966" s="48">
        <f t="shared" si="292"/>
        <v>314090.27997378039</v>
      </c>
      <c r="H11966" s="389" t="s">
        <v>9567</v>
      </c>
    </row>
    <row r="11967" spans="1:8" x14ac:dyDescent="0.3">
      <c r="A11967" s="45">
        <v>45751</v>
      </c>
      <c r="B11967" s="822" t="s">
        <v>14590</v>
      </c>
      <c r="C11967" s="186" t="s">
        <v>54</v>
      </c>
      <c r="D11967" s="186" t="s">
        <v>15835</v>
      </c>
      <c r="E11967" s="187">
        <v>47100</v>
      </c>
      <c r="F11967" s="43"/>
      <c r="G11967" s="48">
        <f t="shared" si="292"/>
        <v>266990.27997378039</v>
      </c>
      <c r="H11967" s="389" t="s">
        <v>9567</v>
      </c>
    </row>
    <row r="11968" spans="1:8" x14ac:dyDescent="0.3">
      <c r="A11968" s="45">
        <v>45751</v>
      </c>
      <c r="B11968" s="822" t="s">
        <v>25</v>
      </c>
      <c r="C11968" s="186" t="s">
        <v>54</v>
      </c>
      <c r="D11968" s="186" t="s">
        <v>10917</v>
      </c>
      <c r="E11968" s="43">
        <v>79500</v>
      </c>
      <c r="F11968" s="43"/>
      <c r="G11968" s="48">
        <f t="shared" si="292"/>
        <v>187490.27997378039</v>
      </c>
      <c r="H11968" s="389" t="s">
        <v>9567</v>
      </c>
    </row>
    <row r="11969" spans="1:8" x14ac:dyDescent="0.3">
      <c r="A11969" s="45">
        <v>45751</v>
      </c>
      <c r="B11969" s="822" t="s">
        <v>15146</v>
      </c>
      <c r="C11969" s="186" t="s">
        <v>54</v>
      </c>
      <c r="D11969" s="186" t="s">
        <v>12520</v>
      </c>
      <c r="E11969" s="43">
        <v>55200</v>
      </c>
      <c r="F11969" s="43"/>
      <c r="G11969" s="48">
        <f t="shared" si="292"/>
        <v>132290.27997378039</v>
      </c>
      <c r="H11969" s="389" t="s">
        <v>9567</v>
      </c>
    </row>
    <row r="11970" spans="1:8" x14ac:dyDescent="0.3">
      <c r="A11970" s="45">
        <v>45751</v>
      </c>
      <c r="B11970" s="823" t="s">
        <v>13902</v>
      </c>
      <c r="C11970" s="5" t="s">
        <v>30</v>
      </c>
      <c r="D11970" s="5" t="s">
        <v>15604</v>
      </c>
      <c r="E11970" s="43">
        <v>3000</v>
      </c>
      <c r="F11970" s="43"/>
      <c r="G11970" s="48">
        <f t="shared" si="292"/>
        <v>129290.27997378039</v>
      </c>
      <c r="H11970" s="389" t="s">
        <v>9567</v>
      </c>
    </row>
    <row r="11971" spans="1:8" x14ac:dyDescent="0.3">
      <c r="A11971" s="45">
        <v>45751</v>
      </c>
      <c r="B11971" s="823" t="s">
        <v>25</v>
      </c>
      <c r="C11971" s="5" t="s">
        <v>26</v>
      </c>
      <c r="D11971" s="5" t="s">
        <v>11434</v>
      </c>
      <c r="E11971" s="43">
        <v>3000</v>
      </c>
      <c r="F11971" s="43"/>
      <c r="G11971" s="48">
        <f t="shared" si="292"/>
        <v>126290.27997378039</v>
      </c>
      <c r="H11971" s="389" t="s">
        <v>9567</v>
      </c>
    </row>
    <row r="11972" spans="1:8" x14ac:dyDescent="0.3">
      <c r="A11972" s="45">
        <v>45751</v>
      </c>
      <c r="B11972" s="823" t="s">
        <v>14524</v>
      </c>
      <c r="C11972" s="5" t="s">
        <v>30</v>
      </c>
      <c r="D11972" s="5" t="s">
        <v>15834</v>
      </c>
      <c r="E11972" s="43">
        <v>600</v>
      </c>
      <c r="F11972" s="43"/>
      <c r="G11972" s="48">
        <f t="shared" si="292"/>
        <v>125690.27997378039</v>
      </c>
      <c r="H11972" s="389" t="s">
        <v>9567</v>
      </c>
    </row>
    <row r="11973" spans="1:8" x14ac:dyDescent="0.3">
      <c r="A11973" s="45">
        <v>45751</v>
      </c>
      <c r="B11973" s="823" t="s">
        <v>12230</v>
      </c>
      <c r="C11973" s="5" t="s">
        <v>1074</v>
      </c>
      <c r="D11973" s="5" t="s">
        <v>6234</v>
      </c>
      <c r="E11973" s="43">
        <v>965</v>
      </c>
      <c r="F11973" s="43"/>
      <c r="G11973" s="48">
        <f t="shared" si="292"/>
        <v>124725.27997378039</v>
      </c>
      <c r="H11973" s="389" t="s">
        <v>9567</v>
      </c>
    </row>
    <row r="11974" spans="1:8" x14ac:dyDescent="0.3">
      <c r="A11974" s="45">
        <v>45751</v>
      </c>
      <c r="B11974" s="823" t="s">
        <v>25</v>
      </c>
      <c r="C11974" s="5" t="s">
        <v>1074</v>
      </c>
      <c r="D11974" s="5" t="s">
        <v>6234</v>
      </c>
      <c r="E11974" s="43">
        <v>735</v>
      </c>
      <c r="F11974" s="43"/>
      <c r="G11974" s="48">
        <f t="shared" si="292"/>
        <v>123990.27997378039</v>
      </c>
      <c r="H11974" s="389" t="s">
        <v>9567</v>
      </c>
    </row>
    <row r="11975" spans="1:8" x14ac:dyDescent="0.3">
      <c r="A11975" s="45">
        <v>45752</v>
      </c>
      <c r="B11975" s="824" t="s">
        <v>15729</v>
      </c>
      <c r="C11975" s="5" t="s">
        <v>30</v>
      </c>
      <c r="D11975" s="5" t="s">
        <v>15843</v>
      </c>
      <c r="E11975" s="43">
        <v>2000</v>
      </c>
      <c r="F11975" s="43"/>
      <c r="G11975" s="48">
        <f t="shared" si="292"/>
        <v>121990.27997378039</v>
      </c>
      <c r="H11975" s="389" t="s">
        <v>9567</v>
      </c>
    </row>
    <row r="11976" spans="1:8" x14ac:dyDescent="0.3">
      <c r="A11976" s="45">
        <v>45752</v>
      </c>
      <c r="B11976" s="824" t="s">
        <v>15729</v>
      </c>
      <c r="C11976" s="5" t="s">
        <v>26</v>
      </c>
      <c r="D11976" s="5" t="s">
        <v>15844</v>
      </c>
      <c r="E11976" s="43">
        <v>450</v>
      </c>
      <c r="F11976" s="43"/>
      <c r="G11976" s="48">
        <f t="shared" si="292"/>
        <v>121540.27997378039</v>
      </c>
      <c r="H11976" s="389" t="s">
        <v>9567</v>
      </c>
    </row>
    <row r="11977" spans="1:8" x14ac:dyDescent="0.3">
      <c r="A11977" s="45">
        <v>45752</v>
      </c>
      <c r="B11977" s="824" t="s">
        <v>15146</v>
      </c>
      <c r="C11977" s="5" t="s">
        <v>5793</v>
      </c>
      <c r="D11977" s="5" t="s">
        <v>40</v>
      </c>
      <c r="E11977" s="43">
        <v>700</v>
      </c>
      <c r="F11977" s="43"/>
      <c r="G11977" s="48">
        <f t="shared" si="292"/>
        <v>120840.27997378039</v>
      </c>
      <c r="H11977" s="389" t="s">
        <v>9567</v>
      </c>
    </row>
    <row r="11978" spans="1:8" x14ac:dyDescent="0.3">
      <c r="A11978" s="45">
        <v>45754</v>
      </c>
      <c r="B11978" s="825" t="s">
        <v>25</v>
      </c>
      <c r="C11978" s="5" t="s">
        <v>64</v>
      </c>
      <c r="D11978" s="5" t="s">
        <v>40</v>
      </c>
      <c r="E11978" s="43">
        <v>1680</v>
      </c>
      <c r="F11978" s="43"/>
      <c r="G11978" s="48">
        <f t="shared" si="292"/>
        <v>119160.27997378039</v>
      </c>
      <c r="H11978" s="389" t="s">
        <v>9567</v>
      </c>
    </row>
    <row r="11979" spans="1:8" x14ac:dyDescent="0.3">
      <c r="A11979" s="45">
        <v>45754</v>
      </c>
      <c r="B11979" s="565"/>
      <c r="C11979" s="480"/>
      <c r="D11979" s="491" t="s">
        <v>12269</v>
      </c>
      <c r="E11979" s="480"/>
      <c r="F11979" s="43">
        <v>150000</v>
      </c>
      <c r="G11979" s="48">
        <f t="shared" si="292"/>
        <v>269160.27997378039</v>
      </c>
      <c r="H11979" s="389" t="s">
        <v>9567</v>
      </c>
    </row>
    <row r="11980" spans="1:8" x14ac:dyDescent="0.3">
      <c r="A11980" s="45">
        <v>45754</v>
      </c>
      <c r="B11980" s="825" t="s">
        <v>25</v>
      </c>
      <c r="C11980" s="5" t="s">
        <v>26</v>
      </c>
      <c r="D11980" s="5" t="s">
        <v>11434</v>
      </c>
      <c r="E11980" s="43">
        <v>3000</v>
      </c>
      <c r="F11980" s="43"/>
      <c r="G11980" s="48">
        <f t="shared" si="292"/>
        <v>266160.27997378039</v>
      </c>
      <c r="H11980" s="389" t="s">
        <v>9567</v>
      </c>
    </row>
    <row r="11981" spans="1:8" x14ac:dyDescent="0.3">
      <c r="A11981" s="45">
        <v>45754</v>
      </c>
      <c r="B11981" s="825" t="s">
        <v>10319</v>
      </c>
      <c r="C11981" s="5" t="s">
        <v>7737</v>
      </c>
      <c r="D11981" s="5" t="s">
        <v>15845</v>
      </c>
      <c r="E11981" s="43">
        <v>35000</v>
      </c>
      <c r="F11981" s="43"/>
      <c r="G11981" s="48">
        <f t="shared" si="292"/>
        <v>231160.27997378039</v>
      </c>
      <c r="H11981" s="389" t="s">
        <v>9567</v>
      </c>
    </row>
    <row r="11982" spans="1:8" x14ac:dyDescent="0.3">
      <c r="A11982" s="45">
        <v>45755</v>
      </c>
      <c r="B11982" s="826" t="s">
        <v>14701</v>
      </c>
      <c r="C11982" s="5" t="s">
        <v>30</v>
      </c>
      <c r="D11982" s="5" t="s">
        <v>10021</v>
      </c>
      <c r="E11982" s="43">
        <v>5000</v>
      </c>
      <c r="F11982" s="43"/>
      <c r="G11982" s="48">
        <f t="shared" si="292"/>
        <v>226160.27997378039</v>
      </c>
      <c r="H11982" s="389" t="s">
        <v>9567</v>
      </c>
    </row>
    <row r="11983" spans="1:8" x14ac:dyDescent="0.3">
      <c r="A11983" s="45">
        <v>45755</v>
      </c>
      <c r="B11983" s="826" t="s">
        <v>15766</v>
      </c>
      <c r="C11983" s="5" t="s">
        <v>5793</v>
      </c>
      <c r="D11983" s="5" t="s">
        <v>40</v>
      </c>
      <c r="E11983" s="43">
        <v>4000</v>
      </c>
      <c r="F11983" s="43"/>
      <c r="G11983" s="48">
        <f t="shared" si="292"/>
        <v>222160.27997378039</v>
      </c>
      <c r="H11983" s="389" t="s">
        <v>9567</v>
      </c>
    </row>
    <row r="11984" spans="1:8" x14ac:dyDescent="0.3">
      <c r="A11984" s="45">
        <v>45755</v>
      </c>
      <c r="B11984" s="827" t="s">
        <v>12133</v>
      </c>
      <c r="C11984" s="186" t="s">
        <v>54</v>
      </c>
      <c r="D11984" s="186" t="s">
        <v>15795</v>
      </c>
      <c r="E11984" s="187">
        <v>45000</v>
      </c>
      <c r="F11984" s="43"/>
      <c r="G11984" s="48">
        <f t="shared" si="292"/>
        <v>177160.27997378039</v>
      </c>
      <c r="H11984" s="389" t="s">
        <v>9567</v>
      </c>
    </row>
    <row r="11985" spans="1:8" x14ac:dyDescent="0.3">
      <c r="A11985" s="45">
        <v>45755</v>
      </c>
      <c r="B11985" s="828" t="s">
        <v>12133</v>
      </c>
      <c r="C11985" s="5" t="s">
        <v>26</v>
      </c>
      <c r="D11985" s="5" t="s">
        <v>15848</v>
      </c>
      <c r="E11985" s="43">
        <v>1500</v>
      </c>
      <c r="F11985" s="43"/>
      <c r="G11985" s="48">
        <f t="shared" si="292"/>
        <v>175660.27997378039</v>
      </c>
      <c r="H11985" s="389" t="s">
        <v>9567</v>
      </c>
    </row>
    <row r="11986" spans="1:8" x14ac:dyDescent="0.3">
      <c r="A11986" s="45">
        <v>45755</v>
      </c>
      <c r="B11986" s="565"/>
      <c r="C11986" s="480"/>
      <c r="D11986" s="491" t="s">
        <v>12269</v>
      </c>
      <c r="E11986" s="480"/>
      <c r="F11986" s="43">
        <v>2250000</v>
      </c>
      <c r="G11986" s="48">
        <f t="shared" si="292"/>
        <v>2425660.2799737803</v>
      </c>
      <c r="H11986" s="389" t="s">
        <v>9567</v>
      </c>
    </row>
    <row r="11987" spans="1:8" x14ac:dyDescent="0.3">
      <c r="A11987" s="45">
        <v>45755</v>
      </c>
      <c r="B11987" s="584" t="s">
        <v>15656</v>
      </c>
      <c r="C11987" s="530" t="s">
        <v>15849</v>
      </c>
      <c r="D11987" s="530" t="s">
        <v>4594</v>
      </c>
      <c r="E11987" s="531">
        <v>1000000</v>
      </c>
      <c r="F11987" s="43"/>
      <c r="G11987" s="48">
        <f t="shared" si="292"/>
        <v>1425660.2799737803</v>
      </c>
      <c r="H11987" s="389" t="s">
        <v>9567</v>
      </c>
    </row>
    <row r="11988" spans="1:8" x14ac:dyDescent="0.3">
      <c r="A11988" s="45">
        <v>45755</v>
      </c>
      <c r="B11988" s="584"/>
      <c r="C11988" s="530" t="s">
        <v>14</v>
      </c>
      <c r="D11988" s="530" t="s">
        <v>15349</v>
      </c>
      <c r="E11988" s="531">
        <v>500000</v>
      </c>
      <c r="F11988" s="43"/>
      <c r="G11988" s="48">
        <f t="shared" si="292"/>
        <v>925660.27997378027</v>
      </c>
      <c r="H11988" s="389" t="s">
        <v>9567</v>
      </c>
    </row>
    <row r="11989" spans="1:8" x14ac:dyDescent="0.3">
      <c r="A11989" s="45">
        <v>45755</v>
      </c>
      <c r="B11989" s="829" t="s">
        <v>13138</v>
      </c>
      <c r="C11989" s="5" t="s">
        <v>11174</v>
      </c>
      <c r="D11989" s="5" t="s">
        <v>15850</v>
      </c>
      <c r="E11989" s="43">
        <v>1000</v>
      </c>
      <c r="F11989" s="43"/>
      <c r="G11989" s="48">
        <f t="shared" si="292"/>
        <v>924660.27997378027</v>
      </c>
      <c r="H11989" s="389" t="s">
        <v>9567</v>
      </c>
    </row>
    <row r="11990" spans="1:8" x14ac:dyDescent="0.3">
      <c r="A11990" s="45">
        <v>45755</v>
      </c>
      <c r="B11990" s="829" t="s">
        <v>15808</v>
      </c>
      <c r="C11990" s="5" t="s">
        <v>26</v>
      </c>
      <c r="D11990" s="5" t="s">
        <v>15851</v>
      </c>
      <c r="E11990" s="43">
        <v>20000</v>
      </c>
      <c r="F11990" s="43"/>
      <c r="G11990" s="48">
        <f t="shared" si="292"/>
        <v>904660.27997378027</v>
      </c>
      <c r="H11990" s="389" t="s">
        <v>9567</v>
      </c>
    </row>
    <row r="11991" spans="1:8" x14ac:dyDescent="0.3">
      <c r="A11991" s="45">
        <v>45755</v>
      </c>
      <c r="B11991" s="829" t="s">
        <v>12133</v>
      </c>
      <c r="C11991" s="5" t="s">
        <v>5793</v>
      </c>
      <c r="D11991" s="5" t="s">
        <v>40</v>
      </c>
      <c r="E11991" s="43">
        <v>1200</v>
      </c>
      <c r="F11991" s="43"/>
      <c r="G11991" s="48">
        <f t="shared" si="292"/>
        <v>903460.27997378027</v>
      </c>
      <c r="H11991" s="389" t="s">
        <v>9567</v>
      </c>
    </row>
    <row r="11992" spans="1:8" x14ac:dyDescent="0.3">
      <c r="A11992" s="45">
        <v>45755</v>
      </c>
      <c r="B11992" s="830" t="s">
        <v>25</v>
      </c>
      <c r="C11992" s="5" t="s">
        <v>26</v>
      </c>
      <c r="D11992" s="5" t="s">
        <v>15852</v>
      </c>
      <c r="E11992" s="43">
        <v>17500</v>
      </c>
      <c r="F11992" s="43"/>
      <c r="G11992" s="48">
        <f t="shared" si="292"/>
        <v>885960.27997378027</v>
      </c>
      <c r="H11992" s="389" t="s">
        <v>9567</v>
      </c>
    </row>
    <row r="11993" spans="1:8" x14ac:dyDescent="0.3">
      <c r="A11993" s="45">
        <v>45756</v>
      </c>
      <c r="B11993" s="832" t="s">
        <v>25</v>
      </c>
      <c r="C11993" s="5" t="s">
        <v>26</v>
      </c>
      <c r="D11993" s="5" t="s">
        <v>11434</v>
      </c>
      <c r="E11993" s="43">
        <v>3000</v>
      </c>
      <c r="F11993" s="43"/>
      <c r="G11993" s="48">
        <f t="shared" si="292"/>
        <v>882960.27997378027</v>
      </c>
      <c r="H11993" s="389" t="s">
        <v>9567</v>
      </c>
    </row>
    <row r="11994" spans="1:8" x14ac:dyDescent="0.3">
      <c r="A11994" s="45">
        <v>45756</v>
      </c>
      <c r="B11994" s="830" t="s">
        <v>15421</v>
      </c>
      <c r="C11994" s="5" t="s">
        <v>84</v>
      </c>
      <c r="D11994" s="5" t="s">
        <v>15853</v>
      </c>
      <c r="E11994" s="43">
        <v>10000</v>
      </c>
      <c r="F11994" s="43"/>
      <c r="G11994" s="48">
        <f t="shared" si="292"/>
        <v>872960.27997378027</v>
      </c>
      <c r="H11994" s="389" t="s">
        <v>9567</v>
      </c>
    </row>
    <row r="11995" spans="1:8" x14ac:dyDescent="0.3">
      <c r="A11995" s="45">
        <v>45756</v>
      </c>
      <c r="B11995" s="830" t="s">
        <v>13833</v>
      </c>
      <c r="C11995" s="5" t="s">
        <v>15861</v>
      </c>
      <c r="D11995" s="5" t="s">
        <v>15685</v>
      </c>
      <c r="E11995" s="43">
        <v>10000</v>
      </c>
      <c r="F11995" s="43"/>
      <c r="G11995" s="48">
        <f t="shared" si="292"/>
        <v>862960.27997378027</v>
      </c>
      <c r="H11995" s="389" t="s">
        <v>9567</v>
      </c>
    </row>
    <row r="11996" spans="1:8" x14ac:dyDescent="0.3">
      <c r="A11996" s="45">
        <v>45756</v>
      </c>
      <c r="B11996" s="830" t="s">
        <v>14524</v>
      </c>
      <c r="C11996" s="5" t="s">
        <v>5793</v>
      </c>
      <c r="D11996" s="5" t="s">
        <v>40</v>
      </c>
      <c r="E11996" s="43">
        <v>3000</v>
      </c>
      <c r="F11996" s="43"/>
      <c r="G11996" s="48">
        <f t="shared" si="292"/>
        <v>859960.27997378027</v>
      </c>
      <c r="H11996" s="389" t="s">
        <v>9567</v>
      </c>
    </row>
    <row r="11997" spans="1:8" x14ac:dyDescent="0.3">
      <c r="A11997" s="45">
        <v>45756</v>
      </c>
      <c r="B11997" s="837"/>
      <c r="C11997" s="5" t="s">
        <v>14</v>
      </c>
      <c r="D11997" s="5" t="s">
        <v>294</v>
      </c>
      <c r="E11997" s="43">
        <v>5000</v>
      </c>
      <c r="F11997" s="43"/>
      <c r="G11997" s="48">
        <f t="shared" si="292"/>
        <v>854960.27997378027</v>
      </c>
      <c r="H11997" s="389" t="s">
        <v>9567</v>
      </c>
    </row>
    <row r="11998" spans="1:8" x14ac:dyDescent="0.3">
      <c r="A11998" s="45">
        <v>45756</v>
      </c>
      <c r="B11998" s="832" t="s">
        <v>14524</v>
      </c>
      <c r="C11998" s="5" t="s">
        <v>11174</v>
      </c>
      <c r="D11998" s="5" t="s">
        <v>15863</v>
      </c>
      <c r="E11998" s="43">
        <v>3000</v>
      </c>
      <c r="F11998" s="43"/>
      <c r="G11998" s="48">
        <f t="shared" si="292"/>
        <v>851960.27997378027</v>
      </c>
      <c r="H11998" s="389" t="s">
        <v>9567</v>
      </c>
    </row>
    <row r="11999" spans="1:8" x14ac:dyDescent="0.3">
      <c r="A11999" s="45">
        <v>45756</v>
      </c>
      <c r="B11999" s="713" t="s">
        <v>14524</v>
      </c>
      <c r="C11999" s="714" t="s">
        <v>11174</v>
      </c>
      <c r="D11999" s="714" t="s">
        <v>15864</v>
      </c>
      <c r="E11999" s="65">
        <v>4000</v>
      </c>
      <c r="F11999" s="43"/>
      <c r="G11999" s="48">
        <f t="shared" si="292"/>
        <v>847960.27997378027</v>
      </c>
      <c r="H11999" s="389" t="s">
        <v>9567</v>
      </c>
    </row>
    <row r="12000" spans="1:8" x14ac:dyDescent="0.3">
      <c r="A12000" s="45">
        <v>45756</v>
      </c>
      <c r="B12000" s="832" t="s">
        <v>15766</v>
      </c>
      <c r="C12000" s="5" t="s">
        <v>30</v>
      </c>
      <c r="D12000" s="5" t="s">
        <v>15865</v>
      </c>
      <c r="E12000" s="43">
        <v>5000</v>
      </c>
      <c r="F12000" s="43"/>
      <c r="G12000" s="48">
        <f t="shared" si="292"/>
        <v>842960.27997378027</v>
      </c>
      <c r="H12000" s="389" t="s">
        <v>9567</v>
      </c>
    </row>
    <row r="12001" spans="1:9" x14ac:dyDescent="0.3">
      <c r="A12001" s="45">
        <v>45756</v>
      </c>
      <c r="B12001" s="832" t="s">
        <v>14882</v>
      </c>
      <c r="C12001" s="5" t="s">
        <v>30</v>
      </c>
      <c r="D12001" s="5" t="s">
        <v>15866</v>
      </c>
      <c r="E12001" s="43">
        <v>5000</v>
      </c>
      <c r="F12001" s="43"/>
      <c r="G12001" s="48">
        <f t="shared" si="292"/>
        <v>837960.27997378027</v>
      </c>
      <c r="H12001" s="389" t="s">
        <v>9567</v>
      </c>
    </row>
    <row r="12002" spans="1:9" x14ac:dyDescent="0.3">
      <c r="A12002" s="45">
        <v>45756</v>
      </c>
      <c r="B12002" s="831" t="s">
        <v>14882</v>
      </c>
      <c r="C12002" s="186" t="s">
        <v>54</v>
      </c>
      <c r="D12002" s="186" t="s">
        <v>15867</v>
      </c>
      <c r="E12002" s="187">
        <v>57000</v>
      </c>
      <c r="F12002" s="43"/>
      <c r="G12002" s="48">
        <f t="shared" si="292"/>
        <v>780960.27997378027</v>
      </c>
      <c r="H12002" s="389" t="s">
        <v>9567</v>
      </c>
    </row>
    <row r="12003" spans="1:9" x14ac:dyDescent="0.3">
      <c r="A12003" s="45">
        <v>45757</v>
      </c>
      <c r="B12003" s="832"/>
      <c r="C12003" s="5" t="s">
        <v>14</v>
      </c>
      <c r="D12003" s="5" t="s">
        <v>15868</v>
      </c>
      <c r="E12003" s="43">
        <v>7963</v>
      </c>
      <c r="F12003" s="43"/>
      <c r="G12003" s="48">
        <f t="shared" si="292"/>
        <v>772997.27997378027</v>
      </c>
      <c r="H12003" s="389" t="s">
        <v>9567</v>
      </c>
    </row>
    <row r="12004" spans="1:9" x14ac:dyDescent="0.3">
      <c r="A12004" s="45">
        <v>45757</v>
      </c>
      <c r="B12004" s="832" t="s">
        <v>14590</v>
      </c>
      <c r="C12004" s="5" t="s">
        <v>5793</v>
      </c>
      <c r="D12004" s="5" t="s">
        <v>40</v>
      </c>
      <c r="E12004" s="43">
        <v>2500</v>
      </c>
      <c r="F12004" s="43"/>
      <c r="G12004" s="48">
        <f t="shared" si="292"/>
        <v>770497.27997378027</v>
      </c>
      <c r="H12004" s="389" t="s">
        <v>9567</v>
      </c>
    </row>
    <row r="12005" spans="1:9" x14ac:dyDescent="0.3">
      <c r="A12005" s="45">
        <v>45757</v>
      </c>
      <c r="B12005" s="834" t="s">
        <v>15146</v>
      </c>
      <c r="C12005" s="5" t="s">
        <v>15870</v>
      </c>
      <c r="D12005" s="5" t="s">
        <v>294</v>
      </c>
      <c r="E12005" s="43">
        <v>52400</v>
      </c>
      <c r="F12005" s="43"/>
      <c r="G12005" s="48">
        <f t="shared" si="292"/>
        <v>718097.27997378027</v>
      </c>
      <c r="H12005" s="389" t="s">
        <v>9567</v>
      </c>
    </row>
    <row r="12006" spans="1:9" x14ac:dyDescent="0.3">
      <c r="A12006" s="45">
        <v>45757</v>
      </c>
      <c r="B12006" s="834" t="s">
        <v>25</v>
      </c>
      <c r="C12006" s="5" t="s">
        <v>26</v>
      </c>
      <c r="D12006" s="5" t="s">
        <v>11434</v>
      </c>
      <c r="E12006" s="43">
        <v>3000</v>
      </c>
      <c r="F12006" s="43"/>
      <c r="G12006" s="48">
        <f t="shared" si="292"/>
        <v>715097.27997378027</v>
      </c>
      <c r="H12006" s="389" t="s">
        <v>9567</v>
      </c>
    </row>
    <row r="12007" spans="1:9" x14ac:dyDescent="0.3">
      <c r="A12007" s="45">
        <v>45757</v>
      </c>
      <c r="B12007" s="834" t="s">
        <v>15808</v>
      </c>
      <c r="C12007" s="5" t="s">
        <v>26</v>
      </c>
      <c r="D12007" s="5" t="s">
        <v>15871</v>
      </c>
      <c r="E12007" s="43">
        <v>5000</v>
      </c>
      <c r="F12007" s="43"/>
      <c r="G12007" s="48">
        <f t="shared" si="292"/>
        <v>710097.27997378027</v>
      </c>
      <c r="H12007" s="389" t="s">
        <v>9567</v>
      </c>
    </row>
    <row r="12008" spans="1:9" x14ac:dyDescent="0.3">
      <c r="A12008" s="45">
        <v>45757</v>
      </c>
      <c r="B12008" s="834"/>
      <c r="C12008" s="5" t="s">
        <v>5482</v>
      </c>
      <c r="D12008" s="5" t="s">
        <v>294</v>
      </c>
      <c r="E12008" s="43">
        <v>15000</v>
      </c>
      <c r="F12008" s="43"/>
      <c r="G12008" s="48">
        <f t="shared" si="292"/>
        <v>695097.27997378027</v>
      </c>
      <c r="H12008" s="389" t="s">
        <v>9567</v>
      </c>
    </row>
    <row r="12009" spans="1:9" x14ac:dyDescent="0.3">
      <c r="A12009" s="45">
        <v>45757</v>
      </c>
      <c r="B12009" s="834" t="s">
        <v>15766</v>
      </c>
      <c r="C12009" s="5" t="s">
        <v>15873</v>
      </c>
      <c r="D12009" s="5" t="s">
        <v>15874</v>
      </c>
      <c r="E12009" s="43">
        <v>75000</v>
      </c>
      <c r="F12009" s="43"/>
      <c r="G12009" s="48">
        <f t="shared" si="292"/>
        <v>620097.27997378027</v>
      </c>
      <c r="H12009" s="389" t="s">
        <v>9567</v>
      </c>
    </row>
    <row r="12010" spans="1:9" x14ac:dyDescent="0.3">
      <c r="A12010" s="45">
        <v>45757</v>
      </c>
      <c r="B12010" s="834"/>
      <c r="C12010" s="5" t="s">
        <v>14</v>
      </c>
      <c r="D12010" s="5" t="s">
        <v>294</v>
      </c>
      <c r="E12010" s="43">
        <v>5000</v>
      </c>
      <c r="F12010" s="43"/>
      <c r="G12010" s="48">
        <f t="shared" si="292"/>
        <v>615097.27997378027</v>
      </c>
      <c r="H12010" s="389" t="s">
        <v>9567</v>
      </c>
    </row>
    <row r="12011" spans="1:9" x14ac:dyDescent="0.3">
      <c r="A12011" s="45">
        <v>45757</v>
      </c>
      <c r="B12011" s="833" t="s">
        <v>14590</v>
      </c>
      <c r="C12011" s="186" t="s">
        <v>54</v>
      </c>
      <c r="D12011" s="186" t="s">
        <v>15875</v>
      </c>
      <c r="E12011" s="187">
        <v>7600</v>
      </c>
      <c r="F12011" s="43"/>
      <c r="G12011" s="48">
        <f t="shared" si="292"/>
        <v>607497.27997378027</v>
      </c>
      <c r="H12011" s="389" t="s">
        <v>9567</v>
      </c>
      <c r="I12011" s="52">
        <v>80000</v>
      </c>
    </row>
    <row r="12012" spans="1:9" x14ac:dyDescent="0.3">
      <c r="A12012" s="45">
        <v>45757</v>
      </c>
      <c r="B12012" s="834" t="s">
        <v>13321</v>
      </c>
      <c r="C12012" s="5" t="s">
        <v>84</v>
      </c>
      <c r="D12012" s="5" t="s">
        <v>15876</v>
      </c>
      <c r="E12012" s="43">
        <v>10000</v>
      </c>
      <c r="F12012" s="43"/>
      <c r="G12012" s="48">
        <f t="shared" si="292"/>
        <v>597497.27997378027</v>
      </c>
      <c r="H12012" s="389" t="s">
        <v>9567</v>
      </c>
      <c r="I12012" s="52">
        <f>I12011*15%</f>
        <v>12000</v>
      </c>
    </row>
    <row r="12013" spans="1:9" x14ac:dyDescent="0.3">
      <c r="A12013" s="45">
        <v>45759</v>
      </c>
      <c r="B12013" s="834" t="s">
        <v>15878</v>
      </c>
      <c r="C12013" s="5" t="s">
        <v>84</v>
      </c>
      <c r="D12013" s="5" t="s">
        <v>15877</v>
      </c>
      <c r="E12013" s="43">
        <v>10000</v>
      </c>
      <c r="F12013" s="43"/>
      <c r="G12013" s="48">
        <f t="shared" si="292"/>
        <v>587497.27997378027</v>
      </c>
      <c r="H12013" s="389" t="s">
        <v>9567</v>
      </c>
      <c r="I12013" s="52">
        <f>I12012+I12011</f>
        <v>92000</v>
      </c>
    </row>
    <row r="12014" spans="1:9" x14ac:dyDescent="0.3">
      <c r="A12014" s="45">
        <v>45759</v>
      </c>
      <c r="B12014" s="834" t="s">
        <v>14701</v>
      </c>
      <c r="C12014" s="5" t="s">
        <v>5793</v>
      </c>
      <c r="D12014" s="5" t="s">
        <v>40</v>
      </c>
      <c r="E12014" s="43">
        <v>1500</v>
      </c>
      <c r="F12014" s="43"/>
      <c r="G12014" s="48">
        <f t="shared" si="292"/>
        <v>585997.27997378027</v>
      </c>
      <c r="H12014" s="389" t="s">
        <v>9567</v>
      </c>
    </row>
    <row r="12015" spans="1:9" x14ac:dyDescent="0.3">
      <c r="A12015" s="45">
        <v>45759</v>
      </c>
      <c r="B12015" s="834" t="s">
        <v>12439</v>
      </c>
      <c r="C12015" s="5" t="s">
        <v>5793</v>
      </c>
      <c r="D12015" s="5" t="s">
        <v>40</v>
      </c>
      <c r="E12015" s="43">
        <v>1200</v>
      </c>
      <c r="F12015" s="43"/>
      <c r="G12015" s="48">
        <f t="shared" si="292"/>
        <v>584797.27997378027</v>
      </c>
      <c r="H12015" s="389" t="s">
        <v>9567</v>
      </c>
    </row>
    <row r="12016" spans="1:9" x14ac:dyDescent="0.3">
      <c r="A12016" s="45">
        <v>45759</v>
      </c>
      <c r="B12016" s="834" t="s">
        <v>13902</v>
      </c>
      <c r="C12016" s="5" t="s">
        <v>26</v>
      </c>
      <c r="D12016" s="5" t="s">
        <v>15879</v>
      </c>
      <c r="E12016" s="43">
        <v>1380</v>
      </c>
      <c r="F12016" s="43"/>
      <c r="G12016" s="48">
        <f t="shared" si="292"/>
        <v>583417.27997378027</v>
      </c>
      <c r="H12016" s="389" t="s">
        <v>9567</v>
      </c>
    </row>
    <row r="12017" spans="1:8" x14ac:dyDescent="0.3">
      <c r="A12017" s="45">
        <v>45759</v>
      </c>
      <c r="B12017" s="835" t="s">
        <v>10319</v>
      </c>
      <c r="C12017" s="5" t="s">
        <v>7737</v>
      </c>
      <c r="D12017" s="5" t="s">
        <v>15845</v>
      </c>
      <c r="E12017" s="43">
        <v>10000</v>
      </c>
      <c r="F12017" s="43"/>
      <c r="G12017" s="48">
        <f t="shared" si="292"/>
        <v>573417.27997378027</v>
      </c>
      <c r="H12017" s="389" t="s">
        <v>9567</v>
      </c>
    </row>
    <row r="12018" spans="1:8" x14ac:dyDescent="0.3">
      <c r="A12018" s="45">
        <v>45759</v>
      </c>
      <c r="B12018" s="835" t="s">
        <v>15878</v>
      </c>
      <c r="C12018" s="5" t="s">
        <v>26</v>
      </c>
      <c r="D12018" s="5" t="s">
        <v>15882</v>
      </c>
      <c r="E12018" s="43">
        <v>2500</v>
      </c>
      <c r="F12018" s="43"/>
      <c r="G12018" s="48">
        <f t="shared" si="292"/>
        <v>570917.27997378027</v>
      </c>
      <c r="H12018" s="389" t="s">
        <v>9567</v>
      </c>
    </row>
    <row r="12019" spans="1:8" x14ac:dyDescent="0.3">
      <c r="A12019" s="45">
        <v>45759</v>
      </c>
      <c r="B12019" s="835" t="s">
        <v>15384</v>
      </c>
      <c r="C12019" s="5" t="s">
        <v>11174</v>
      </c>
      <c r="D12019" s="5" t="s">
        <v>15883</v>
      </c>
      <c r="E12019" s="43">
        <v>520</v>
      </c>
      <c r="F12019" s="43"/>
      <c r="G12019" s="48">
        <f t="shared" si="292"/>
        <v>570397.27997378027</v>
      </c>
      <c r="H12019" s="389" t="s">
        <v>9567</v>
      </c>
    </row>
    <row r="12020" spans="1:8" x14ac:dyDescent="0.3">
      <c r="A12020" s="45">
        <v>45759</v>
      </c>
      <c r="B12020" s="835" t="s">
        <v>15623</v>
      </c>
      <c r="C12020" s="5" t="s">
        <v>15861</v>
      </c>
      <c r="D12020" s="5" t="s">
        <v>15559</v>
      </c>
      <c r="E12020" s="43">
        <v>6000</v>
      </c>
      <c r="F12020" s="43"/>
      <c r="G12020" s="48">
        <f t="shared" si="292"/>
        <v>564397.27997378027</v>
      </c>
      <c r="H12020" s="389" t="s">
        <v>9567</v>
      </c>
    </row>
    <row r="12021" spans="1:8" x14ac:dyDescent="0.3">
      <c r="A12021" s="45">
        <v>45759</v>
      </c>
      <c r="B12021" s="835" t="s">
        <v>25</v>
      </c>
      <c r="C12021" s="5" t="s">
        <v>26</v>
      </c>
      <c r="D12021" s="5" t="s">
        <v>11434</v>
      </c>
      <c r="E12021" s="43">
        <v>3000</v>
      </c>
      <c r="F12021" s="43"/>
      <c r="G12021" s="48">
        <f t="shared" si="292"/>
        <v>561397.27997378027</v>
      </c>
      <c r="H12021" s="389" t="s">
        <v>9567</v>
      </c>
    </row>
    <row r="12022" spans="1:8" x14ac:dyDescent="0.3">
      <c r="A12022" s="45">
        <v>45759</v>
      </c>
      <c r="B12022" s="835" t="s">
        <v>13833</v>
      </c>
      <c r="C12022" s="5" t="s">
        <v>30</v>
      </c>
      <c r="D12022" s="5" t="s">
        <v>15604</v>
      </c>
      <c r="E12022" s="43">
        <v>1000</v>
      </c>
      <c r="F12022" s="43"/>
      <c r="G12022" s="48">
        <f t="shared" si="292"/>
        <v>560397.27997378027</v>
      </c>
      <c r="H12022" s="389" t="s">
        <v>9567</v>
      </c>
    </row>
    <row r="12023" spans="1:8" x14ac:dyDescent="0.3">
      <c r="A12023" s="45">
        <v>45759</v>
      </c>
      <c r="B12023" s="835" t="s">
        <v>15878</v>
      </c>
      <c r="C12023" s="5" t="s">
        <v>84</v>
      </c>
      <c r="D12023" s="5" t="s">
        <v>15884</v>
      </c>
      <c r="E12023" s="43">
        <v>7000</v>
      </c>
      <c r="F12023" s="43"/>
      <c r="G12023" s="48">
        <f t="shared" si="292"/>
        <v>553397.27997378027</v>
      </c>
      <c r="H12023" s="389" t="s">
        <v>9567</v>
      </c>
    </row>
    <row r="12024" spans="1:8" x14ac:dyDescent="0.3">
      <c r="A12024" s="45">
        <v>45759</v>
      </c>
      <c r="B12024" s="835" t="s">
        <v>13902</v>
      </c>
      <c r="C12024" s="5" t="s">
        <v>26</v>
      </c>
      <c r="D12024" s="5" t="s">
        <v>15885</v>
      </c>
      <c r="E12024" s="43">
        <v>1000</v>
      </c>
      <c r="F12024" s="43"/>
      <c r="G12024" s="48">
        <f t="shared" si="292"/>
        <v>552397.27997378027</v>
      </c>
      <c r="H12024" s="389" t="s">
        <v>9567</v>
      </c>
    </row>
    <row r="12025" spans="1:8" x14ac:dyDescent="0.3">
      <c r="A12025" s="45">
        <v>45759</v>
      </c>
      <c r="B12025" s="835" t="s">
        <v>15162</v>
      </c>
      <c r="C12025" s="5" t="s">
        <v>84</v>
      </c>
      <c r="D12025" s="5" t="s">
        <v>15886</v>
      </c>
      <c r="E12025" s="43">
        <v>10000</v>
      </c>
      <c r="F12025" s="43"/>
      <c r="G12025" s="48">
        <f t="shared" si="292"/>
        <v>542397.27997378027</v>
      </c>
      <c r="H12025" s="389" t="s">
        <v>9567</v>
      </c>
    </row>
    <row r="12026" spans="1:8" x14ac:dyDescent="0.3">
      <c r="A12026" s="45">
        <v>45759</v>
      </c>
      <c r="B12026" s="836" t="s">
        <v>14524</v>
      </c>
      <c r="C12026" s="5" t="s">
        <v>5288</v>
      </c>
      <c r="D12026" s="5" t="s">
        <v>15887</v>
      </c>
      <c r="E12026" s="43">
        <v>10000</v>
      </c>
      <c r="F12026" s="43"/>
      <c r="G12026" s="48">
        <f t="shared" si="292"/>
        <v>532397.27997378027</v>
      </c>
      <c r="H12026" s="389" t="s">
        <v>9567</v>
      </c>
    </row>
    <row r="12027" spans="1:8" x14ac:dyDescent="0.3">
      <c r="A12027" s="45">
        <v>45759</v>
      </c>
      <c r="B12027" s="836" t="s">
        <v>13321</v>
      </c>
      <c r="C12027" s="5" t="s">
        <v>3220</v>
      </c>
      <c r="D12027" s="5" t="s">
        <v>15889</v>
      </c>
      <c r="E12027" s="43">
        <v>20000</v>
      </c>
      <c r="F12027" s="43"/>
      <c r="G12027" s="48">
        <f t="shared" si="292"/>
        <v>512397.27997378027</v>
      </c>
      <c r="H12027" s="389" t="s">
        <v>9567</v>
      </c>
    </row>
    <row r="12028" spans="1:8" x14ac:dyDescent="0.3">
      <c r="A12028" s="45">
        <v>45761</v>
      </c>
      <c r="B12028" s="836"/>
      <c r="C12028" s="5" t="s">
        <v>26</v>
      </c>
      <c r="D12028" s="5" t="s">
        <v>15890</v>
      </c>
      <c r="E12028" s="43">
        <v>1500</v>
      </c>
      <c r="F12028" s="43"/>
      <c r="G12028" s="48">
        <f t="shared" si="292"/>
        <v>510897.27997378027</v>
      </c>
      <c r="H12028" s="389" t="s">
        <v>9567</v>
      </c>
    </row>
    <row r="12029" spans="1:8" x14ac:dyDescent="0.3">
      <c r="A12029" s="45">
        <v>45761</v>
      </c>
      <c r="B12029" s="565"/>
      <c r="C12029" s="480"/>
      <c r="D12029" s="491" t="s">
        <v>4364</v>
      </c>
      <c r="E12029" s="480"/>
      <c r="F12029" s="43">
        <v>200000</v>
      </c>
      <c r="G12029" s="48">
        <f t="shared" si="292"/>
        <v>710897.27997378027</v>
      </c>
      <c r="H12029" s="389" t="s">
        <v>9567</v>
      </c>
    </row>
    <row r="12030" spans="1:8" x14ac:dyDescent="0.3">
      <c r="A12030" s="45">
        <v>45761</v>
      </c>
      <c r="B12030" s="838" t="s">
        <v>12055</v>
      </c>
      <c r="C12030" s="5" t="s">
        <v>11174</v>
      </c>
      <c r="D12030" s="5" t="s">
        <v>15891</v>
      </c>
      <c r="E12030" s="43">
        <v>65000</v>
      </c>
      <c r="F12030" s="43"/>
      <c r="G12030" s="48">
        <f t="shared" si="292"/>
        <v>645897.27997378027</v>
      </c>
      <c r="H12030" s="389" t="s">
        <v>9567</v>
      </c>
    </row>
    <row r="12031" spans="1:8" x14ac:dyDescent="0.3">
      <c r="A12031" s="45">
        <v>45761</v>
      </c>
      <c r="B12031" s="838" t="s">
        <v>15623</v>
      </c>
      <c r="C12031" s="5" t="s">
        <v>9451</v>
      </c>
      <c r="D12031" s="5" t="s">
        <v>15892</v>
      </c>
      <c r="E12031" s="43">
        <v>20000</v>
      </c>
      <c r="F12031" s="43"/>
      <c r="G12031" s="48">
        <f t="shared" si="292"/>
        <v>625897.27997378027</v>
      </c>
      <c r="H12031" s="389" t="s">
        <v>9567</v>
      </c>
    </row>
    <row r="12032" spans="1:8" x14ac:dyDescent="0.3">
      <c r="A12032" s="45">
        <v>45761</v>
      </c>
      <c r="B12032" s="838" t="s">
        <v>14590</v>
      </c>
      <c r="C12032" s="5" t="s">
        <v>26</v>
      </c>
      <c r="D12032" s="5" t="s">
        <v>15893</v>
      </c>
      <c r="E12032" s="43">
        <v>19600</v>
      </c>
      <c r="F12032" s="43"/>
      <c r="G12032" s="48">
        <f t="shared" si="292"/>
        <v>606297.27997378027</v>
      </c>
      <c r="H12032" s="389" t="s">
        <v>9567</v>
      </c>
    </row>
    <row r="12033" spans="1:14" x14ac:dyDescent="0.3">
      <c r="A12033" s="45">
        <v>45761</v>
      </c>
      <c r="B12033" s="839" t="s">
        <v>25</v>
      </c>
      <c r="C12033" s="5" t="s">
        <v>26</v>
      </c>
      <c r="D12033" s="5" t="s">
        <v>11434</v>
      </c>
      <c r="E12033" s="43">
        <v>3000</v>
      </c>
      <c r="F12033" s="43"/>
      <c r="G12033" s="48">
        <f t="shared" si="292"/>
        <v>603297.27997378027</v>
      </c>
      <c r="H12033" s="389" t="s">
        <v>9567</v>
      </c>
    </row>
    <row r="12034" spans="1:14" x14ac:dyDescent="0.3">
      <c r="A12034" s="45">
        <v>45761</v>
      </c>
      <c r="B12034" s="838" t="s">
        <v>12230</v>
      </c>
      <c r="C12034" s="5" t="s">
        <v>11431</v>
      </c>
      <c r="D12034" s="5" t="s">
        <v>15747</v>
      </c>
      <c r="E12034" s="43">
        <v>2900</v>
      </c>
      <c r="F12034" s="43"/>
      <c r="G12034" s="48">
        <f t="shared" si="292"/>
        <v>600397.27997378027</v>
      </c>
      <c r="H12034" s="389" t="s">
        <v>9567</v>
      </c>
    </row>
    <row r="12035" spans="1:14" x14ac:dyDescent="0.3">
      <c r="A12035" s="45">
        <v>45761</v>
      </c>
      <c r="B12035" s="838" t="s">
        <v>15421</v>
      </c>
      <c r="C12035" s="5" t="s">
        <v>13846</v>
      </c>
      <c r="D12035" s="5" t="s">
        <v>14117</v>
      </c>
      <c r="E12035" s="43">
        <v>69000</v>
      </c>
      <c r="F12035" s="43"/>
      <c r="G12035" s="48">
        <f t="shared" si="292"/>
        <v>531397.27997378027</v>
      </c>
      <c r="H12035" s="389" t="s">
        <v>9567</v>
      </c>
    </row>
    <row r="12036" spans="1:14" x14ac:dyDescent="0.3">
      <c r="A12036" s="45">
        <v>45761</v>
      </c>
      <c r="B12036" s="838" t="s">
        <v>25</v>
      </c>
      <c r="C12036" s="5" t="s">
        <v>26</v>
      </c>
      <c r="D12036" s="5" t="s">
        <v>15899</v>
      </c>
      <c r="E12036" s="43">
        <v>1000</v>
      </c>
      <c r="F12036" s="43"/>
      <c r="G12036" s="48">
        <f t="shared" si="292"/>
        <v>530397.27997378027</v>
      </c>
      <c r="H12036" s="389" t="s">
        <v>9567</v>
      </c>
    </row>
    <row r="12037" spans="1:14" x14ac:dyDescent="0.3">
      <c r="A12037" s="45">
        <v>45761</v>
      </c>
      <c r="B12037" s="838" t="s">
        <v>12133</v>
      </c>
      <c r="C12037" s="5" t="s">
        <v>30</v>
      </c>
      <c r="D12037" s="5" t="s">
        <v>15900</v>
      </c>
      <c r="E12037" s="43">
        <v>3000</v>
      </c>
      <c r="F12037" s="43"/>
      <c r="G12037" s="48">
        <f t="shared" si="292"/>
        <v>527397.27997378027</v>
      </c>
      <c r="H12037" s="389" t="s">
        <v>9567</v>
      </c>
    </row>
    <row r="12038" spans="1:14" x14ac:dyDescent="0.3">
      <c r="A12038" s="45">
        <v>45762</v>
      </c>
      <c r="B12038" s="838" t="s">
        <v>15878</v>
      </c>
      <c r="C12038" s="5" t="s">
        <v>11174</v>
      </c>
      <c r="D12038" s="5" t="s">
        <v>15908</v>
      </c>
      <c r="E12038" s="43">
        <v>1000</v>
      </c>
      <c r="F12038" s="43"/>
      <c r="G12038" s="48">
        <f t="shared" si="292"/>
        <v>526397.27997378027</v>
      </c>
      <c r="H12038" s="389" t="s">
        <v>9567</v>
      </c>
    </row>
    <row r="12039" spans="1:14" x14ac:dyDescent="0.3">
      <c r="A12039" s="45">
        <v>45762</v>
      </c>
      <c r="B12039" s="839" t="s">
        <v>25</v>
      </c>
      <c r="C12039" s="5" t="s">
        <v>26</v>
      </c>
      <c r="D12039" s="5" t="s">
        <v>11434</v>
      </c>
      <c r="E12039" s="43">
        <v>3000</v>
      </c>
      <c r="F12039" s="43"/>
      <c r="G12039" s="48">
        <f t="shared" si="292"/>
        <v>523397.27997378027</v>
      </c>
      <c r="H12039" s="389" t="s">
        <v>9567</v>
      </c>
    </row>
    <row r="12040" spans="1:14" x14ac:dyDescent="0.3">
      <c r="A12040" s="45">
        <v>45762</v>
      </c>
      <c r="B12040" s="838"/>
      <c r="C12040" s="5" t="s">
        <v>15904</v>
      </c>
      <c r="D12040" s="5" t="s">
        <v>15905</v>
      </c>
      <c r="E12040" s="43">
        <v>40000</v>
      </c>
      <c r="F12040" s="43"/>
      <c r="G12040" s="48">
        <f t="shared" si="292"/>
        <v>483397.27997378027</v>
      </c>
      <c r="H12040" s="389" t="s">
        <v>9567</v>
      </c>
    </row>
    <row r="12041" spans="1:14" x14ac:dyDescent="0.3">
      <c r="A12041" s="45">
        <v>45762</v>
      </c>
      <c r="B12041" s="839" t="s">
        <v>15623</v>
      </c>
      <c r="C12041" s="5" t="s">
        <v>84</v>
      </c>
      <c r="D12041" s="5" t="s">
        <v>15906</v>
      </c>
      <c r="E12041" s="43">
        <v>1000</v>
      </c>
      <c r="F12041" s="43"/>
      <c r="G12041" s="48">
        <f t="shared" si="292"/>
        <v>482397.27997378027</v>
      </c>
      <c r="H12041" s="389" t="s">
        <v>9567</v>
      </c>
    </row>
    <row r="12042" spans="1:14" x14ac:dyDescent="0.3">
      <c r="A12042" s="45">
        <v>45762</v>
      </c>
      <c r="B12042" s="839" t="s">
        <v>15623</v>
      </c>
      <c r="C12042" s="5" t="s">
        <v>15861</v>
      </c>
      <c r="D12042" s="5" t="s">
        <v>15559</v>
      </c>
      <c r="E12042" s="43">
        <v>2000</v>
      </c>
      <c r="F12042" s="43"/>
      <c r="G12042" s="48">
        <f t="shared" si="292"/>
        <v>480397.27997378027</v>
      </c>
      <c r="H12042" s="389" t="s">
        <v>9567</v>
      </c>
    </row>
    <row r="12043" spans="1:14" x14ac:dyDescent="0.3">
      <c r="A12043" s="45">
        <v>45762</v>
      </c>
      <c r="B12043" s="839" t="s">
        <v>14524</v>
      </c>
      <c r="C12043" s="5" t="s">
        <v>11174</v>
      </c>
      <c r="D12043" s="5" t="s">
        <v>15907</v>
      </c>
      <c r="E12043" s="43">
        <v>15000</v>
      </c>
      <c r="F12043" s="43"/>
      <c r="G12043" s="48">
        <f t="shared" si="292"/>
        <v>465397.27997378027</v>
      </c>
      <c r="H12043" s="389" t="s">
        <v>9567</v>
      </c>
    </row>
    <row r="12044" spans="1:14" x14ac:dyDescent="0.3">
      <c r="A12044" s="45">
        <v>45762</v>
      </c>
      <c r="B12044" s="838" t="s">
        <v>15623</v>
      </c>
      <c r="C12044" s="5" t="s">
        <v>30</v>
      </c>
      <c r="D12044" s="5" t="s">
        <v>15653</v>
      </c>
      <c r="E12044" s="43">
        <v>3000</v>
      </c>
      <c r="F12044" s="43"/>
      <c r="G12044" s="48">
        <f t="shared" si="292"/>
        <v>462397.27997378027</v>
      </c>
      <c r="H12044" s="389" t="s">
        <v>9567</v>
      </c>
    </row>
    <row r="12045" spans="1:14" x14ac:dyDescent="0.3">
      <c r="A12045" s="45">
        <v>45762</v>
      </c>
      <c r="B12045" s="839" t="s">
        <v>15623</v>
      </c>
      <c r="C12045" s="5" t="s">
        <v>5793</v>
      </c>
      <c r="D12045" s="5" t="s">
        <v>40</v>
      </c>
      <c r="E12045" s="43">
        <v>2500</v>
      </c>
      <c r="F12045" s="43"/>
      <c r="G12045" s="48">
        <f t="shared" si="292"/>
        <v>459897.27997378027</v>
      </c>
      <c r="H12045" s="389" t="s">
        <v>9567</v>
      </c>
    </row>
    <row r="12046" spans="1:14" x14ac:dyDescent="0.3">
      <c r="A12046" s="45">
        <v>45762</v>
      </c>
      <c r="B12046" s="839" t="s">
        <v>12133</v>
      </c>
      <c r="C12046" s="5" t="s">
        <v>84</v>
      </c>
      <c r="D12046" s="5" t="s">
        <v>15911</v>
      </c>
      <c r="E12046" s="43">
        <v>5000</v>
      </c>
      <c r="F12046" s="43"/>
      <c r="G12046" s="48">
        <f t="shared" si="292"/>
        <v>454897.27997378027</v>
      </c>
      <c r="H12046" s="389" t="s">
        <v>9567</v>
      </c>
    </row>
    <row r="12047" spans="1:14" x14ac:dyDescent="0.3">
      <c r="A12047" s="45">
        <v>45762</v>
      </c>
      <c r="B12047" s="839" t="s">
        <v>15421</v>
      </c>
      <c r="C12047" s="5" t="s">
        <v>11174</v>
      </c>
      <c r="D12047" s="5" t="s">
        <v>15912</v>
      </c>
      <c r="E12047" s="43">
        <v>1700</v>
      </c>
      <c r="F12047" s="43"/>
      <c r="G12047" s="48">
        <f t="shared" si="292"/>
        <v>453197.27997378027</v>
      </c>
      <c r="H12047" s="389" t="s">
        <v>9567</v>
      </c>
    </row>
    <row r="12048" spans="1:14" s="387" customFormat="1" ht="37.5" x14ac:dyDescent="0.3">
      <c r="A12048" s="45">
        <v>45763</v>
      </c>
      <c r="B12048" s="320" t="s">
        <v>14590</v>
      </c>
      <c r="C12048" s="44" t="s">
        <v>26</v>
      </c>
      <c r="D12048" s="124" t="s">
        <v>15913</v>
      </c>
      <c r="E12048" s="28">
        <v>5000</v>
      </c>
      <c r="F12048" s="28"/>
      <c r="G12048" s="48">
        <f t="shared" ref="G12048:G12129" si="293">G12047+F12048-E12048</f>
        <v>448197.27997378027</v>
      </c>
      <c r="H12048" s="389" t="s">
        <v>9567</v>
      </c>
      <c r="I12048" s="155"/>
      <c r="J12048" s="155"/>
      <c r="K12048" s="155"/>
      <c r="N12048" s="155"/>
    </row>
    <row r="12049" spans="1:8" x14ac:dyDescent="0.3">
      <c r="A12049" s="45">
        <v>45763</v>
      </c>
      <c r="B12049" s="320" t="s">
        <v>14590</v>
      </c>
      <c r="C12049" s="5" t="s">
        <v>4550</v>
      </c>
      <c r="D12049" s="5" t="s">
        <v>3910</v>
      </c>
      <c r="E12049" s="43">
        <v>7000</v>
      </c>
      <c r="F12049" s="43"/>
      <c r="G12049" s="48">
        <f t="shared" si="293"/>
        <v>441197.27997378027</v>
      </c>
      <c r="H12049" s="389" t="s">
        <v>9567</v>
      </c>
    </row>
    <row r="12050" spans="1:8" x14ac:dyDescent="0.3">
      <c r="A12050" s="45">
        <v>45763</v>
      </c>
      <c r="B12050" s="843" t="s">
        <v>10319</v>
      </c>
      <c r="C12050" s="5" t="s">
        <v>11174</v>
      </c>
      <c r="D12050" s="5" t="s">
        <v>15914</v>
      </c>
      <c r="E12050" s="43">
        <v>32500</v>
      </c>
      <c r="F12050" s="43"/>
      <c r="G12050" s="48">
        <f t="shared" si="293"/>
        <v>408697.27997378027</v>
      </c>
      <c r="H12050" s="389" t="s">
        <v>9567</v>
      </c>
    </row>
    <row r="12051" spans="1:8" x14ac:dyDescent="0.3">
      <c r="A12051" s="45">
        <v>45763</v>
      </c>
      <c r="B12051" s="843" t="s">
        <v>13138</v>
      </c>
      <c r="C12051" s="5" t="s">
        <v>84</v>
      </c>
      <c r="D12051" s="5" t="s">
        <v>15915</v>
      </c>
      <c r="E12051" s="43">
        <v>15000</v>
      </c>
      <c r="F12051" s="43"/>
      <c r="G12051" s="48">
        <f t="shared" si="293"/>
        <v>393697.27997378027</v>
      </c>
      <c r="H12051" s="389" t="s">
        <v>9567</v>
      </c>
    </row>
    <row r="12052" spans="1:8" x14ac:dyDescent="0.3">
      <c r="A12052" s="45">
        <v>45763</v>
      </c>
      <c r="B12052" s="843" t="s">
        <v>15623</v>
      </c>
      <c r="C12052" s="5" t="s">
        <v>9287</v>
      </c>
      <c r="D12052" s="5" t="s">
        <v>294</v>
      </c>
      <c r="E12052" s="43">
        <v>50000</v>
      </c>
      <c r="F12052" s="43"/>
      <c r="G12052" s="48">
        <f t="shared" si="293"/>
        <v>343697.27997378027</v>
      </c>
      <c r="H12052" s="389" t="s">
        <v>9567</v>
      </c>
    </row>
    <row r="12053" spans="1:8" x14ac:dyDescent="0.3">
      <c r="A12053" s="45">
        <v>45763</v>
      </c>
      <c r="B12053" s="843" t="s">
        <v>15808</v>
      </c>
      <c r="C12053" s="5" t="s">
        <v>5793</v>
      </c>
      <c r="D12053" s="5" t="s">
        <v>7843</v>
      </c>
      <c r="E12053" s="43">
        <v>500</v>
      </c>
      <c r="F12053" s="43"/>
      <c r="G12053" s="48">
        <f t="shared" si="293"/>
        <v>343197.27997378027</v>
      </c>
      <c r="H12053" s="389" t="s">
        <v>9567</v>
      </c>
    </row>
    <row r="12054" spans="1:8" x14ac:dyDescent="0.3">
      <c r="A12054" s="45">
        <v>45763</v>
      </c>
      <c r="B12054" s="846" t="s">
        <v>13833</v>
      </c>
      <c r="C12054" s="5" t="s">
        <v>11174</v>
      </c>
      <c r="D12054" s="5" t="s">
        <v>15916</v>
      </c>
      <c r="E12054" s="43">
        <v>9000</v>
      </c>
      <c r="F12054" s="43"/>
      <c r="G12054" s="48">
        <f t="shared" si="293"/>
        <v>334197.27997378027</v>
      </c>
      <c r="H12054" s="389" t="s">
        <v>9567</v>
      </c>
    </row>
    <row r="12055" spans="1:8" x14ac:dyDescent="0.3">
      <c r="A12055" s="45">
        <v>45763</v>
      </c>
      <c r="B12055" s="565"/>
      <c r="C12055" s="480"/>
      <c r="D12055" s="491" t="s">
        <v>12269</v>
      </c>
      <c r="E12055" s="480"/>
      <c r="F12055" s="43">
        <v>1000000</v>
      </c>
      <c r="G12055" s="48">
        <f t="shared" si="293"/>
        <v>1334197.2799737803</v>
      </c>
      <c r="H12055" s="389" t="s">
        <v>9567</v>
      </c>
    </row>
    <row r="12056" spans="1:8" x14ac:dyDescent="0.3">
      <c r="A12056" s="45">
        <v>45763</v>
      </c>
      <c r="B12056" s="844" t="s">
        <v>25</v>
      </c>
      <c r="C12056" s="5" t="s">
        <v>26</v>
      </c>
      <c r="D12056" s="5" t="s">
        <v>11434</v>
      </c>
      <c r="E12056" s="43">
        <v>3000</v>
      </c>
      <c r="F12056" s="43"/>
      <c r="G12056" s="48">
        <f t="shared" si="293"/>
        <v>1331197.2799737803</v>
      </c>
      <c r="H12056" s="389" t="s">
        <v>9567</v>
      </c>
    </row>
    <row r="12057" spans="1:8" x14ac:dyDescent="0.3">
      <c r="A12057" s="45">
        <v>45763</v>
      </c>
      <c r="B12057" s="843" t="s">
        <v>15878</v>
      </c>
      <c r="C12057" s="5" t="s">
        <v>84</v>
      </c>
      <c r="D12057" s="5" t="s">
        <v>15917</v>
      </c>
      <c r="E12057" s="43">
        <v>20000</v>
      </c>
      <c r="F12057" s="43"/>
      <c r="G12057" s="48">
        <f t="shared" si="293"/>
        <v>1311197.2799737803</v>
      </c>
      <c r="H12057" s="389" t="s">
        <v>9567</v>
      </c>
    </row>
    <row r="12058" spans="1:8" x14ac:dyDescent="0.3">
      <c r="A12058" s="45">
        <v>45763</v>
      </c>
      <c r="B12058" s="845" t="s">
        <v>12055</v>
      </c>
      <c r="C12058" s="5" t="s">
        <v>84</v>
      </c>
      <c r="D12058" s="5" t="s">
        <v>15918</v>
      </c>
      <c r="E12058" s="43">
        <v>5000</v>
      </c>
      <c r="F12058" s="43"/>
      <c r="G12058" s="48">
        <f t="shared" si="293"/>
        <v>1306197.2799737803</v>
      </c>
      <c r="H12058" s="389" t="s">
        <v>9567</v>
      </c>
    </row>
    <row r="12059" spans="1:8" x14ac:dyDescent="0.3">
      <c r="A12059" s="45">
        <v>45763</v>
      </c>
      <c r="B12059" s="713" t="s">
        <v>15808</v>
      </c>
      <c r="C12059" s="714" t="s">
        <v>9451</v>
      </c>
      <c r="D12059" s="714" t="s">
        <v>15919</v>
      </c>
      <c r="E12059" s="65">
        <v>6450</v>
      </c>
      <c r="F12059" s="43"/>
      <c r="G12059" s="48">
        <f t="shared" si="293"/>
        <v>1299747.2799737803</v>
      </c>
      <c r="H12059" s="389" t="s">
        <v>9567</v>
      </c>
    </row>
    <row r="12060" spans="1:8" x14ac:dyDescent="0.3">
      <c r="A12060" s="45">
        <v>45764</v>
      </c>
      <c r="B12060" s="713" t="s">
        <v>15878</v>
      </c>
      <c r="C12060" s="714" t="s">
        <v>11174</v>
      </c>
      <c r="D12060" s="714" t="s">
        <v>15924</v>
      </c>
      <c r="E12060" s="65">
        <v>16960</v>
      </c>
      <c r="F12060" s="43"/>
      <c r="G12060" s="48">
        <f t="shared" si="293"/>
        <v>1282787.2799737803</v>
      </c>
      <c r="H12060" s="389" t="s">
        <v>9567</v>
      </c>
    </row>
    <row r="12061" spans="1:8" x14ac:dyDescent="0.3">
      <c r="A12061" s="45">
        <v>45764</v>
      </c>
      <c r="B12061" s="713" t="s">
        <v>25</v>
      </c>
      <c r="C12061" s="714" t="s">
        <v>26</v>
      </c>
      <c r="D12061" s="714" t="s">
        <v>15920</v>
      </c>
      <c r="E12061" s="65">
        <v>9500</v>
      </c>
      <c r="F12061" s="43"/>
      <c r="G12061" s="48">
        <f t="shared" si="293"/>
        <v>1273287.2799737803</v>
      </c>
      <c r="H12061" s="389" t="s">
        <v>9567</v>
      </c>
    </row>
    <row r="12062" spans="1:8" x14ac:dyDescent="0.3">
      <c r="A12062" s="45">
        <v>45764</v>
      </c>
      <c r="B12062" s="713" t="s">
        <v>14524</v>
      </c>
      <c r="C12062" s="714" t="s">
        <v>5793</v>
      </c>
      <c r="D12062" s="714" t="s">
        <v>15921</v>
      </c>
      <c r="E12062" s="65">
        <v>1200</v>
      </c>
      <c r="F12062" s="43"/>
      <c r="G12062" s="48">
        <f t="shared" si="293"/>
        <v>1272087.2799737803</v>
      </c>
      <c r="H12062" s="389" t="s">
        <v>9567</v>
      </c>
    </row>
    <row r="12063" spans="1:8" x14ac:dyDescent="0.3">
      <c r="A12063" s="45">
        <v>45764</v>
      </c>
      <c r="B12063" s="847" t="s">
        <v>13321</v>
      </c>
      <c r="C12063" s="5" t="s">
        <v>5793</v>
      </c>
      <c r="D12063" s="5" t="s">
        <v>40</v>
      </c>
      <c r="E12063" s="43">
        <v>1000</v>
      </c>
      <c r="F12063" s="43"/>
      <c r="G12063" s="48">
        <f t="shared" si="293"/>
        <v>1271087.2799737803</v>
      </c>
      <c r="H12063" s="389" t="s">
        <v>9567</v>
      </c>
    </row>
    <row r="12064" spans="1:8" x14ac:dyDescent="0.3">
      <c r="A12064" s="45">
        <v>45764</v>
      </c>
      <c r="B12064" s="847" t="s">
        <v>15623</v>
      </c>
      <c r="C12064" s="5" t="s">
        <v>5793</v>
      </c>
      <c r="D12064" s="5" t="s">
        <v>8924</v>
      </c>
      <c r="E12064" s="43">
        <v>500</v>
      </c>
      <c r="F12064" s="43"/>
      <c r="G12064" s="48">
        <f t="shared" si="293"/>
        <v>1270587.2799737803</v>
      </c>
      <c r="H12064" s="389" t="s">
        <v>9567</v>
      </c>
    </row>
    <row r="12065" spans="1:8" x14ac:dyDescent="0.3">
      <c r="A12065" s="45">
        <v>45764</v>
      </c>
      <c r="B12065" s="847" t="s">
        <v>15766</v>
      </c>
      <c r="C12065" s="5" t="s">
        <v>5793</v>
      </c>
      <c r="D12065" s="5" t="s">
        <v>15922</v>
      </c>
      <c r="E12065" s="43">
        <v>1000</v>
      </c>
      <c r="F12065" s="43"/>
      <c r="G12065" s="48">
        <f t="shared" si="293"/>
        <v>1269587.2799737803</v>
      </c>
      <c r="H12065" s="389" t="s">
        <v>9567</v>
      </c>
    </row>
    <row r="12066" spans="1:8" x14ac:dyDescent="0.3">
      <c r="A12066" s="45">
        <v>45764</v>
      </c>
      <c r="B12066" s="847" t="s">
        <v>25</v>
      </c>
      <c r="C12066" s="5" t="s">
        <v>26</v>
      </c>
      <c r="D12066" s="5" t="s">
        <v>11434</v>
      </c>
      <c r="E12066" s="43">
        <v>3000</v>
      </c>
      <c r="F12066" s="43"/>
      <c r="G12066" s="48">
        <f t="shared" si="293"/>
        <v>1266587.2799737803</v>
      </c>
      <c r="H12066" s="389" t="s">
        <v>9567</v>
      </c>
    </row>
    <row r="12067" spans="1:8" x14ac:dyDescent="0.3">
      <c r="A12067" s="45">
        <v>45764</v>
      </c>
      <c r="B12067" s="847" t="s">
        <v>15623</v>
      </c>
      <c r="C12067" s="5" t="s">
        <v>15861</v>
      </c>
      <c r="D12067" s="5" t="s">
        <v>15559</v>
      </c>
      <c r="E12067" s="43">
        <v>15000</v>
      </c>
      <c r="F12067" s="43"/>
      <c r="G12067" s="48">
        <f t="shared" si="293"/>
        <v>1251587.2799737803</v>
      </c>
      <c r="H12067" s="389" t="s">
        <v>9567</v>
      </c>
    </row>
    <row r="12068" spans="1:8" x14ac:dyDescent="0.3">
      <c r="A12068" s="45">
        <v>45764</v>
      </c>
      <c r="B12068" s="847" t="s">
        <v>15808</v>
      </c>
      <c r="C12068" s="5" t="s">
        <v>9451</v>
      </c>
      <c r="D12068" s="5" t="s">
        <v>15923</v>
      </c>
      <c r="E12068" s="43">
        <v>15000</v>
      </c>
      <c r="F12068" s="43"/>
      <c r="G12068" s="48">
        <f t="shared" si="293"/>
        <v>1236587.2799737803</v>
      </c>
      <c r="H12068" s="389" t="s">
        <v>9567</v>
      </c>
    </row>
    <row r="12069" spans="1:8" x14ac:dyDescent="0.3">
      <c r="A12069" s="45">
        <v>45764</v>
      </c>
      <c r="B12069" s="860" t="s">
        <v>15878</v>
      </c>
      <c r="C12069" s="5" t="s">
        <v>11174</v>
      </c>
      <c r="D12069" s="5" t="s">
        <v>15925</v>
      </c>
      <c r="E12069" s="43">
        <v>560</v>
      </c>
      <c r="F12069" s="43"/>
      <c r="G12069" s="48">
        <f t="shared" si="293"/>
        <v>1236027.2799737803</v>
      </c>
      <c r="H12069" s="389" t="s">
        <v>9567</v>
      </c>
    </row>
    <row r="12070" spans="1:8" x14ac:dyDescent="0.3">
      <c r="A12070" s="45">
        <v>45764</v>
      </c>
      <c r="B12070" s="847" t="s">
        <v>25</v>
      </c>
      <c r="C12070" s="5" t="s">
        <v>84</v>
      </c>
      <c r="D12070" s="5" t="s">
        <v>15926</v>
      </c>
      <c r="E12070" s="43">
        <v>5000</v>
      </c>
      <c r="F12070" s="43"/>
      <c r="G12070" s="48">
        <f t="shared" si="293"/>
        <v>1231027.2799737803</v>
      </c>
      <c r="H12070" s="389" t="s">
        <v>9567</v>
      </c>
    </row>
    <row r="12071" spans="1:8" x14ac:dyDescent="0.3">
      <c r="A12071" s="45">
        <v>45765</v>
      </c>
      <c r="B12071" s="847" t="s">
        <v>15656</v>
      </c>
      <c r="C12071" s="5" t="s">
        <v>11174</v>
      </c>
      <c r="D12071" s="5" t="s">
        <v>15930</v>
      </c>
      <c r="E12071" s="43">
        <v>124000</v>
      </c>
      <c r="F12071" s="43"/>
      <c r="G12071" s="48">
        <f t="shared" si="293"/>
        <v>1107027.2799737803</v>
      </c>
      <c r="H12071" s="389" t="s">
        <v>9567</v>
      </c>
    </row>
    <row r="12072" spans="1:8" x14ac:dyDescent="0.3">
      <c r="A12072" s="45">
        <v>45765</v>
      </c>
      <c r="B12072" s="847" t="s">
        <v>15623</v>
      </c>
      <c r="C12072" s="5" t="s">
        <v>15950</v>
      </c>
      <c r="D12072" s="5" t="s">
        <v>15931</v>
      </c>
      <c r="E12072" s="43">
        <v>88500</v>
      </c>
      <c r="F12072" s="43"/>
      <c r="G12072" s="48">
        <f t="shared" si="293"/>
        <v>1018527.2799737803</v>
      </c>
      <c r="H12072" s="389" t="s">
        <v>9567</v>
      </c>
    </row>
    <row r="12073" spans="1:8" x14ac:dyDescent="0.3">
      <c r="A12073" s="45">
        <v>45765</v>
      </c>
      <c r="B12073" s="847"/>
      <c r="C12073" s="5" t="s">
        <v>84</v>
      </c>
      <c r="D12073" s="5" t="s">
        <v>15932</v>
      </c>
      <c r="E12073" s="43">
        <v>8000</v>
      </c>
      <c r="F12073" s="43"/>
      <c r="G12073" s="48">
        <f t="shared" si="293"/>
        <v>1010527.2799737803</v>
      </c>
      <c r="H12073" s="389" t="s">
        <v>9567</v>
      </c>
    </row>
    <row r="12074" spans="1:8" x14ac:dyDescent="0.3">
      <c r="A12074" s="45">
        <v>45765</v>
      </c>
      <c r="B12074" s="848" t="s">
        <v>14701</v>
      </c>
      <c r="C12074" s="5" t="s">
        <v>1012</v>
      </c>
      <c r="D12074" s="5" t="s">
        <v>15933</v>
      </c>
      <c r="E12074" s="43">
        <v>10000</v>
      </c>
      <c r="F12074" s="43"/>
      <c r="G12074" s="48">
        <f t="shared" si="293"/>
        <v>1000527.2799737803</v>
      </c>
      <c r="H12074" s="389" t="s">
        <v>9567</v>
      </c>
    </row>
    <row r="12075" spans="1:8" x14ac:dyDescent="0.3">
      <c r="A12075" s="45">
        <v>45765</v>
      </c>
      <c r="B12075" s="713" t="s">
        <v>13902</v>
      </c>
      <c r="C12075" s="714" t="s">
        <v>11174</v>
      </c>
      <c r="D12075" s="714" t="s">
        <v>15948</v>
      </c>
      <c r="E12075" s="65">
        <v>4750</v>
      </c>
      <c r="F12075" s="43"/>
      <c r="G12075" s="48">
        <f t="shared" si="293"/>
        <v>995777.27997378027</v>
      </c>
      <c r="H12075" s="389" t="s">
        <v>9567</v>
      </c>
    </row>
    <row r="12076" spans="1:8" x14ac:dyDescent="0.3">
      <c r="A12076" s="45">
        <v>45765</v>
      </c>
      <c r="B12076" s="848" t="s">
        <v>15878</v>
      </c>
      <c r="C12076" s="5" t="s">
        <v>14</v>
      </c>
      <c r="D12076" s="5" t="s">
        <v>640</v>
      </c>
      <c r="E12076" s="43">
        <v>1000</v>
      </c>
      <c r="F12076" s="43"/>
      <c r="G12076" s="48">
        <f t="shared" si="293"/>
        <v>994777.27997378027</v>
      </c>
      <c r="H12076" s="389" t="s">
        <v>9567</v>
      </c>
    </row>
    <row r="12077" spans="1:8" x14ac:dyDescent="0.3">
      <c r="A12077" s="45">
        <v>45765</v>
      </c>
      <c r="B12077" s="848" t="s">
        <v>13321</v>
      </c>
      <c r="C12077" s="5" t="s">
        <v>84</v>
      </c>
      <c r="D12077" s="5" t="s">
        <v>15934</v>
      </c>
      <c r="E12077" s="43">
        <v>5000</v>
      </c>
      <c r="F12077" s="43"/>
      <c r="G12077" s="48">
        <f t="shared" si="293"/>
        <v>989777.27997378027</v>
      </c>
      <c r="H12077" s="389" t="s">
        <v>9567</v>
      </c>
    </row>
    <row r="12078" spans="1:8" x14ac:dyDescent="0.3">
      <c r="A12078" s="45">
        <v>45765</v>
      </c>
      <c r="B12078" s="848" t="s">
        <v>14524</v>
      </c>
      <c r="C12078" s="5" t="s">
        <v>11174</v>
      </c>
      <c r="D12078" s="5" t="s">
        <v>15935</v>
      </c>
      <c r="E12078" s="43">
        <v>1000</v>
      </c>
      <c r="F12078" s="43"/>
      <c r="G12078" s="48">
        <f t="shared" si="293"/>
        <v>988777.27997378027</v>
      </c>
      <c r="H12078" s="389" t="s">
        <v>9567</v>
      </c>
    </row>
    <row r="12079" spans="1:8" x14ac:dyDescent="0.3">
      <c r="A12079" s="45">
        <v>45765</v>
      </c>
      <c r="B12079" s="848" t="s">
        <v>13321</v>
      </c>
      <c r="C12079" s="5" t="s">
        <v>57</v>
      </c>
      <c r="D12079" s="5" t="s">
        <v>294</v>
      </c>
      <c r="E12079" s="43">
        <v>100000</v>
      </c>
      <c r="F12079" s="43"/>
      <c r="G12079" s="48">
        <f t="shared" si="293"/>
        <v>888777.27997378027</v>
      </c>
      <c r="H12079" s="389" t="s">
        <v>9567</v>
      </c>
    </row>
    <row r="12080" spans="1:8" x14ac:dyDescent="0.3">
      <c r="A12080" s="45">
        <v>45765</v>
      </c>
      <c r="B12080" s="848" t="s">
        <v>13902</v>
      </c>
      <c r="C12080" s="5" t="s">
        <v>26</v>
      </c>
      <c r="D12080" s="5" t="s">
        <v>15944</v>
      </c>
      <c r="E12080" s="43">
        <v>2000</v>
      </c>
      <c r="F12080" s="43"/>
      <c r="G12080" s="48">
        <f t="shared" si="293"/>
        <v>886777.27997378027</v>
      </c>
      <c r="H12080" s="389" t="s">
        <v>9567</v>
      </c>
    </row>
    <row r="12081" spans="1:8" x14ac:dyDescent="0.3">
      <c r="A12081" s="45">
        <v>45765</v>
      </c>
      <c r="B12081" s="848" t="s">
        <v>15729</v>
      </c>
      <c r="C12081" s="5" t="s">
        <v>30</v>
      </c>
      <c r="D12081" s="5" t="s">
        <v>15945</v>
      </c>
      <c r="E12081" s="43">
        <v>500</v>
      </c>
      <c r="F12081" s="43"/>
      <c r="G12081" s="48">
        <f t="shared" si="293"/>
        <v>886277.27997378027</v>
      </c>
      <c r="H12081" s="389" t="s">
        <v>9567</v>
      </c>
    </row>
    <row r="12082" spans="1:8" x14ac:dyDescent="0.3">
      <c r="A12082" s="45">
        <v>45765</v>
      </c>
      <c r="B12082" s="848" t="s">
        <v>15808</v>
      </c>
      <c r="C12082" s="5" t="s">
        <v>11174</v>
      </c>
      <c r="D12082" s="5" t="s">
        <v>15946</v>
      </c>
      <c r="E12082" s="43">
        <v>87000</v>
      </c>
      <c r="F12082" s="43"/>
      <c r="G12082" s="48">
        <f t="shared" si="293"/>
        <v>799277.27997378027</v>
      </c>
      <c r="H12082" s="389" t="s">
        <v>9567</v>
      </c>
    </row>
    <row r="12083" spans="1:8" x14ac:dyDescent="0.3">
      <c r="A12083" s="45">
        <v>45765</v>
      </c>
      <c r="B12083" s="848" t="s">
        <v>25</v>
      </c>
      <c r="C12083" s="5" t="s">
        <v>26</v>
      </c>
      <c r="D12083" s="5" t="s">
        <v>11434</v>
      </c>
      <c r="E12083" s="43">
        <v>3000</v>
      </c>
      <c r="F12083" s="43"/>
      <c r="G12083" s="48">
        <f t="shared" si="293"/>
        <v>796277.27997378027</v>
      </c>
      <c r="H12083" s="389" t="s">
        <v>9567</v>
      </c>
    </row>
    <row r="12084" spans="1:8" x14ac:dyDescent="0.3">
      <c r="A12084" s="45">
        <v>45765</v>
      </c>
      <c r="B12084" s="848" t="s">
        <v>14590</v>
      </c>
      <c r="C12084" s="5" t="s">
        <v>5793</v>
      </c>
      <c r="D12084" s="5" t="s">
        <v>15947</v>
      </c>
      <c r="E12084" s="43">
        <v>300</v>
      </c>
      <c r="F12084" s="43"/>
      <c r="G12084" s="48">
        <f t="shared" si="293"/>
        <v>795977.27997378027</v>
      </c>
      <c r="H12084" s="389" t="s">
        <v>9567</v>
      </c>
    </row>
    <row r="12085" spans="1:8" x14ac:dyDescent="0.3">
      <c r="A12085" s="45">
        <v>45765</v>
      </c>
      <c r="B12085" s="848" t="s">
        <v>13321</v>
      </c>
      <c r="C12085" s="5" t="s">
        <v>5793</v>
      </c>
      <c r="D12085" s="5" t="s">
        <v>40</v>
      </c>
      <c r="E12085" s="43">
        <v>800</v>
      </c>
      <c r="F12085" s="43"/>
      <c r="G12085" s="48">
        <f t="shared" si="293"/>
        <v>795177.27997378027</v>
      </c>
      <c r="H12085" s="389" t="s">
        <v>9567</v>
      </c>
    </row>
    <row r="12086" spans="1:8" x14ac:dyDescent="0.3">
      <c r="A12086" s="45">
        <v>45765</v>
      </c>
      <c r="B12086" s="848" t="s">
        <v>13321</v>
      </c>
      <c r="C12086" s="5" t="s">
        <v>30</v>
      </c>
      <c r="D12086" s="5" t="s">
        <v>15949</v>
      </c>
      <c r="E12086" s="43">
        <v>1000</v>
      </c>
      <c r="F12086" s="43"/>
      <c r="G12086" s="48">
        <f t="shared" si="293"/>
        <v>794177.27997378027</v>
      </c>
      <c r="H12086" s="389" t="s">
        <v>9567</v>
      </c>
    </row>
    <row r="12087" spans="1:8" x14ac:dyDescent="0.3">
      <c r="A12087" s="45">
        <v>45766</v>
      </c>
      <c r="B12087" s="849" t="s">
        <v>15421</v>
      </c>
      <c r="C12087" s="5" t="s">
        <v>84</v>
      </c>
      <c r="D12087" s="5" t="s">
        <v>15952</v>
      </c>
      <c r="E12087" s="43">
        <v>5000</v>
      </c>
      <c r="F12087" s="43"/>
      <c r="G12087" s="48">
        <f t="shared" si="293"/>
        <v>789177.27997378027</v>
      </c>
      <c r="H12087" s="389" t="s">
        <v>9567</v>
      </c>
    </row>
    <row r="12088" spans="1:8" x14ac:dyDescent="0.3">
      <c r="A12088" s="45">
        <v>45766</v>
      </c>
      <c r="B12088" s="848" t="s">
        <v>13138</v>
      </c>
      <c r="C12088" s="5" t="s">
        <v>11174</v>
      </c>
      <c r="D12088" s="5" t="s">
        <v>15953</v>
      </c>
      <c r="E12088" s="43">
        <v>1000</v>
      </c>
      <c r="F12088" s="43"/>
      <c r="G12088" s="48">
        <f t="shared" si="293"/>
        <v>788177.27997378027</v>
      </c>
      <c r="H12088" s="389" t="s">
        <v>9567</v>
      </c>
    </row>
    <row r="12089" spans="1:8" x14ac:dyDescent="0.3">
      <c r="A12089" s="45">
        <v>45766</v>
      </c>
      <c r="B12089" s="849" t="s">
        <v>15928</v>
      </c>
      <c r="C12089" s="5" t="s">
        <v>11174</v>
      </c>
      <c r="D12089" s="5" t="s">
        <v>15954</v>
      </c>
      <c r="E12089" s="43">
        <v>16700</v>
      </c>
      <c r="F12089" s="43"/>
      <c r="G12089" s="48">
        <f t="shared" si="293"/>
        <v>771477.27997378027</v>
      </c>
      <c r="H12089" s="389" t="s">
        <v>9567</v>
      </c>
    </row>
    <row r="12090" spans="1:8" x14ac:dyDescent="0.3">
      <c r="A12090" s="45">
        <v>45766</v>
      </c>
      <c r="B12090" s="849" t="s">
        <v>12080</v>
      </c>
      <c r="C12090" s="5" t="s">
        <v>84</v>
      </c>
      <c r="D12090" s="5" t="s">
        <v>15956</v>
      </c>
      <c r="E12090" s="43">
        <v>20000</v>
      </c>
      <c r="F12090" s="43"/>
      <c r="G12090" s="48">
        <f t="shared" si="293"/>
        <v>751477.27997378027</v>
      </c>
      <c r="H12090" s="389" t="s">
        <v>9567</v>
      </c>
    </row>
    <row r="12091" spans="1:8" x14ac:dyDescent="0.3">
      <c r="A12091" s="45">
        <v>45766</v>
      </c>
      <c r="B12091" s="849" t="s">
        <v>15421</v>
      </c>
      <c r="C12091" s="5" t="s">
        <v>84</v>
      </c>
      <c r="D12091" s="5" t="s">
        <v>15957</v>
      </c>
      <c r="E12091" s="43">
        <v>2000</v>
      </c>
      <c r="F12091" s="43"/>
      <c r="G12091" s="48">
        <f t="shared" si="293"/>
        <v>749477.27997378027</v>
      </c>
      <c r="H12091" s="389" t="s">
        <v>9567</v>
      </c>
    </row>
    <row r="12092" spans="1:8" x14ac:dyDescent="0.3">
      <c r="A12092" s="45">
        <v>45766</v>
      </c>
      <c r="B12092" s="849"/>
      <c r="C12092" s="5" t="s">
        <v>14</v>
      </c>
      <c r="D12092" s="5" t="s">
        <v>15372</v>
      </c>
      <c r="E12092" s="43">
        <v>5000</v>
      </c>
      <c r="F12092" s="43"/>
      <c r="G12092" s="48">
        <f t="shared" si="293"/>
        <v>744477.27997378027</v>
      </c>
      <c r="H12092" s="389" t="s">
        <v>9567</v>
      </c>
    </row>
    <row r="12093" spans="1:8" x14ac:dyDescent="0.3">
      <c r="A12093" s="45">
        <v>45766</v>
      </c>
      <c r="B12093" s="849" t="s">
        <v>12230</v>
      </c>
      <c r="C12093" s="5" t="s">
        <v>1074</v>
      </c>
      <c r="D12093" s="5" t="s">
        <v>6280</v>
      </c>
      <c r="E12093" s="43">
        <f>1230+1920</f>
        <v>3150</v>
      </c>
      <c r="F12093" s="43"/>
      <c r="G12093" s="48">
        <f t="shared" si="293"/>
        <v>741327.27997378027</v>
      </c>
      <c r="H12093" s="389" t="s">
        <v>9567</v>
      </c>
    </row>
    <row r="12094" spans="1:8" x14ac:dyDescent="0.3">
      <c r="A12094" s="45">
        <v>45766</v>
      </c>
      <c r="B12094" s="849" t="s">
        <v>25</v>
      </c>
      <c r="C12094" s="5" t="s">
        <v>1074</v>
      </c>
      <c r="D12094" s="5" t="s">
        <v>6280</v>
      </c>
      <c r="E12094" s="43">
        <f>6400+4070</f>
        <v>10470</v>
      </c>
      <c r="F12094" s="43"/>
      <c r="G12094" s="48">
        <f t="shared" si="293"/>
        <v>730857.27997378027</v>
      </c>
      <c r="H12094" s="389" t="s">
        <v>9567</v>
      </c>
    </row>
    <row r="12095" spans="1:8" x14ac:dyDescent="0.3">
      <c r="A12095" s="45">
        <v>45766</v>
      </c>
      <c r="B12095" s="849" t="s">
        <v>15623</v>
      </c>
      <c r="C12095" s="5" t="s">
        <v>5793</v>
      </c>
      <c r="D12095" s="5" t="s">
        <v>15958</v>
      </c>
      <c r="E12095" s="43">
        <v>1000</v>
      </c>
      <c r="F12095" s="43"/>
      <c r="G12095" s="48">
        <f t="shared" si="293"/>
        <v>729857.27997378027</v>
      </c>
      <c r="H12095" s="389" t="s">
        <v>9567</v>
      </c>
    </row>
    <row r="12096" spans="1:8" x14ac:dyDescent="0.3">
      <c r="A12096" s="45">
        <v>45768</v>
      </c>
      <c r="B12096" s="849"/>
      <c r="C12096" s="5" t="s">
        <v>5482</v>
      </c>
      <c r="D12096" s="5" t="s">
        <v>15960</v>
      </c>
      <c r="E12096" s="43">
        <v>15000</v>
      </c>
      <c r="F12096" s="43"/>
      <c r="G12096" s="48">
        <f t="shared" si="293"/>
        <v>714857.27997378027</v>
      </c>
      <c r="H12096" s="389" t="s">
        <v>9567</v>
      </c>
    </row>
    <row r="12097" spans="1:9" x14ac:dyDescent="0.3">
      <c r="A12097" s="45">
        <v>45768</v>
      </c>
      <c r="B12097" s="850" t="s">
        <v>15623</v>
      </c>
      <c r="C12097" s="5" t="s">
        <v>11174</v>
      </c>
      <c r="D12097" s="5" t="s">
        <v>15961</v>
      </c>
      <c r="E12097" s="43">
        <v>6120</v>
      </c>
      <c r="F12097" s="43"/>
      <c r="G12097" s="48">
        <f t="shared" si="293"/>
        <v>708737.27997378027</v>
      </c>
      <c r="H12097" s="389" t="s">
        <v>9567</v>
      </c>
    </row>
    <row r="12098" spans="1:9" x14ac:dyDescent="0.3">
      <c r="A12098" s="45">
        <v>45768</v>
      </c>
      <c r="B12098" s="852" t="s">
        <v>15623</v>
      </c>
      <c r="C12098" s="5" t="s">
        <v>5793</v>
      </c>
      <c r="D12098" s="5" t="s">
        <v>40</v>
      </c>
      <c r="E12098" s="43">
        <v>600</v>
      </c>
      <c r="F12098" s="43"/>
      <c r="G12098" s="48">
        <f t="shared" si="293"/>
        <v>708137.27997378027</v>
      </c>
      <c r="H12098" s="389" t="s">
        <v>9567</v>
      </c>
    </row>
    <row r="12099" spans="1:9" x14ac:dyDescent="0.3">
      <c r="A12099" s="45">
        <v>45768</v>
      </c>
      <c r="B12099" s="852" t="s">
        <v>13321</v>
      </c>
      <c r="C12099" s="5" t="s">
        <v>5793</v>
      </c>
      <c r="D12099" s="5" t="s">
        <v>40</v>
      </c>
      <c r="E12099" s="43">
        <v>1600</v>
      </c>
      <c r="F12099" s="43"/>
      <c r="G12099" s="48">
        <f t="shared" si="293"/>
        <v>706537.27997378027</v>
      </c>
      <c r="H12099" s="389" t="s">
        <v>9567</v>
      </c>
    </row>
    <row r="12100" spans="1:9" x14ac:dyDescent="0.3">
      <c r="A12100" s="45">
        <v>45768</v>
      </c>
      <c r="B12100" s="850" t="s">
        <v>25</v>
      </c>
      <c r="C12100" s="5" t="s">
        <v>26</v>
      </c>
      <c r="D12100" s="5" t="s">
        <v>11434</v>
      </c>
      <c r="E12100" s="43">
        <v>4000</v>
      </c>
      <c r="F12100" s="43"/>
      <c r="G12100" s="48">
        <f t="shared" si="293"/>
        <v>702537.27997378027</v>
      </c>
      <c r="H12100" s="389" t="s">
        <v>9567</v>
      </c>
    </row>
    <row r="12101" spans="1:9" x14ac:dyDescent="0.3">
      <c r="A12101" s="45">
        <v>45768</v>
      </c>
      <c r="B12101" s="850" t="s">
        <v>13902</v>
      </c>
      <c r="C12101" s="5" t="s">
        <v>11174</v>
      </c>
      <c r="D12101" s="5" t="s">
        <v>15965</v>
      </c>
      <c r="E12101" s="43">
        <v>700</v>
      </c>
      <c r="F12101" s="43"/>
      <c r="G12101" s="48">
        <f t="shared" si="293"/>
        <v>701837.27997378027</v>
      </c>
      <c r="H12101" s="389" t="s">
        <v>9567</v>
      </c>
    </row>
    <row r="12102" spans="1:9" x14ac:dyDescent="0.3">
      <c r="A12102" s="45">
        <v>45768</v>
      </c>
      <c r="B12102" s="850" t="s">
        <v>13321</v>
      </c>
      <c r="C12102" s="5" t="s">
        <v>30</v>
      </c>
      <c r="D12102" s="5" t="s">
        <v>15949</v>
      </c>
      <c r="E12102" s="43">
        <v>450</v>
      </c>
      <c r="F12102" s="43"/>
      <c r="G12102" s="48">
        <f t="shared" si="293"/>
        <v>701387.27997378027</v>
      </c>
      <c r="H12102" s="389" t="s">
        <v>9567</v>
      </c>
    </row>
    <row r="12103" spans="1:9" x14ac:dyDescent="0.3">
      <c r="A12103" s="45">
        <v>45768</v>
      </c>
      <c r="B12103" s="852" t="s">
        <v>15162</v>
      </c>
      <c r="C12103" s="5" t="s">
        <v>5793</v>
      </c>
      <c r="D12103" s="5" t="s">
        <v>40</v>
      </c>
      <c r="E12103" s="43">
        <v>1000</v>
      </c>
      <c r="F12103" s="43"/>
      <c r="G12103" s="48">
        <f t="shared" si="293"/>
        <v>700387.27997378027</v>
      </c>
      <c r="H12103" s="389" t="s">
        <v>9567</v>
      </c>
    </row>
    <row r="12104" spans="1:9" x14ac:dyDescent="0.3">
      <c r="A12104" s="45">
        <v>45768</v>
      </c>
      <c r="B12104" s="850"/>
      <c r="C12104" s="5" t="s">
        <v>14</v>
      </c>
      <c r="D12104" s="5" t="s">
        <v>294</v>
      </c>
      <c r="E12104" s="43">
        <v>10000</v>
      </c>
      <c r="F12104" s="43"/>
      <c r="G12104" s="48">
        <f t="shared" si="293"/>
        <v>690387.27997378027</v>
      </c>
      <c r="H12104" s="389" t="s">
        <v>9567</v>
      </c>
    </row>
    <row r="12105" spans="1:9" x14ac:dyDescent="0.3">
      <c r="A12105" s="45">
        <v>45768</v>
      </c>
      <c r="B12105" s="850" t="s">
        <v>12133</v>
      </c>
      <c r="C12105" s="5" t="s">
        <v>84</v>
      </c>
      <c r="D12105" s="5" t="s">
        <v>15966</v>
      </c>
      <c r="E12105" s="43">
        <v>30000</v>
      </c>
      <c r="F12105" s="43"/>
      <c r="G12105" s="48">
        <f t="shared" si="293"/>
        <v>660387.27997378027</v>
      </c>
      <c r="H12105" s="389" t="s">
        <v>9567</v>
      </c>
    </row>
    <row r="12106" spans="1:9" x14ac:dyDescent="0.3">
      <c r="A12106" s="45">
        <v>45768</v>
      </c>
      <c r="B12106" s="850" t="s">
        <v>15928</v>
      </c>
      <c r="C12106" s="5" t="s">
        <v>5793</v>
      </c>
      <c r="D12106" s="5" t="s">
        <v>8924</v>
      </c>
      <c r="E12106" s="43">
        <v>400</v>
      </c>
      <c r="F12106" s="43"/>
      <c r="G12106" s="48">
        <f t="shared" si="293"/>
        <v>659987.27997378027</v>
      </c>
      <c r="H12106" s="389" t="s">
        <v>9567</v>
      </c>
    </row>
    <row r="12107" spans="1:9" x14ac:dyDescent="0.3">
      <c r="A12107" s="45">
        <v>45768</v>
      </c>
      <c r="B12107" s="850" t="s">
        <v>15766</v>
      </c>
      <c r="C12107" s="5" t="s">
        <v>11174</v>
      </c>
      <c r="D12107" s="5" t="s">
        <v>15967</v>
      </c>
      <c r="E12107" s="43">
        <v>3840</v>
      </c>
      <c r="F12107" s="43"/>
      <c r="G12107" s="48">
        <f t="shared" si="293"/>
        <v>656147.27997378027</v>
      </c>
      <c r="H12107" s="389" t="s">
        <v>9567</v>
      </c>
      <c r="I12107" s="710"/>
    </row>
    <row r="12108" spans="1:9" x14ac:dyDescent="0.3">
      <c r="A12108" s="45">
        <v>45768</v>
      </c>
      <c r="B12108" s="850" t="s">
        <v>15928</v>
      </c>
      <c r="C12108" s="5" t="s">
        <v>5793</v>
      </c>
      <c r="D12108" s="5" t="s">
        <v>40</v>
      </c>
      <c r="E12108" s="43">
        <v>2000</v>
      </c>
      <c r="F12108" s="43"/>
      <c r="G12108" s="48">
        <f t="shared" si="293"/>
        <v>654147.27997378027</v>
      </c>
      <c r="H12108" s="389" t="s">
        <v>9567</v>
      </c>
    </row>
    <row r="12109" spans="1:9" x14ac:dyDescent="0.3">
      <c r="A12109" s="45">
        <v>45769</v>
      </c>
      <c r="B12109" s="852" t="s">
        <v>12133</v>
      </c>
      <c r="C12109" s="5" t="s">
        <v>84</v>
      </c>
      <c r="D12109" s="5" t="s">
        <v>15977</v>
      </c>
      <c r="E12109" s="43">
        <v>3000</v>
      </c>
      <c r="F12109" s="43"/>
      <c r="G12109" s="48">
        <f t="shared" si="293"/>
        <v>651147.27997378027</v>
      </c>
      <c r="H12109" s="389" t="s">
        <v>9567</v>
      </c>
    </row>
    <row r="12110" spans="1:9" x14ac:dyDescent="0.3">
      <c r="A12110" s="45">
        <v>45769</v>
      </c>
      <c r="B12110" s="852" t="s">
        <v>15421</v>
      </c>
      <c r="C12110" s="5" t="s">
        <v>13846</v>
      </c>
      <c r="D12110" s="5" t="s">
        <v>15978</v>
      </c>
      <c r="E12110" s="43">
        <v>5500</v>
      </c>
      <c r="F12110" s="43"/>
      <c r="G12110" s="48">
        <f t="shared" si="293"/>
        <v>645647.27997378027</v>
      </c>
      <c r="H12110" s="389" t="s">
        <v>9567</v>
      </c>
    </row>
    <row r="12111" spans="1:9" x14ac:dyDescent="0.3">
      <c r="A12111" s="45">
        <v>45769</v>
      </c>
      <c r="B12111" s="853" t="s">
        <v>15623</v>
      </c>
      <c r="C12111" s="5" t="s">
        <v>5793</v>
      </c>
      <c r="D12111" s="5" t="s">
        <v>40</v>
      </c>
      <c r="E12111" s="43">
        <v>1000</v>
      </c>
      <c r="F12111" s="43"/>
      <c r="G12111" s="48">
        <f t="shared" si="293"/>
        <v>644647.27997378027</v>
      </c>
      <c r="H12111" s="389" t="s">
        <v>9567</v>
      </c>
    </row>
    <row r="12112" spans="1:9" x14ac:dyDescent="0.3">
      <c r="A12112" s="45">
        <v>45769</v>
      </c>
      <c r="B12112" s="852" t="s">
        <v>25</v>
      </c>
      <c r="C12112" s="5" t="s">
        <v>26</v>
      </c>
      <c r="D12112" s="5" t="s">
        <v>11434</v>
      </c>
      <c r="E12112" s="43">
        <v>4000</v>
      </c>
      <c r="F12112" s="43"/>
      <c r="G12112" s="48">
        <f t="shared" si="293"/>
        <v>640647.27997378027</v>
      </c>
      <c r="H12112" s="389" t="s">
        <v>9567</v>
      </c>
      <c r="I12112" s="710"/>
    </row>
    <row r="12113" spans="1:9" x14ac:dyDescent="0.3">
      <c r="A12113" s="45">
        <v>45769</v>
      </c>
      <c r="B12113" s="852" t="s">
        <v>15656</v>
      </c>
      <c r="C12113" s="5" t="s">
        <v>5793</v>
      </c>
      <c r="D12113" s="5" t="s">
        <v>15980</v>
      </c>
      <c r="E12113" s="43">
        <v>1800</v>
      </c>
      <c r="F12113" s="43"/>
      <c r="G12113" s="48">
        <f t="shared" si="293"/>
        <v>638847.27997378027</v>
      </c>
      <c r="H12113" s="389" t="s">
        <v>9567</v>
      </c>
      <c r="I12113" s="710"/>
    </row>
    <row r="12114" spans="1:9" x14ac:dyDescent="0.3">
      <c r="A12114" s="45">
        <v>45770</v>
      </c>
      <c r="B12114" s="852" t="s">
        <v>15656</v>
      </c>
      <c r="C12114" s="5" t="s">
        <v>11174</v>
      </c>
      <c r="D12114" s="5" t="s">
        <v>15982</v>
      </c>
      <c r="E12114" s="43">
        <v>10500</v>
      </c>
      <c r="F12114" s="43"/>
      <c r="G12114" s="48">
        <f t="shared" si="293"/>
        <v>628347.27997378027</v>
      </c>
      <c r="H12114" s="389" t="s">
        <v>9567</v>
      </c>
      <c r="I12114" s="710"/>
    </row>
    <row r="12115" spans="1:9" x14ac:dyDescent="0.3">
      <c r="A12115" s="45">
        <v>45770</v>
      </c>
      <c r="B12115" s="852" t="s">
        <v>15623</v>
      </c>
      <c r="C12115" s="5" t="s">
        <v>11174</v>
      </c>
      <c r="D12115" s="5" t="s">
        <v>15983</v>
      </c>
      <c r="E12115" s="43">
        <v>7850</v>
      </c>
      <c r="F12115" s="43"/>
      <c r="G12115" s="48">
        <f t="shared" si="293"/>
        <v>620497.27997378027</v>
      </c>
      <c r="H12115" s="389" t="s">
        <v>9567</v>
      </c>
      <c r="I12115" s="710"/>
    </row>
    <row r="12116" spans="1:9" x14ac:dyDescent="0.3">
      <c r="A12116" s="45">
        <v>45770</v>
      </c>
      <c r="B12116" s="853" t="s">
        <v>15623</v>
      </c>
      <c r="C12116" s="5" t="s">
        <v>5793</v>
      </c>
      <c r="D12116" s="5" t="s">
        <v>40</v>
      </c>
      <c r="E12116" s="43">
        <v>1000</v>
      </c>
      <c r="F12116" s="43"/>
      <c r="G12116" s="48">
        <f t="shared" si="293"/>
        <v>619497.27997378027</v>
      </c>
      <c r="H12116" s="389" t="s">
        <v>9567</v>
      </c>
      <c r="I12116" s="710"/>
    </row>
    <row r="12117" spans="1:9" x14ac:dyDescent="0.3">
      <c r="A12117" s="45">
        <v>45770</v>
      </c>
      <c r="B12117" s="853" t="s">
        <v>15808</v>
      </c>
      <c r="C12117" s="5" t="s">
        <v>5793</v>
      </c>
      <c r="D12117" s="5" t="s">
        <v>40</v>
      </c>
      <c r="E12117" s="43">
        <v>800</v>
      </c>
      <c r="F12117" s="43"/>
      <c r="G12117" s="48">
        <f t="shared" si="293"/>
        <v>618697.27997378027</v>
      </c>
      <c r="H12117" s="389" t="s">
        <v>9567</v>
      </c>
      <c r="I12117" s="710"/>
    </row>
    <row r="12118" spans="1:9" x14ac:dyDescent="0.3">
      <c r="A12118" s="45">
        <v>45770</v>
      </c>
      <c r="B12118" s="853" t="s">
        <v>25</v>
      </c>
      <c r="C12118" s="5" t="s">
        <v>26</v>
      </c>
      <c r="D12118" s="5" t="s">
        <v>11434</v>
      </c>
      <c r="E12118" s="43">
        <v>3000</v>
      </c>
      <c r="F12118" s="43"/>
      <c r="G12118" s="48">
        <f t="shared" si="293"/>
        <v>615697.27997378027</v>
      </c>
      <c r="H12118" s="389" t="s">
        <v>9567</v>
      </c>
      <c r="I12118" s="710"/>
    </row>
    <row r="12119" spans="1:9" x14ac:dyDescent="0.3">
      <c r="A12119" s="45">
        <v>45770</v>
      </c>
      <c r="B12119" s="852" t="s">
        <v>15623</v>
      </c>
      <c r="C12119" s="5" t="s">
        <v>5793</v>
      </c>
      <c r="D12119" s="5" t="s">
        <v>40</v>
      </c>
      <c r="E12119" s="43">
        <v>2000</v>
      </c>
      <c r="F12119" s="43"/>
      <c r="G12119" s="48">
        <f t="shared" si="293"/>
        <v>613697.27997378027</v>
      </c>
      <c r="H12119" s="389" t="s">
        <v>9567</v>
      </c>
      <c r="I12119" s="710"/>
    </row>
    <row r="12120" spans="1:9" x14ac:dyDescent="0.3">
      <c r="A12120" s="45">
        <v>45770</v>
      </c>
      <c r="B12120" s="853" t="s">
        <v>15421</v>
      </c>
      <c r="C12120" s="5" t="s">
        <v>5793</v>
      </c>
      <c r="D12120" s="5" t="s">
        <v>40</v>
      </c>
      <c r="E12120" s="43">
        <v>2000</v>
      </c>
      <c r="F12120" s="43"/>
      <c r="G12120" s="48">
        <f t="shared" si="293"/>
        <v>611697.27997378027</v>
      </c>
      <c r="H12120" s="389" t="s">
        <v>9567</v>
      </c>
      <c r="I12120" s="710"/>
    </row>
    <row r="12121" spans="1:9" x14ac:dyDescent="0.3">
      <c r="A12121" s="45">
        <v>45770</v>
      </c>
      <c r="B12121" s="853" t="s">
        <v>15656</v>
      </c>
      <c r="C12121" s="5" t="s">
        <v>9451</v>
      </c>
      <c r="D12121" s="5" t="s">
        <v>15984</v>
      </c>
      <c r="E12121" s="43">
        <v>6860</v>
      </c>
      <c r="F12121" s="43"/>
      <c r="G12121" s="48">
        <f t="shared" si="293"/>
        <v>604837.27997378027</v>
      </c>
      <c r="H12121" s="389" t="s">
        <v>9567</v>
      </c>
      <c r="I12121" s="710"/>
    </row>
    <row r="12122" spans="1:9" x14ac:dyDescent="0.3">
      <c r="A12122" s="45">
        <v>45770</v>
      </c>
      <c r="B12122" s="853" t="s">
        <v>25</v>
      </c>
      <c r="C12122" s="5" t="s">
        <v>7214</v>
      </c>
      <c r="D12122" s="5" t="s">
        <v>15985</v>
      </c>
      <c r="E12122" s="43">
        <v>50000</v>
      </c>
      <c r="F12122" s="43"/>
      <c r="G12122" s="48">
        <f t="shared" si="293"/>
        <v>554837.27997378027</v>
      </c>
      <c r="H12122" s="389" t="s">
        <v>9567</v>
      </c>
      <c r="I12122" s="710"/>
    </row>
    <row r="12123" spans="1:9" x14ac:dyDescent="0.3">
      <c r="A12123" s="45">
        <v>45770</v>
      </c>
      <c r="B12123" s="853" t="s">
        <v>13833</v>
      </c>
      <c r="C12123" s="5" t="s">
        <v>5793</v>
      </c>
      <c r="D12123" s="5" t="s">
        <v>14753</v>
      </c>
      <c r="E12123" s="43">
        <v>1200</v>
      </c>
      <c r="F12123" s="43"/>
      <c r="G12123" s="48">
        <f t="shared" si="293"/>
        <v>553637.27997378027</v>
      </c>
      <c r="H12123" s="389" t="s">
        <v>9567</v>
      </c>
      <c r="I12123" s="710"/>
    </row>
    <row r="12124" spans="1:9" x14ac:dyDescent="0.3">
      <c r="A12124" s="45">
        <v>45771</v>
      </c>
      <c r="B12124" s="855" t="s">
        <v>25</v>
      </c>
      <c r="C12124" s="5" t="s">
        <v>7214</v>
      </c>
      <c r="D12124" s="5" t="s">
        <v>15986</v>
      </c>
      <c r="E12124" s="43">
        <v>40000</v>
      </c>
      <c r="F12124" s="43"/>
      <c r="G12124" s="48">
        <f t="shared" si="293"/>
        <v>513637.27997378027</v>
      </c>
      <c r="H12124" s="389" t="s">
        <v>9567</v>
      </c>
      <c r="I12124" s="710"/>
    </row>
    <row r="12125" spans="1:9" x14ac:dyDescent="0.3">
      <c r="A12125" s="45">
        <v>45771</v>
      </c>
      <c r="B12125" s="855" t="s">
        <v>13321</v>
      </c>
      <c r="C12125" s="5" t="s">
        <v>30</v>
      </c>
      <c r="D12125" s="5" t="s">
        <v>15949</v>
      </c>
      <c r="E12125" s="43">
        <v>2000</v>
      </c>
      <c r="F12125" s="43"/>
      <c r="G12125" s="48">
        <f t="shared" si="293"/>
        <v>511637.27997378027</v>
      </c>
      <c r="H12125" s="389" t="s">
        <v>9567</v>
      </c>
      <c r="I12125" s="710"/>
    </row>
    <row r="12126" spans="1:9" x14ac:dyDescent="0.3">
      <c r="A12126" s="45">
        <v>45771</v>
      </c>
      <c r="B12126" s="855" t="s">
        <v>13321</v>
      </c>
      <c r="C12126" s="5" t="s">
        <v>84</v>
      </c>
      <c r="D12126" s="5" t="s">
        <v>15987</v>
      </c>
      <c r="E12126" s="43">
        <v>7000</v>
      </c>
      <c r="F12126" s="43"/>
      <c r="G12126" s="48">
        <f t="shared" si="293"/>
        <v>504637.27997378027</v>
      </c>
      <c r="H12126" s="389" t="s">
        <v>9567</v>
      </c>
      <c r="I12126" s="710"/>
    </row>
    <row r="12127" spans="1:9" x14ac:dyDescent="0.3">
      <c r="A12127" s="45">
        <v>45771</v>
      </c>
      <c r="B12127" s="855" t="s">
        <v>25</v>
      </c>
      <c r="C12127" s="5" t="s">
        <v>26</v>
      </c>
      <c r="D12127" s="5" t="s">
        <v>11434</v>
      </c>
      <c r="E12127" s="43">
        <v>3000</v>
      </c>
      <c r="F12127" s="43"/>
      <c r="G12127" s="48">
        <f t="shared" si="293"/>
        <v>501637.27997378027</v>
      </c>
      <c r="H12127" s="389" t="s">
        <v>9567</v>
      </c>
      <c r="I12127" s="710"/>
    </row>
    <row r="12128" spans="1:9" x14ac:dyDescent="0.3">
      <c r="A12128" s="45">
        <v>45771</v>
      </c>
      <c r="B12128" s="855" t="s">
        <v>15928</v>
      </c>
      <c r="C12128" s="5" t="s">
        <v>11174</v>
      </c>
      <c r="D12128" s="5" t="s">
        <v>15990</v>
      </c>
      <c r="E12128" s="43">
        <v>6400</v>
      </c>
      <c r="F12128" s="43"/>
      <c r="G12128" s="48">
        <f t="shared" si="293"/>
        <v>495237.27997378027</v>
      </c>
      <c r="H12128" s="389" t="s">
        <v>9567</v>
      </c>
      <c r="I12128" s="710"/>
    </row>
    <row r="12129" spans="1:14" x14ac:dyDescent="0.3">
      <c r="A12129" s="45">
        <v>45771</v>
      </c>
      <c r="B12129" s="858" t="s">
        <v>15623</v>
      </c>
      <c r="C12129" s="5" t="s">
        <v>11174</v>
      </c>
      <c r="D12129" s="5" t="s">
        <v>15991</v>
      </c>
      <c r="E12129" s="43">
        <v>15650</v>
      </c>
      <c r="F12129" s="43"/>
      <c r="G12129" s="48">
        <f t="shared" si="293"/>
        <v>479587.27997378027</v>
      </c>
      <c r="H12129" s="389" t="s">
        <v>9567</v>
      </c>
      <c r="I12129" s="710"/>
    </row>
    <row r="12130" spans="1:14" s="387" customFormat="1" ht="37.5" x14ac:dyDescent="0.3">
      <c r="A12130" s="45">
        <v>45771</v>
      </c>
      <c r="B12130" s="320" t="s">
        <v>13902</v>
      </c>
      <c r="C12130" s="44" t="s">
        <v>26</v>
      </c>
      <c r="D12130" s="124" t="s">
        <v>15992</v>
      </c>
      <c r="E12130" s="28">
        <v>4000</v>
      </c>
      <c r="F12130" s="28"/>
      <c r="G12130" s="48">
        <f t="shared" ref="G12130:G12340" si="294">G12129+F12130-E12130</f>
        <v>475587.27997378027</v>
      </c>
      <c r="H12130" s="389" t="s">
        <v>9567</v>
      </c>
      <c r="I12130" s="857"/>
      <c r="J12130" s="155"/>
      <c r="K12130" s="155"/>
      <c r="N12130" s="155"/>
    </row>
    <row r="12131" spans="1:14" x14ac:dyDescent="0.3">
      <c r="A12131" s="45">
        <v>45771</v>
      </c>
      <c r="B12131" s="855" t="s">
        <v>15993</v>
      </c>
      <c r="C12131" s="5" t="s">
        <v>26</v>
      </c>
      <c r="D12131" s="5" t="s">
        <v>15994</v>
      </c>
      <c r="E12131" s="43">
        <v>1500</v>
      </c>
      <c r="F12131" s="43"/>
      <c r="G12131" s="48">
        <f t="shared" si="294"/>
        <v>474087.27997378027</v>
      </c>
      <c r="H12131" s="389" t="s">
        <v>9567</v>
      </c>
      <c r="I12131" s="710">
        <v>50000</v>
      </c>
    </row>
    <row r="12132" spans="1:14" x14ac:dyDescent="0.3">
      <c r="A12132" s="45">
        <v>45771</v>
      </c>
      <c r="B12132" s="855" t="s">
        <v>14590</v>
      </c>
      <c r="C12132" s="5" t="s">
        <v>84</v>
      </c>
      <c r="D12132" s="5" t="s">
        <v>15995</v>
      </c>
      <c r="E12132" s="43">
        <v>5000</v>
      </c>
      <c r="F12132" s="43"/>
      <c r="G12132" s="48">
        <f t="shared" si="294"/>
        <v>469087.27997378027</v>
      </c>
      <c r="H12132" s="389" t="s">
        <v>9567</v>
      </c>
      <c r="I12132" s="710">
        <f>I12131*15%</f>
        <v>7500</v>
      </c>
    </row>
    <row r="12133" spans="1:14" x14ac:dyDescent="0.3">
      <c r="A12133" s="45">
        <v>45771</v>
      </c>
      <c r="B12133" s="855" t="s">
        <v>12055</v>
      </c>
      <c r="C12133" s="5" t="s">
        <v>84</v>
      </c>
      <c r="D12133" s="5" t="s">
        <v>15997</v>
      </c>
      <c r="E12133" s="43">
        <v>2000</v>
      </c>
      <c r="F12133" s="43"/>
      <c r="G12133" s="48">
        <f t="shared" si="294"/>
        <v>467087.27997378027</v>
      </c>
      <c r="H12133" s="389" t="s">
        <v>9567</v>
      </c>
      <c r="I12133" s="710">
        <f>I12132+I12131</f>
        <v>57500</v>
      </c>
    </row>
    <row r="12134" spans="1:14" x14ac:dyDescent="0.3">
      <c r="A12134" s="45">
        <v>45771</v>
      </c>
      <c r="B12134" s="855" t="s">
        <v>12055</v>
      </c>
      <c r="C12134" s="5" t="s">
        <v>84</v>
      </c>
      <c r="D12134" s="5" t="s">
        <v>15996</v>
      </c>
      <c r="E12134" s="43">
        <v>2000</v>
      </c>
      <c r="F12134" s="43"/>
      <c r="G12134" s="48">
        <f t="shared" si="294"/>
        <v>465087.27997378027</v>
      </c>
      <c r="H12134" s="389" t="s">
        <v>9567</v>
      </c>
      <c r="I12134" s="710"/>
    </row>
    <row r="12135" spans="1:14" x14ac:dyDescent="0.3">
      <c r="A12135" s="45">
        <v>45771</v>
      </c>
      <c r="B12135" s="565"/>
      <c r="C12135" s="480"/>
      <c r="D12135" s="491" t="s">
        <v>12269</v>
      </c>
      <c r="E12135" s="480"/>
      <c r="F12135" s="43">
        <v>1000000</v>
      </c>
      <c r="G12135" s="48">
        <f t="shared" si="294"/>
        <v>1465087.2799737803</v>
      </c>
      <c r="H12135" s="389" t="s">
        <v>9567</v>
      </c>
    </row>
    <row r="12136" spans="1:14" x14ac:dyDescent="0.3">
      <c r="A12136" s="45">
        <v>45771</v>
      </c>
      <c r="B12136" s="584"/>
      <c r="C12136" s="530" t="s">
        <v>14</v>
      </c>
      <c r="D12136" s="530" t="s">
        <v>15349</v>
      </c>
      <c r="E12136" s="531">
        <v>700000</v>
      </c>
      <c r="F12136" s="43"/>
      <c r="G12136" s="48">
        <f t="shared" si="294"/>
        <v>765087.27997378027</v>
      </c>
      <c r="H12136" s="389" t="s">
        <v>9567</v>
      </c>
      <c r="I12136" s="710"/>
    </row>
    <row r="12137" spans="1:14" x14ac:dyDescent="0.3">
      <c r="A12137" s="45">
        <v>45772</v>
      </c>
      <c r="B12137" s="856" t="s">
        <v>12133</v>
      </c>
      <c r="C12137" s="5" t="s">
        <v>13233</v>
      </c>
      <c r="D12137" s="5" t="s">
        <v>294</v>
      </c>
      <c r="E12137" s="43">
        <v>10000</v>
      </c>
      <c r="F12137" s="43"/>
      <c r="G12137" s="48">
        <f t="shared" si="294"/>
        <v>755087.27997378027</v>
      </c>
      <c r="H12137" s="389" t="s">
        <v>9567</v>
      </c>
      <c r="I12137" s="710"/>
    </row>
    <row r="12138" spans="1:14" x14ac:dyDescent="0.3">
      <c r="A12138" s="45">
        <v>45772</v>
      </c>
      <c r="B12138" s="856" t="s">
        <v>15766</v>
      </c>
      <c r="C12138" s="5" t="s">
        <v>30</v>
      </c>
      <c r="D12138" s="5" t="s">
        <v>15998</v>
      </c>
      <c r="E12138" s="43">
        <v>1800</v>
      </c>
      <c r="F12138" s="43"/>
      <c r="G12138" s="48">
        <f t="shared" si="294"/>
        <v>753287.27997378027</v>
      </c>
      <c r="H12138" s="389" t="s">
        <v>9567</v>
      </c>
      <c r="I12138" s="710"/>
    </row>
    <row r="12139" spans="1:14" x14ac:dyDescent="0.3">
      <c r="A12139" s="45">
        <v>45772</v>
      </c>
      <c r="B12139" s="856" t="s">
        <v>12230</v>
      </c>
      <c r="C12139" s="5" t="s">
        <v>1074</v>
      </c>
      <c r="D12139" s="5" t="s">
        <v>15589</v>
      </c>
      <c r="E12139" s="43">
        <v>57369</v>
      </c>
      <c r="F12139" s="43"/>
      <c r="G12139" s="48">
        <f t="shared" si="294"/>
        <v>695918.27997378027</v>
      </c>
      <c r="H12139" s="389" t="s">
        <v>9567</v>
      </c>
      <c r="I12139" s="710"/>
    </row>
    <row r="12140" spans="1:14" x14ac:dyDescent="0.3">
      <c r="A12140" s="45">
        <v>45772</v>
      </c>
      <c r="B12140" s="859" t="s">
        <v>25</v>
      </c>
      <c r="C12140" s="5" t="s">
        <v>1074</v>
      </c>
      <c r="D12140" s="5" t="s">
        <v>15589</v>
      </c>
      <c r="E12140" s="43">
        <v>32607</v>
      </c>
      <c r="F12140" s="43"/>
      <c r="G12140" s="48">
        <f t="shared" si="294"/>
        <v>663311.27997378027</v>
      </c>
      <c r="H12140" s="389" t="s">
        <v>9567</v>
      </c>
      <c r="I12140" s="710"/>
    </row>
    <row r="12141" spans="1:14" x14ac:dyDescent="0.3">
      <c r="A12141" s="45">
        <v>45772</v>
      </c>
      <c r="B12141" s="859" t="s">
        <v>15421</v>
      </c>
      <c r="C12141" s="5" t="s">
        <v>11174</v>
      </c>
      <c r="D12141" s="5" t="s">
        <v>16000</v>
      </c>
      <c r="E12141" s="43">
        <v>900</v>
      </c>
      <c r="F12141" s="43"/>
      <c r="G12141" s="48">
        <f t="shared" si="294"/>
        <v>662411.27997378027</v>
      </c>
      <c r="H12141" s="389" t="s">
        <v>9567</v>
      </c>
      <c r="I12141" s="710"/>
    </row>
    <row r="12142" spans="1:14" x14ac:dyDescent="0.3">
      <c r="A12142" s="45">
        <v>45772</v>
      </c>
      <c r="B12142" s="859" t="s">
        <v>13833</v>
      </c>
      <c r="C12142" s="5" t="s">
        <v>10495</v>
      </c>
      <c r="D12142" s="5" t="s">
        <v>16001</v>
      </c>
      <c r="E12142" s="43">
        <v>180000</v>
      </c>
      <c r="F12142" s="43"/>
      <c r="G12142" s="48">
        <f t="shared" si="294"/>
        <v>482411.27997378027</v>
      </c>
      <c r="H12142" s="389" t="s">
        <v>9567</v>
      </c>
      <c r="I12142" s="710"/>
    </row>
    <row r="12143" spans="1:14" x14ac:dyDescent="0.3">
      <c r="A12143" s="45">
        <v>45772</v>
      </c>
      <c r="B12143" s="856" t="s">
        <v>15878</v>
      </c>
      <c r="C12143" s="5" t="s">
        <v>5162</v>
      </c>
      <c r="D12143" s="5" t="s">
        <v>294</v>
      </c>
      <c r="E12143" s="43">
        <v>5000</v>
      </c>
      <c r="F12143" s="43"/>
      <c r="G12143" s="48">
        <f t="shared" si="294"/>
        <v>477411.27997378027</v>
      </c>
      <c r="H12143" s="389" t="s">
        <v>9567</v>
      </c>
      <c r="I12143" s="710"/>
    </row>
    <row r="12144" spans="1:14" x14ac:dyDescent="0.3">
      <c r="A12144" s="45">
        <v>45772</v>
      </c>
      <c r="B12144" s="849" t="s">
        <v>14524</v>
      </c>
      <c r="C12144" s="5" t="s">
        <v>26</v>
      </c>
      <c r="D12144" s="5" t="s">
        <v>16002</v>
      </c>
      <c r="E12144" s="43">
        <v>5000</v>
      </c>
      <c r="F12144" s="43"/>
      <c r="G12144" s="48">
        <f t="shared" si="294"/>
        <v>472411.27997378027</v>
      </c>
      <c r="H12144" s="389" t="s">
        <v>9567</v>
      </c>
    </row>
    <row r="12145" spans="1:8" x14ac:dyDescent="0.3">
      <c r="A12145" s="45">
        <v>45772</v>
      </c>
      <c r="B12145" s="859" t="s">
        <v>14524</v>
      </c>
      <c r="C12145" s="186" t="s">
        <v>54</v>
      </c>
      <c r="D12145" s="186" t="s">
        <v>10426</v>
      </c>
      <c r="E12145" s="187">
        <v>85800</v>
      </c>
      <c r="F12145" s="43"/>
      <c r="G12145" s="48">
        <f t="shared" si="294"/>
        <v>386611.27997378027</v>
      </c>
      <c r="H12145" s="389" t="s">
        <v>9567</v>
      </c>
    </row>
    <row r="12146" spans="1:8" x14ac:dyDescent="0.3">
      <c r="A12146" s="45">
        <v>45772</v>
      </c>
      <c r="B12146" s="859" t="s">
        <v>25</v>
      </c>
      <c r="C12146" s="5" t="s">
        <v>84</v>
      </c>
      <c r="D12146" s="5" t="s">
        <v>16003</v>
      </c>
      <c r="E12146" s="43">
        <v>10000</v>
      </c>
      <c r="F12146" s="43"/>
      <c r="G12146" s="48">
        <f t="shared" si="294"/>
        <v>376611.27997378027</v>
      </c>
      <c r="H12146" s="389" t="s">
        <v>9567</v>
      </c>
    </row>
    <row r="12147" spans="1:8" x14ac:dyDescent="0.3">
      <c r="A12147" s="45">
        <v>45772</v>
      </c>
      <c r="B12147" s="859" t="s">
        <v>13833</v>
      </c>
      <c r="C12147" s="5" t="s">
        <v>84</v>
      </c>
      <c r="D12147" s="5" t="s">
        <v>16004</v>
      </c>
      <c r="E12147" s="43">
        <v>10000</v>
      </c>
      <c r="F12147" s="43"/>
      <c r="G12147" s="48">
        <f t="shared" si="294"/>
        <v>366611.27997378027</v>
      </c>
      <c r="H12147" s="389" t="s">
        <v>9567</v>
      </c>
    </row>
    <row r="12148" spans="1:8" x14ac:dyDescent="0.3">
      <c r="A12148" s="45">
        <v>45772</v>
      </c>
      <c r="B12148" s="829" t="s">
        <v>10319</v>
      </c>
      <c r="C12148" s="5" t="s">
        <v>30</v>
      </c>
      <c r="D12148" s="5" t="s">
        <v>16005</v>
      </c>
      <c r="E12148" s="43">
        <v>5000</v>
      </c>
      <c r="F12148" s="43"/>
      <c r="G12148" s="48">
        <f t="shared" si="294"/>
        <v>361611.27997378027</v>
      </c>
      <c r="H12148" s="389" t="s">
        <v>9567</v>
      </c>
    </row>
    <row r="12149" spans="1:8" x14ac:dyDescent="0.3">
      <c r="A12149" s="45">
        <v>45772</v>
      </c>
      <c r="B12149" s="829" t="s">
        <v>16006</v>
      </c>
      <c r="C12149" s="5" t="s">
        <v>9451</v>
      </c>
      <c r="D12149" s="5" t="s">
        <v>16007</v>
      </c>
      <c r="E12149" s="43">
        <v>10000</v>
      </c>
      <c r="F12149" s="43"/>
      <c r="G12149" s="48">
        <f t="shared" si="294"/>
        <v>351611.27997378027</v>
      </c>
      <c r="H12149" s="389" t="s">
        <v>9567</v>
      </c>
    </row>
    <row r="12150" spans="1:8" x14ac:dyDescent="0.3">
      <c r="A12150" s="45">
        <v>45772</v>
      </c>
      <c r="B12150" s="859" t="s">
        <v>25</v>
      </c>
      <c r="C12150" s="5" t="s">
        <v>26</v>
      </c>
      <c r="D12150" s="5" t="s">
        <v>11434</v>
      </c>
      <c r="E12150" s="43">
        <v>3000</v>
      </c>
      <c r="F12150" s="43"/>
      <c r="G12150" s="48">
        <f t="shared" si="294"/>
        <v>348611.27997378027</v>
      </c>
      <c r="H12150" s="389" t="s">
        <v>9567</v>
      </c>
    </row>
    <row r="12151" spans="1:8" x14ac:dyDescent="0.3">
      <c r="A12151" s="45">
        <v>45772</v>
      </c>
      <c r="B12151" s="829" t="s">
        <v>15878</v>
      </c>
      <c r="C12151" s="5" t="s">
        <v>5793</v>
      </c>
      <c r="D12151" s="5" t="s">
        <v>40</v>
      </c>
      <c r="E12151" s="43">
        <v>700</v>
      </c>
      <c r="F12151" s="43"/>
      <c r="G12151" s="48">
        <f t="shared" si="294"/>
        <v>347911.27997378027</v>
      </c>
      <c r="H12151" s="389" t="s">
        <v>9567</v>
      </c>
    </row>
    <row r="12152" spans="1:8" x14ac:dyDescent="0.3">
      <c r="A12152" s="45">
        <v>45773</v>
      </c>
      <c r="B12152" s="829"/>
      <c r="C12152" s="5" t="s">
        <v>14</v>
      </c>
      <c r="D12152" s="5" t="s">
        <v>294</v>
      </c>
      <c r="E12152" s="43">
        <v>25000</v>
      </c>
      <c r="F12152" s="43"/>
      <c r="G12152" s="48">
        <f t="shared" si="294"/>
        <v>322911.27997378027</v>
      </c>
      <c r="H12152" s="389" t="s">
        <v>9567</v>
      </c>
    </row>
    <row r="12153" spans="1:8" x14ac:dyDescent="0.3">
      <c r="A12153" s="45">
        <v>45773</v>
      </c>
      <c r="B12153" s="829" t="s">
        <v>15928</v>
      </c>
      <c r="C12153" s="5" t="s">
        <v>9451</v>
      </c>
      <c r="D12153" s="5" t="s">
        <v>16009</v>
      </c>
      <c r="E12153" s="43">
        <v>30150</v>
      </c>
      <c r="F12153" s="43"/>
      <c r="G12153" s="48">
        <f t="shared" si="294"/>
        <v>292761.27997378027</v>
      </c>
      <c r="H12153" s="389" t="s">
        <v>9567</v>
      </c>
    </row>
    <row r="12154" spans="1:8" x14ac:dyDescent="0.3">
      <c r="A12154" s="45">
        <v>45773</v>
      </c>
      <c r="B12154" s="788" t="s">
        <v>15421</v>
      </c>
      <c r="C12154" s="5" t="s">
        <v>11174</v>
      </c>
      <c r="D12154" s="5" t="s">
        <v>16010</v>
      </c>
      <c r="E12154" s="43">
        <v>480</v>
      </c>
      <c r="F12154" s="43"/>
      <c r="G12154" s="48">
        <f t="shared" si="294"/>
        <v>292281.27997378027</v>
      </c>
      <c r="H12154" s="389" t="s">
        <v>9567</v>
      </c>
    </row>
    <row r="12155" spans="1:8" x14ac:dyDescent="0.3">
      <c r="A12155" s="45">
        <v>45773</v>
      </c>
      <c r="B12155" s="788" t="s">
        <v>25</v>
      </c>
      <c r="C12155" s="5" t="s">
        <v>3589</v>
      </c>
      <c r="D12155" s="5" t="s">
        <v>16011</v>
      </c>
      <c r="E12155" s="43">
        <v>1000</v>
      </c>
      <c r="F12155" s="43"/>
      <c r="G12155" s="48">
        <f t="shared" si="294"/>
        <v>291281.27997378027</v>
      </c>
      <c r="H12155" s="389" t="s">
        <v>9567</v>
      </c>
    </row>
    <row r="12156" spans="1:8" x14ac:dyDescent="0.3">
      <c r="A12156" s="45">
        <v>45773</v>
      </c>
      <c r="B12156" s="860" t="s">
        <v>25</v>
      </c>
      <c r="C12156" s="5" t="s">
        <v>84</v>
      </c>
      <c r="D12156" s="5" t="s">
        <v>16012</v>
      </c>
      <c r="E12156" s="43">
        <v>3000</v>
      </c>
      <c r="F12156" s="43"/>
      <c r="G12156" s="48">
        <f t="shared" si="294"/>
        <v>288281.27997378027</v>
      </c>
      <c r="H12156" s="389" t="s">
        <v>9567</v>
      </c>
    </row>
    <row r="12157" spans="1:8" x14ac:dyDescent="0.3">
      <c r="A12157" s="45">
        <v>45773</v>
      </c>
      <c r="B12157" s="788" t="s">
        <v>13902</v>
      </c>
      <c r="C12157" s="5" t="s">
        <v>26</v>
      </c>
      <c r="D12157" s="5" t="s">
        <v>16013</v>
      </c>
      <c r="E12157" s="43">
        <v>880</v>
      </c>
      <c r="F12157" s="43"/>
      <c r="G12157" s="48">
        <f t="shared" si="294"/>
        <v>287401.27997378027</v>
      </c>
      <c r="H12157" s="389" t="s">
        <v>9567</v>
      </c>
    </row>
    <row r="12158" spans="1:8" x14ac:dyDescent="0.3">
      <c r="A12158" s="45">
        <v>45773</v>
      </c>
      <c r="B12158" s="860" t="s">
        <v>25</v>
      </c>
      <c r="C12158" s="5" t="s">
        <v>26</v>
      </c>
      <c r="D12158" s="5" t="s">
        <v>11434</v>
      </c>
      <c r="E12158" s="43">
        <v>3000</v>
      </c>
      <c r="F12158" s="43"/>
      <c r="G12158" s="48">
        <f t="shared" si="294"/>
        <v>284401.27997378027</v>
      </c>
      <c r="H12158" s="389" t="s">
        <v>9567</v>
      </c>
    </row>
    <row r="12159" spans="1:8" x14ac:dyDescent="0.3">
      <c r="A12159" s="45">
        <v>45773</v>
      </c>
      <c r="B12159" s="788" t="s">
        <v>15808</v>
      </c>
      <c r="C12159" s="5" t="s">
        <v>26</v>
      </c>
      <c r="D12159" s="5" t="s">
        <v>16018</v>
      </c>
      <c r="E12159" s="43">
        <v>2000</v>
      </c>
      <c r="F12159" s="43"/>
      <c r="G12159" s="48">
        <f t="shared" si="294"/>
        <v>282401.27997378027</v>
      </c>
      <c r="H12159" s="389" t="s">
        <v>9567</v>
      </c>
    </row>
    <row r="12160" spans="1:8" x14ac:dyDescent="0.3">
      <c r="A12160" s="45">
        <v>45773</v>
      </c>
      <c r="B12160" s="863" t="s">
        <v>15421</v>
      </c>
      <c r="C12160" s="5" t="s">
        <v>11174</v>
      </c>
      <c r="D12160" s="5" t="s">
        <v>16019</v>
      </c>
      <c r="E12160" s="43">
        <v>5760</v>
      </c>
      <c r="F12160" s="43"/>
      <c r="G12160" s="48">
        <f t="shared" si="294"/>
        <v>276641.27997378027</v>
      </c>
      <c r="H12160" s="389" t="s">
        <v>9567</v>
      </c>
    </row>
    <row r="12161" spans="1:8" x14ac:dyDescent="0.3">
      <c r="A12161" s="45">
        <v>45773</v>
      </c>
      <c r="B12161" s="861" t="s">
        <v>15623</v>
      </c>
      <c r="C12161" s="5" t="s">
        <v>5793</v>
      </c>
      <c r="D12161" s="5" t="s">
        <v>40</v>
      </c>
      <c r="E12161" s="43">
        <v>2800</v>
      </c>
      <c r="F12161" s="43"/>
      <c r="G12161" s="48">
        <f t="shared" si="294"/>
        <v>273841.27997378027</v>
      </c>
      <c r="H12161" s="389" t="s">
        <v>9567</v>
      </c>
    </row>
    <row r="12162" spans="1:8" x14ac:dyDescent="0.3">
      <c r="A12162" s="45">
        <v>45773</v>
      </c>
      <c r="B12162" s="861" t="s">
        <v>16006</v>
      </c>
      <c r="C12162" s="5" t="s">
        <v>5793</v>
      </c>
      <c r="D12162" s="5" t="s">
        <v>40</v>
      </c>
      <c r="E12162" s="43">
        <v>400</v>
      </c>
      <c r="F12162" s="43"/>
      <c r="G12162" s="48">
        <f t="shared" si="294"/>
        <v>273441.27997378027</v>
      </c>
      <c r="H12162" s="389" t="s">
        <v>9567</v>
      </c>
    </row>
    <row r="12163" spans="1:8" x14ac:dyDescent="0.3">
      <c r="A12163" s="45">
        <v>45775</v>
      </c>
      <c r="B12163" s="788" t="s">
        <v>15928</v>
      </c>
      <c r="C12163" s="5" t="s">
        <v>11174</v>
      </c>
      <c r="D12163" s="5" t="s">
        <v>16023</v>
      </c>
      <c r="E12163" s="43">
        <v>2500</v>
      </c>
      <c r="F12163" s="43"/>
      <c r="G12163" s="48">
        <f t="shared" si="294"/>
        <v>270941.27997378027</v>
      </c>
      <c r="H12163" s="389" t="s">
        <v>9567</v>
      </c>
    </row>
    <row r="12164" spans="1:8" x14ac:dyDescent="0.3">
      <c r="A12164" s="45">
        <v>45775</v>
      </c>
      <c r="B12164" s="788" t="s">
        <v>13833</v>
      </c>
      <c r="C12164" s="5" t="s">
        <v>3220</v>
      </c>
      <c r="D12164" s="5" t="s">
        <v>294</v>
      </c>
      <c r="E12164" s="43">
        <v>5000</v>
      </c>
      <c r="F12164" s="43"/>
      <c r="G12164" s="48">
        <f t="shared" si="294"/>
        <v>265941.27997378027</v>
      </c>
      <c r="H12164" s="389" t="s">
        <v>9567</v>
      </c>
    </row>
    <row r="12165" spans="1:8" x14ac:dyDescent="0.3">
      <c r="A12165" s="45">
        <v>45775</v>
      </c>
      <c r="B12165" s="788"/>
      <c r="C12165" s="5" t="s">
        <v>25</v>
      </c>
      <c r="D12165" s="5" t="s">
        <v>16025</v>
      </c>
      <c r="E12165" s="43">
        <v>5000</v>
      </c>
      <c r="F12165" s="43"/>
      <c r="G12165" s="48">
        <f t="shared" si="294"/>
        <v>260941.27997378027</v>
      </c>
      <c r="H12165" s="389" t="s">
        <v>9567</v>
      </c>
    </row>
    <row r="12166" spans="1:8" x14ac:dyDescent="0.3">
      <c r="A12166" s="45">
        <v>45775</v>
      </c>
      <c r="B12166" s="862" t="s">
        <v>10319</v>
      </c>
      <c r="C12166" s="5" t="s">
        <v>11174</v>
      </c>
      <c r="D12166" s="5" t="s">
        <v>16027</v>
      </c>
      <c r="E12166" s="43">
        <v>16250</v>
      </c>
      <c r="F12166" s="43"/>
      <c r="G12166" s="48">
        <f t="shared" si="294"/>
        <v>244691.27997378027</v>
      </c>
      <c r="H12166" s="389" t="s">
        <v>9567</v>
      </c>
    </row>
    <row r="12167" spans="1:8" x14ac:dyDescent="0.3">
      <c r="A12167" s="45">
        <v>45775</v>
      </c>
      <c r="B12167" s="862" t="s">
        <v>15766</v>
      </c>
      <c r="C12167" s="5" t="s">
        <v>11174</v>
      </c>
      <c r="D12167" s="5" t="s">
        <v>16028</v>
      </c>
      <c r="E12167" s="43">
        <v>8500</v>
      </c>
      <c r="F12167" s="43"/>
      <c r="G12167" s="48">
        <f t="shared" si="294"/>
        <v>236191.27997378027</v>
      </c>
      <c r="H12167" s="389" t="s">
        <v>9567</v>
      </c>
    </row>
    <row r="12168" spans="1:8" x14ac:dyDescent="0.3">
      <c r="A12168" s="45">
        <v>45775</v>
      </c>
      <c r="B12168" s="861" t="s">
        <v>15766</v>
      </c>
      <c r="C12168" s="5" t="s">
        <v>5793</v>
      </c>
      <c r="D12168" s="5" t="s">
        <v>40</v>
      </c>
      <c r="E12168" s="43">
        <v>1000</v>
      </c>
      <c r="F12168" s="43"/>
      <c r="G12168" s="48">
        <f t="shared" si="294"/>
        <v>235191.27997378027</v>
      </c>
      <c r="H12168" s="389" t="s">
        <v>9567</v>
      </c>
    </row>
    <row r="12169" spans="1:8" x14ac:dyDescent="0.3">
      <c r="A12169" s="45">
        <v>45775</v>
      </c>
      <c r="B12169" s="861" t="s">
        <v>25</v>
      </c>
      <c r="C12169" s="5" t="s">
        <v>26</v>
      </c>
      <c r="D12169" s="5" t="s">
        <v>11434</v>
      </c>
      <c r="E12169" s="43">
        <v>3000</v>
      </c>
      <c r="F12169" s="43"/>
      <c r="G12169" s="48">
        <f t="shared" si="294"/>
        <v>232191.27997378027</v>
      </c>
      <c r="H12169" s="389" t="s">
        <v>9567</v>
      </c>
    </row>
    <row r="12170" spans="1:8" x14ac:dyDescent="0.3">
      <c r="A12170" s="45">
        <v>45775</v>
      </c>
      <c r="B12170" s="788" t="s">
        <v>15928</v>
      </c>
      <c r="C12170" s="5" t="s">
        <v>5793</v>
      </c>
      <c r="D12170" s="5" t="s">
        <v>40</v>
      </c>
      <c r="E12170" s="43">
        <v>1000</v>
      </c>
      <c r="F12170" s="43"/>
      <c r="G12170" s="48">
        <f t="shared" si="294"/>
        <v>231191.27997378027</v>
      </c>
      <c r="H12170" s="389" t="s">
        <v>9567</v>
      </c>
    </row>
    <row r="12171" spans="1:8" x14ac:dyDescent="0.3">
      <c r="A12171" s="45">
        <v>45775</v>
      </c>
      <c r="B12171" s="788" t="s">
        <v>13902</v>
      </c>
      <c r="C12171" s="5" t="s">
        <v>84</v>
      </c>
      <c r="D12171" s="5" t="s">
        <v>16033</v>
      </c>
      <c r="E12171" s="43">
        <v>5000</v>
      </c>
      <c r="F12171" s="43"/>
      <c r="G12171" s="48">
        <f t="shared" si="294"/>
        <v>226191.27997378027</v>
      </c>
      <c r="H12171" s="389" t="s">
        <v>9567</v>
      </c>
    </row>
    <row r="12172" spans="1:8" x14ac:dyDescent="0.3">
      <c r="A12172" s="45">
        <v>45775</v>
      </c>
      <c r="B12172" s="788" t="s">
        <v>13321</v>
      </c>
      <c r="C12172" s="5" t="s">
        <v>57</v>
      </c>
      <c r="D12172" s="5" t="s">
        <v>16034</v>
      </c>
      <c r="E12172" s="43">
        <v>100000</v>
      </c>
      <c r="F12172" s="43"/>
      <c r="G12172" s="48">
        <f t="shared" si="294"/>
        <v>126191.27997378027</v>
      </c>
      <c r="H12172" s="389" t="s">
        <v>9567</v>
      </c>
    </row>
    <row r="12173" spans="1:8" x14ac:dyDescent="0.3">
      <c r="A12173" s="45">
        <v>45775</v>
      </c>
      <c r="B12173" s="788" t="s">
        <v>15878</v>
      </c>
      <c r="C12173" s="5" t="s">
        <v>84</v>
      </c>
      <c r="D12173" s="5" t="s">
        <v>15915</v>
      </c>
      <c r="E12173" s="43">
        <v>5000</v>
      </c>
      <c r="F12173" s="43"/>
      <c r="G12173" s="48">
        <f t="shared" si="294"/>
        <v>121191.27997378027</v>
      </c>
      <c r="H12173" s="389" t="s">
        <v>9567</v>
      </c>
    </row>
    <row r="12174" spans="1:8" x14ac:dyDescent="0.3">
      <c r="A12174" s="45">
        <v>45776</v>
      </c>
      <c r="B12174" s="861" t="s">
        <v>13321</v>
      </c>
      <c r="C12174" s="5" t="s">
        <v>3220</v>
      </c>
      <c r="D12174" s="5" t="s">
        <v>294</v>
      </c>
      <c r="E12174" s="43">
        <v>50000</v>
      </c>
      <c r="F12174" s="43"/>
      <c r="G12174" s="48">
        <f t="shared" si="294"/>
        <v>71191.279973780271</v>
      </c>
      <c r="H12174" s="389" t="s">
        <v>9567</v>
      </c>
    </row>
    <row r="12175" spans="1:8" x14ac:dyDescent="0.3">
      <c r="A12175" s="45">
        <v>45776</v>
      </c>
      <c r="B12175" s="861" t="s">
        <v>15808</v>
      </c>
      <c r="C12175" s="5" t="s">
        <v>26</v>
      </c>
      <c r="D12175" s="5" t="s">
        <v>16038</v>
      </c>
      <c r="E12175" s="43">
        <v>30000</v>
      </c>
      <c r="F12175" s="43"/>
      <c r="G12175" s="48">
        <f t="shared" si="294"/>
        <v>41191.279973780271</v>
      </c>
      <c r="H12175" s="389" t="s">
        <v>9567</v>
      </c>
    </row>
    <row r="12176" spans="1:8" x14ac:dyDescent="0.3">
      <c r="A12176" s="45">
        <v>45776</v>
      </c>
      <c r="B12176" s="861" t="s">
        <v>15146</v>
      </c>
      <c r="C12176" s="5" t="s">
        <v>11174</v>
      </c>
      <c r="D12176" s="5" t="s">
        <v>16039</v>
      </c>
      <c r="E12176" s="43">
        <v>570</v>
      </c>
      <c r="F12176" s="43"/>
      <c r="G12176" s="48">
        <f t="shared" si="294"/>
        <v>40621.279973780271</v>
      </c>
      <c r="H12176" s="389" t="s">
        <v>9567</v>
      </c>
    </row>
    <row r="12177" spans="1:14" x14ac:dyDescent="0.3">
      <c r="A12177" s="45">
        <v>45776</v>
      </c>
      <c r="B12177" s="861" t="s">
        <v>15421</v>
      </c>
      <c r="C12177" s="5" t="s">
        <v>11174</v>
      </c>
      <c r="D12177" s="5" t="s">
        <v>16040</v>
      </c>
      <c r="E12177" s="43">
        <v>3900</v>
      </c>
      <c r="F12177" s="43"/>
      <c r="G12177" s="48">
        <f t="shared" si="294"/>
        <v>36721.279973780271</v>
      </c>
      <c r="H12177" s="389" t="s">
        <v>9567</v>
      </c>
    </row>
    <row r="12178" spans="1:14" x14ac:dyDescent="0.3">
      <c r="A12178" s="45">
        <v>45776</v>
      </c>
      <c r="B12178" s="861" t="s">
        <v>15146</v>
      </c>
      <c r="C12178" s="5" t="s">
        <v>11174</v>
      </c>
      <c r="D12178" s="5" t="s">
        <v>16041</v>
      </c>
      <c r="E12178" s="43">
        <v>870</v>
      </c>
      <c r="F12178" s="43"/>
      <c r="G12178" s="48">
        <f t="shared" si="294"/>
        <v>35851.279973780271</v>
      </c>
      <c r="H12178" s="389" t="s">
        <v>9567</v>
      </c>
    </row>
    <row r="12179" spans="1:14" x14ac:dyDescent="0.3">
      <c r="A12179" s="45">
        <v>45776</v>
      </c>
      <c r="B12179" s="565"/>
      <c r="C12179" s="480"/>
      <c r="D12179" s="491" t="s">
        <v>12269</v>
      </c>
      <c r="E12179" s="480"/>
      <c r="F12179" s="43">
        <v>1000000</v>
      </c>
      <c r="G12179" s="48">
        <f t="shared" si="294"/>
        <v>1035851.2799737803</v>
      </c>
      <c r="H12179" s="389" t="s">
        <v>9567</v>
      </c>
    </row>
    <row r="12180" spans="1:14" x14ac:dyDescent="0.3">
      <c r="A12180" s="45">
        <v>45776</v>
      </c>
      <c r="B12180" s="584"/>
      <c r="C12180" s="530" t="s">
        <v>14</v>
      </c>
      <c r="D12180" s="530" t="s">
        <v>15349</v>
      </c>
      <c r="E12180" s="531">
        <v>800000</v>
      </c>
      <c r="F12180" s="43"/>
      <c r="G12180" s="48">
        <f t="shared" si="294"/>
        <v>235851.27997378027</v>
      </c>
      <c r="H12180" s="389" t="s">
        <v>9567</v>
      </c>
    </row>
    <row r="12181" spans="1:14" x14ac:dyDescent="0.3">
      <c r="A12181" s="45">
        <v>45776</v>
      </c>
      <c r="B12181" s="788" t="s">
        <v>12230</v>
      </c>
      <c r="C12181" s="5" t="s">
        <v>26</v>
      </c>
      <c r="D12181" s="5" t="s">
        <v>3195</v>
      </c>
      <c r="E12181" s="43">
        <v>5000</v>
      </c>
      <c r="F12181" s="43"/>
      <c r="G12181" s="48">
        <f t="shared" si="294"/>
        <v>230851.27997378027</v>
      </c>
      <c r="H12181" s="389" t="s">
        <v>9567</v>
      </c>
    </row>
    <row r="12182" spans="1:14" x14ac:dyDescent="0.3">
      <c r="A12182" s="45">
        <v>45776</v>
      </c>
      <c r="B12182" s="788" t="s">
        <v>12133</v>
      </c>
      <c r="C12182" s="5" t="s">
        <v>5793</v>
      </c>
      <c r="D12182" s="5" t="s">
        <v>40</v>
      </c>
      <c r="E12182" s="43">
        <v>2000</v>
      </c>
      <c r="F12182" s="43"/>
      <c r="G12182" s="48">
        <f t="shared" si="294"/>
        <v>228851.27997378027</v>
      </c>
      <c r="H12182" s="389" t="s">
        <v>9567</v>
      </c>
    </row>
    <row r="12183" spans="1:14" x14ac:dyDescent="0.3">
      <c r="A12183" s="45">
        <v>45776</v>
      </c>
      <c r="B12183" s="788" t="s">
        <v>15766</v>
      </c>
      <c r="C12183" s="5" t="s">
        <v>5793</v>
      </c>
      <c r="D12183" s="5" t="s">
        <v>40</v>
      </c>
      <c r="E12183" s="43">
        <v>1500</v>
      </c>
      <c r="F12183" s="43"/>
      <c r="G12183" s="48">
        <f t="shared" si="294"/>
        <v>227351.27997378027</v>
      </c>
      <c r="H12183" s="389" t="s">
        <v>9567</v>
      </c>
    </row>
    <row r="12184" spans="1:14" x14ac:dyDescent="0.3">
      <c r="A12184" s="45">
        <v>45776</v>
      </c>
      <c r="B12184" s="788" t="s">
        <v>25</v>
      </c>
      <c r="C12184" s="5" t="s">
        <v>84</v>
      </c>
      <c r="D12184" s="5" t="s">
        <v>15926</v>
      </c>
      <c r="E12184" s="43">
        <v>3000</v>
      </c>
      <c r="F12184" s="43"/>
      <c r="G12184" s="48">
        <f t="shared" si="294"/>
        <v>224351.27997378027</v>
      </c>
      <c r="H12184" s="389" t="s">
        <v>9567</v>
      </c>
    </row>
    <row r="12185" spans="1:14" x14ac:dyDescent="0.3">
      <c r="A12185" s="45">
        <v>45776</v>
      </c>
      <c r="B12185" s="863" t="s">
        <v>25</v>
      </c>
      <c r="C12185" s="5" t="s">
        <v>26</v>
      </c>
      <c r="D12185" s="5" t="s">
        <v>11434</v>
      </c>
      <c r="E12185" s="43">
        <v>3000</v>
      </c>
      <c r="F12185" s="43"/>
      <c r="G12185" s="48">
        <f t="shared" si="294"/>
        <v>221351.27997378027</v>
      </c>
      <c r="H12185" s="389" t="s">
        <v>9567</v>
      </c>
    </row>
    <row r="12186" spans="1:14" x14ac:dyDescent="0.3">
      <c r="A12186" s="45">
        <v>45777</v>
      </c>
      <c r="B12186" s="864" t="s">
        <v>15623</v>
      </c>
      <c r="C12186" s="5" t="s">
        <v>30</v>
      </c>
      <c r="D12186" s="5" t="s">
        <v>16046</v>
      </c>
      <c r="E12186" s="43">
        <v>2650</v>
      </c>
      <c r="F12186" s="43"/>
      <c r="G12186" s="48">
        <f t="shared" si="294"/>
        <v>218701.27997378027</v>
      </c>
      <c r="H12186" s="389" t="s">
        <v>9567</v>
      </c>
    </row>
    <row r="12187" spans="1:14" x14ac:dyDescent="0.3">
      <c r="A12187" s="45">
        <v>45777</v>
      </c>
      <c r="B12187" s="864" t="s">
        <v>12230</v>
      </c>
      <c r="C12187" s="5" t="s">
        <v>1074</v>
      </c>
      <c r="D12187" s="5" t="s">
        <v>6234</v>
      </c>
      <c r="E12187" s="43">
        <v>770</v>
      </c>
      <c r="F12187" s="43"/>
      <c r="G12187" s="48">
        <f t="shared" si="294"/>
        <v>217931.27997378027</v>
      </c>
      <c r="H12187" s="389" t="s">
        <v>9567</v>
      </c>
    </row>
    <row r="12188" spans="1:14" x14ac:dyDescent="0.3">
      <c r="A12188" s="45">
        <v>45777</v>
      </c>
      <c r="B12188" s="864" t="s">
        <v>25</v>
      </c>
      <c r="C12188" s="5" t="s">
        <v>1074</v>
      </c>
      <c r="D12188" s="5" t="s">
        <v>6234</v>
      </c>
      <c r="E12188" s="43">
        <v>810</v>
      </c>
      <c r="F12188" s="43"/>
      <c r="G12188" s="48">
        <f t="shared" si="294"/>
        <v>217121.27997378027</v>
      </c>
      <c r="H12188" s="389" t="s">
        <v>9567</v>
      </c>
    </row>
    <row r="12189" spans="1:14" x14ac:dyDescent="0.3">
      <c r="A12189" s="45">
        <v>45777</v>
      </c>
      <c r="B12189" s="864" t="s">
        <v>15623</v>
      </c>
      <c r="C12189" s="5" t="s">
        <v>5793</v>
      </c>
      <c r="D12189" s="5" t="s">
        <v>16044</v>
      </c>
      <c r="E12189" s="43">
        <v>6000</v>
      </c>
      <c r="F12189" s="43"/>
      <c r="G12189" s="48">
        <f t="shared" si="294"/>
        <v>211121.27997378027</v>
      </c>
      <c r="H12189" s="389" t="s">
        <v>9567</v>
      </c>
    </row>
    <row r="12190" spans="1:14" s="387" customFormat="1" ht="37.5" x14ac:dyDescent="0.3">
      <c r="A12190" s="45">
        <v>45777</v>
      </c>
      <c r="B12190" s="320" t="s">
        <v>15623</v>
      </c>
      <c r="C12190" s="44" t="s">
        <v>15861</v>
      </c>
      <c r="D12190" s="124" t="s">
        <v>16045</v>
      </c>
      <c r="E12190" s="28">
        <v>21250</v>
      </c>
      <c r="F12190" s="28"/>
      <c r="G12190" s="48">
        <f t="shared" si="294"/>
        <v>189871.27997378027</v>
      </c>
      <c r="H12190" s="389" t="s">
        <v>9567</v>
      </c>
      <c r="I12190" s="155"/>
      <c r="J12190" s="155"/>
      <c r="K12190" s="155"/>
      <c r="N12190" s="155"/>
    </row>
    <row r="12191" spans="1:14" s="387" customFormat="1" ht="37.5" x14ac:dyDescent="0.3">
      <c r="A12191" s="45">
        <v>45777</v>
      </c>
      <c r="B12191" s="320" t="s">
        <v>13833</v>
      </c>
      <c r="C12191" s="44" t="s">
        <v>15861</v>
      </c>
      <c r="D12191" s="124" t="s">
        <v>16045</v>
      </c>
      <c r="E12191" s="28">
        <v>5300</v>
      </c>
      <c r="F12191" s="28"/>
      <c r="G12191" s="48">
        <f t="shared" si="294"/>
        <v>184571.27997378027</v>
      </c>
      <c r="H12191" s="389" t="s">
        <v>9567</v>
      </c>
      <c r="I12191" s="155"/>
      <c r="J12191" s="155"/>
      <c r="K12191" s="155"/>
      <c r="N12191" s="155"/>
    </row>
    <row r="12192" spans="1:14" x14ac:dyDescent="0.3">
      <c r="A12192" s="45">
        <v>45777</v>
      </c>
      <c r="B12192" s="864" t="s">
        <v>13321</v>
      </c>
      <c r="C12192" s="5" t="s">
        <v>11174</v>
      </c>
      <c r="D12192" s="5" t="s">
        <v>16048</v>
      </c>
      <c r="E12192" s="43">
        <v>500</v>
      </c>
      <c r="F12192" s="43"/>
      <c r="G12192" s="48">
        <f t="shared" si="294"/>
        <v>184071.27997378027</v>
      </c>
      <c r="H12192" s="389" t="s">
        <v>9567</v>
      </c>
    </row>
    <row r="12193" spans="1:14" x14ac:dyDescent="0.3">
      <c r="A12193" s="45">
        <v>45777</v>
      </c>
      <c r="B12193" s="864" t="s">
        <v>12133</v>
      </c>
      <c r="C12193" s="5" t="s">
        <v>5288</v>
      </c>
      <c r="D12193" s="5" t="s">
        <v>294</v>
      </c>
      <c r="E12193" s="43">
        <v>5000</v>
      </c>
      <c r="F12193" s="43"/>
      <c r="G12193" s="48">
        <f t="shared" si="294"/>
        <v>179071.27997378027</v>
      </c>
      <c r="H12193" s="389" t="s">
        <v>9567</v>
      </c>
    </row>
    <row r="12194" spans="1:14" x14ac:dyDescent="0.3">
      <c r="A12194" s="45">
        <v>45777</v>
      </c>
      <c r="B12194" s="864" t="s">
        <v>13833</v>
      </c>
      <c r="C12194" s="5" t="s">
        <v>16049</v>
      </c>
      <c r="D12194" s="5" t="s">
        <v>16050</v>
      </c>
      <c r="E12194" s="43">
        <v>40000</v>
      </c>
      <c r="F12194" s="43"/>
      <c r="G12194" s="48">
        <f t="shared" si="294"/>
        <v>139071.27997378027</v>
      </c>
      <c r="H12194" s="389" t="s">
        <v>9567</v>
      </c>
    </row>
    <row r="12195" spans="1:14" x14ac:dyDescent="0.3">
      <c r="A12195" s="45">
        <v>45777</v>
      </c>
      <c r="B12195" s="864" t="s">
        <v>25</v>
      </c>
      <c r="C12195" s="5" t="s">
        <v>26</v>
      </c>
      <c r="D12195" s="5" t="s">
        <v>11434</v>
      </c>
      <c r="E12195" s="43">
        <v>4000</v>
      </c>
      <c r="F12195" s="43"/>
      <c r="G12195" s="48">
        <f t="shared" si="294"/>
        <v>135071.27997378027</v>
      </c>
      <c r="H12195" s="389" t="s">
        <v>9567</v>
      </c>
    </row>
    <row r="12196" spans="1:14" x14ac:dyDescent="0.3">
      <c r="A12196" s="45">
        <v>45777</v>
      </c>
      <c r="B12196" s="864" t="s">
        <v>13138</v>
      </c>
      <c r="C12196" s="5" t="s">
        <v>26</v>
      </c>
      <c r="D12196" s="5" t="s">
        <v>16051</v>
      </c>
      <c r="E12196" s="43">
        <v>3850</v>
      </c>
      <c r="F12196" s="43"/>
      <c r="G12196" s="48">
        <f t="shared" si="294"/>
        <v>131221.27997378027</v>
      </c>
      <c r="H12196" s="389" t="s">
        <v>9567</v>
      </c>
    </row>
    <row r="12197" spans="1:14" x14ac:dyDescent="0.3">
      <c r="A12197" s="45">
        <v>45777</v>
      </c>
      <c r="B12197" s="864" t="s">
        <v>13833</v>
      </c>
      <c r="C12197" s="5" t="s">
        <v>26</v>
      </c>
      <c r="D12197" s="5" t="s">
        <v>16052</v>
      </c>
      <c r="E12197" s="43">
        <v>10000</v>
      </c>
      <c r="F12197" s="43"/>
      <c r="G12197" s="48">
        <f t="shared" si="294"/>
        <v>121221.27997378027</v>
      </c>
      <c r="H12197" s="389" t="s">
        <v>9567</v>
      </c>
    </row>
    <row r="12198" spans="1:14" x14ac:dyDescent="0.3">
      <c r="A12198" s="45">
        <v>45777</v>
      </c>
      <c r="B12198" s="864" t="s">
        <v>15928</v>
      </c>
      <c r="C12198" s="5" t="s">
        <v>9451</v>
      </c>
      <c r="D12198" s="5" t="s">
        <v>16053</v>
      </c>
      <c r="E12198" s="43">
        <v>45000</v>
      </c>
      <c r="F12198" s="43"/>
      <c r="G12198" s="48">
        <f t="shared" si="294"/>
        <v>76221.279973780271</v>
      </c>
      <c r="H12198" s="389" t="s">
        <v>9567</v>
      </c>
    </row>
    <row r="12199" spans="1:14" x14ac:dyDescent="0.3">
      <c r="A12199" s="45">
        <v>45777</v>
      </c>
      <c r="B12199" s="864" t="s">
        <v>15928</v>
      </c>
      <c r="C12199" s="5" t="s">
        <v>5793</v>
      </c>
      <c r="D12199" s="5" t="s">
        <v>16054</v>
      </c>
      <c r="E12199" s="43">
        <v>2050</v>
      </c>
      <c r="F12199" s="43"/>
      <c r="G12199" s="48">
        <f t="shared" si="294"/>
        <v>74171.279973780271</v>
      </c>
      <c r="H12199" s="389" t="s">
        <v>9567</v>
      </c>
    </row>
    <row r="12200" spans="1:14" x14ac:dyDescent="0.3">
      <c r="A12200" s="45">
        <v>45777</v>
      </c>
      <c r="B12200" s="864"/>
      <c r="C12200" s="5" t="s">
        <v>25</v>
      </c>
      <c r="D12200" s="5" t="s">
        <v>16055</v>
      </c>
      <c r="E12200" s="43">
        <v>5000</v>
      </c>
      <c r="F12200" s="43"/>
      <c r="G12200" s="48">
        <f t="shared" si="294"/>
        <v>69171.279973780271</v>
      </c>
      <c r="H12200" s="389" t="s">
        <v>9567</v>
      </c>
    </row>
    <row r="12201" spans="1:14" x14ac:dyDescent="0.3">
      <c r="A12201" s="45">
        <v>45777</v>
      </c>
      <c r="B12201" s="864" t="s">
        <v>10319</v>
      </c>
      <c r="C12201" s="5" t="s">
        <v>7737</v>
      </c>
      <c r="D12201" s="5" t="s">
        <v>16056</v>
      </c>
      <c r="E12201" s="43">
        <v>20000</v>
      </c>
      <c r="F12201" s="43"/>
      <c r="G12201" s="48">
        <f t="shared" si="294"/>
        <v>49171.279973780271</v>
      </c>
      <c r="H12201" s="389" t="s">
        <v>9567</v>
      </c>
    </row>
    <row r="12202" spans="1:14" x14ac:dyDescent="0.3">
      <c r="A12202" s="45">
        <v>45779</v>
      </c>
      <c r="B12202" s="866" t="s">
        <v>25</v>
      </c>
      <c r="C12202" s="186" t="s">
        <v>54</v>
      </c>
      <c r="D12202" s="186" t="s">
        <v>1378</v>
      </c>
      <c r="E12202" s="187">
        <v>7000</v>
      </c>
      <c r="F12202" s="43"/>
      <c r="G12202" s="48">
        <f t="shared" si="294"/>
        <v>42171.279973780271</v>
      </c>
      <c r="H12202" s="389" t="s">
        <v>9567</v>
      </c>
    </row>
    <row r="12203" spans="1:14" x14ac:dyDescent="0.3">
      <c r="A12203" s="45">
        <v>45779</v>
      </c>
      <c r="B12203" s="864" t="s">
        <v>15808</v>
      </c>
      <c r="C12203" s="5" t="s">
        <v>5793</v>
      </c>
      <c r="D12203" s="5" t="s">
        <v>16057</v>
      </c>
      <c r="E12203" s="43">
        <v>390</v>
      </c>
      <c r="F12203" s="43"/>
      <c r="G12203" s="48">
        <f t="shared" si="294"/>
        <v>41781.279973780271</v>
      </c>
      <c r="H12203" s="389" t="s">
        <v>9567</v>
      </c>
    </row>
    <row r="12204" spans="1:14" x14ac:dyDescent="0.3">
      <c r="A12204" s="45">
        <v>45779</v>
      </c>
      <c r="B12204" s="864" t="s">
        <v>10319</v>
      </c>
      <c r="C12204" s="5" t="s">
        <v>30</v>
      </c>
      <c r="D12204" s="5" t="s">
        <v>16058</v>
      </c>
      <c r="E12204" s="43">
        <v>5000</v>
      </c>
      <c r="F12204" s="43"/>
      <c r="G12204" s="48">
        <f t="shared" si="294"/>
        <v>36781.279973780271</v>
      </c>
      <c r="H12204" s="389" t="s">
        <v>9567</v>
      </c>
    </row>
    <row r="12205" spans="1:14" s="387" customFormat="1" ht="37.5" x14ac:dyDescent="0.3">
      <c r="A12205" s="45">
        <v>45779</v>
      </c>
      <c r="B12205" s="320" t="s">
        <v>14590</v>
      </c>
      <c r="C12205" s="44" t="s">
        <v>26</v>
      </c>
      <c r="D12205" s="124" t="s">
        <v>16059</v>
      </c>
      <c r="E12205" s="28">
        <v>11500</v>
      </c>
      <c r="F12205" s="28"/>
      <c r="G12205" s="48">
        <f t="shared" si="294"/>
        <v>25281.279973780271</v>
      </c>
      <c r="H12205" s="389" t="s">
        <v>9567</v>
      </c>
      <c r="I12205" s="155"/>
      <c r="J12205" s="155"/>
      <c r="K12205" s="155"/>
      <c r="N12205" s="155"/>
    </row>
    <row r="12206" spans="1:14" s="387" customFormat="1" x14ac:dyDescent="0.3">
      <c r="A12206" s="45">
        <v>45779</v>
      </c>
      <c r="B12206" s="320" t="s">
        <v>25</v>
      </c>
      <c r="C12206" s="44" t="s">
        <v>26</v>
      </c>
      <c r="D12206" s="44" t="s">
        <v>11434</v>
      </c>
      <c r="E12206" s="28">
        <v>4000</v>
      </c>
      <c r="F12206" s="28"/>
      <c r="G12206" s="48">
        <f t="shared" si="294"/>
        <v>21281.279973780271</v>
      </c>
      <c r="H12206" s="389" t="s">
        <v>9567</v>
      </c>
      <c r="I12206" s="155"/>
      <c r="J12206" s="155"/>
      <c r="K12206" s="155"/>
      <c r="N12206" s="155"/>
    </row>
    <row r="12207" spans="1:14" x14ac:dyDescent="0.3">
      <c r="A12207" s="45">
        <v>45779</v>
      </c>
      <c r="B12207" s="867" t="s">
        <v>15623</v>
      </c>
      <c r="C12207" s="5" t="s">
        <v>84</v>
      </c>
      <c r="D12207" s="5" t="s">
        <v>15932</v>
      </c>
      <c r="E12207" s="43">
        <v>1000</v>
      </c>
      <c r="F12207" s="43"/>
      <c r="G12207" s="48">
        <f t="shared" si="294"/>
        <v>20281.279973780271</v>
      </c>
      <c r="H12207" s="389" t="s">
        <v>9567</v>
      </c>
    </row>
    <row r="12208" spans="1:14" x14ac:dyDescent="0.3">
      <c r="A12208" s="45">
        <v>45779</v>
      </c>
      <c r="B12208" s="868" t="s">
        <v>5958</v>
      </c>
      <c r="C12208" s="5" t="s">
        <v>26</v>
      </c>
      <c r="D12208" s="5" t="s">
        <v>16061</v>
      </c>
      <c r="E12208" s="43">
        <v>1350</v>
      </c>
      <c r="F12208" s="43"/>
      <c r="G12208" s="48">
        <f t="shared" si="294"/>
        <v>18931.279973780271</v>
      </c>
      <c r="H12208" s="389" t="s">
        <v>9567</v>
      </c>
    </row>
    <row r="12209" spans="1:9" x14ac:dyDescent="0.3">
      <c r="A12209" s="45">
        <v>45779</v>
      </c>
      <c r="B12209" s="868" t="s">
        <v>15623</v>
      </c>
      <c r="C12209" s="5" t="s">
        <v>30</v>
      </c>
      <c r="D12209" s="5" t="s">
        <v>16046</v>
      </c>
      <c r="E12209" s="43">
        <v>2000</v>
      </c>
      <c r="F12209" s="43"/>
      <c r="G12209" s="48">
        <f t="shared" si="294"/>
        <v>16931.279973780271</v>
      </c>
      <c r="H12209" s="389" t="s">
        <v>9567</v>
      </c>
    </row>
    <row r="12210" spans="1:9" x14ac:dyDescent="0.3">
      <c r="A12210" s="45">
        <v>45779</v>
      </c>
      <c r="B12210" s="868" t="s">
        <v>15623</v>
      </c>
      <c r="C12210" s="5" t="s">
        <v>26</v>
      </c>
      <c r="D12210" s="5" t="s">
        <v>15490</v>
      </c>
      <c r="E12210" s="43">
        <v>3000</v>
      </c>
      <c r="F12210" s="43"/>
      <c r="G12210" s="48">
        <f t="shared" si="294"/>
        <v>13931.279973780271</v>
      </c>
      <c r="H12210" s="389" t="s">
        <v>9567</v>
      </c>
    </row>
    <row r="12211" spans="1:9" x14ac:dyDescent="0.3">
      <c r="A12211" s="45">
        <v>45779</v>
      </c>
      <c r="B12211" s="868" t="s">
        <v>13321</v>
      </c>
      <c r="C12211" s="5" t="s">
        <v>26</v>
      </c>
      <c r="D12211" s="5" t="s">
        <v>16060</v>
      </c>
      <c r="E12211" s="43">
        <v>500</v>
      </c>
      <c r="F12211" s="43"/>
      <c r="G12211" s="48">
        <f t="shared" si="294"/>
        <v>13431.279973780271</v>
      </c>
      <c r="H12211" s="389" t="s">
        <v>9567</v>
      </c>
    </row>
    <row r="12212" spans="1:9" x14ac:dyDescent="0.3">
      <c r="A12212" s="45">
        <v>45779</v>
      </c>
      <c r="B12212" s="868" t="s">
        <v>15623</v>
      </c>
      <c r="C12212" s="5" t="s">
        <v>5793</v>
      </c>
      <c r="D12212" s="5" t="s">
        <v>40</v>
      </c>
      <c r="E12212" s="43">
        <v>800</v>
      </c>
      <c r="F12212" s="43"/>
      <c r="G12212" s="48">
        <f t="shared" si="294"/>
        <v>12631.279973780271</v>
      </c>
      <c r="H12212" s="389" t="s">
        <v>9567</v>
      </c>
    </row>
    <row r="12213" spans="1:9" x14ac:dyDescent="0.3">
      <c r="A12213" s="45">
        <v>45779</v>
      </c>
      <c r="B12213" s="868" t="s">
        <v>15421</v>
      </c>
      <c r="C12213" s="5" t="s">
        <v>84</v>
      </c>
      <c r="D12213" s="5" t="s">
        <v>15853</v>
      </c>
      <c r="E12213" s="43">
        <v>500</v>
      </c>
      <c r="F12213" s="43"/>
      <c r="G12213" s="48">
        <f t="shared" si="294"/>
        <v>12131.279973780271</v>
      </c>
      <c r="H12213" s="389" t="s">
        <v>9567</v>
      </c>
    </row>
    <row r="12214" spans="1:9" x14ac:dyDescent="0.3">
      <c r="A12214" s="45">
        <v>45780</v>
      </c>
      <c r="B12214" s="320" t="s">
        <v>25</v>
      </c>
      <c r="C12214" s="44" t="s">
        <v>26</v>
      </c>
      <c r="D12214" s="44" t="s">
        <v>11434</v>
      </c>
      <c r="E12214" s="28">
        <v>3000</v>
      </c>
      <c r="F12214" s="43"/>
      <c r="G12214" s="48">
        <f t="shared" si="294"/>
        <v>9131.2799737802707</v>
      </c>
      <c r="H12214" s="389" t="s">
        <v>9567</v>
      </c>
    </row>
    <row r="12215" spans="1:9" x14ac:dyDescent="0.3">
      <c r="A12215" s="45">
        <v>45782</v>
      </c>
      <c r="B12215" s="565"/>
      <c r="C12215" s="480"/>
      <c r="D12215" s="491" t="s">
        <v>12269</v>
      </c>
      <c r="E12215" s="480"/>
      <c r="F12215" s="43">
        <v>513613</v>
      </c>
      <c r="G12215" s="48">
        <f t="shared" ref="G12215" si="295">G12214+F12215-E12215</f>
        <v>522744.27997378027</v>
      </c>
      <c r="H12215" s="389" t="s">
        <v>9567</v>
      </c>
    </row>
    <row r="12216" spans="1:9" x14ac:dyDescent="0.3">
      <c r="A12216" s="45">
        <v>45782</v>
      </c>
      <c r="B12216" s="868" t="s">
        <v>15623</v>
      </c>
      <c r="C12216" s="5" t="s">
        <v>11174</v>
      </c>
      <c r="D12216" s="5" t="s">
        <v>16067</v>
      </c>
      <c r="E12216" s="43">
        <v>3300</v>
      </c>
      <c r="F12216" s="43"/>
      <c r="G12216" s="48">
        <f t="shared" si="294"/>
        <v>519444.27997378027</v>
      </c>
      <c r="H12216" s="389" t="s">
        <v>9567</v>
      </c>
    </row>
    <row r="12217" spans="1:9" x14ac:dyDescent="0.3">
      <c r="A12217" s="45">
        <v>45782</v>
      </c>
      <c r="B12217" s="868" t="s">
        <v>25</v>
      </c>
      <c r="C12217" s="5" t="s">
        <v>26</v>
      </c>
      <c r="D12217" s="5" t="s">
        <v>16076</v>
      </c>
      <c r="E12217" s="43">
        <v>1630</v>
      </c>
      <c r="F12217" s="43"/>
      <c r="G12217" s="48">
        <f t="shared" si="294"/>
        <v>517814.27997378027</v>
      </c>
      <c r="H12217" s="389" t="s">
        <v>9567</v>
      </c>
    </row>
    <row r="12218" spans="1:9" x14ac:dyDescent="0.3">
      <c r="A12218" s="45">
        <v>45782</v>
      </c>
      <c r="B12218" s="880" t="s">
        <v>13321</v>
      </c>
      <c r="C12218" s="5" t="s">
        <v>5793</v>
      </c>
      <c r="D12218" s="5" t="s">
        <v>40</v>
      </c>
      <c r="E12218" s="43">
        <v>2000</v>
      </c>
      <c r="F12218" s="43"/>
      <c r="G12218" s="48">
        <f t="shared" si="294"/>
        <v>515814.27997378027</v>
      </c>
      <c r="H12218" s="389" t="s">
        <v>9567</v>
      </c>
    </row>
    <row r="12219" spans="1:9" x14ac:dyDescent="0.3">
      <c r="A12219" s="45">
        <v>45782</v>
      </c>
      <c r="B12219" s="878" t="s">
        <v>15656</v>
      </c>
      <c r="C12219" s="5" t="s">
        <v>9758</v>
      </c>
      <c r="D12219" s="5" t="s">
        <v>14080</v>
      </c>
      <c r="E12219" s="43">
        <v>10000</v>
      </c>
      <c r="F12219" s="43"/>
      <c r="G12219" s="48">
        <f t="shared" si="294"/>
        <v>505814.27997378027</v>
      </c>
      <c r="H12219" s="389" t="s">
        <v>9567</v>
      </c>
    </row>
    <row r="12220" spans="1:9" x14ac:dyDescent="0.3">
      <c r="A12220" s="45">
        <v>45782</v>
      </c>
      <c r="B12220" s="868" t="s">
        <v>15878</v>
      </c>
      <c r="C12220" s="5" t="s">
        <v>5162</v>
      </c>
      <c r="D12220" s="5" t="s">
        <v>294</v>
      </c>
      <c r="E12220" s="43">
        <v>2000</v>
      </c>
      <c r="F12220" s="43"/>
      <c r="G12220" s="48">
        <f t="shared" si="294"/>
        <v>503814.27997378027</v>
      </c>
      <c r="H12220" s="389" t="s">
        <v>9567</v>
      </c>
      <c r="I12220" s="52">
        <v>65000</v>
      </c>
    </row>
    <row r="12221" spans="1:9" x14ac:dyDescent="0.3">
      <c r="A12221" s="45">
        <v>45783</v>
      </c>
      <c r="B12221" s="874" t="s">
        <v>15878</v>
      </c>
      <c r="C12221" s="5" t="s">
        <v>26</v>
      </c>
      <c r="D12221" s="5" t="s">
        <v>15177</v>
      </c>
      <c r="E12221" s="43">
        <v>1000</v>
      </c>
      <c r="F12221" s="43"/>
      <c r="G12221" s="48">
        <f t="shared" si="294"/>
        <v>502814.27997378027</v>
      </c>
      <c r="H12221" s="389" t="s">
        <v>9567</v>
      </c>
      <c r="I12221" s="52">
        <f>I12220*15%</f>
        <v>9750</v>
      </c>
    </row>
    <row r="12222" spans="1:9" x14ac:dyDescent="0.3">
      <c r="A12222" s="45">
        <v>45783</v>
      </c>
      <c r="B12222" s="406" t="s">
        <v>5958</v>
      </c>
      <c r="C12222" s="61" t="s">
        <v>11174</v>
      </c>
      <c r="D12222" s="61" t="s">
        <v>16077</v>
      </c>
      <c r="E12222" s="62">
        <v>1000</v>
      </c>
      <c r="F12222" s="43"/>
      <c r="G12222" s="48">
        <f t="shared" si="294"/>
        <v>501814.27997378027</v>
      </c>
      <c r="H12222" s="389" t="s">
        <v>9567</v>
      </c>
      <c r="I12222" s="52">
        <f>I12221+I12220</f>
        <v>74750</v>
      </c>
    </row>
    <row r="12223" spans="1:9" x14ac:dyDescent="0.3">
      <c r="A12223" s="45">
        <v>45783</v>
      </c>
      <c r="B12223" s="874"/>
      <c r="C12223" s="5" t="s">
        <v>14</v>
      </c>
      <c r="D12223" s="5" t="s">
        <v>15523</v>
      </c>
      <c r="E12223" s="43">
        <f>700+8638</f>
        <v>9338</v>
      </c>
      <c r="F12223" s="43"/>
      <c r="G12223" s="48">
        <f t="shared" si="294"/>
        <v>492476.27997378027</v>
      </c>
      <c r="H12223" s="389" t="s">
        <v>9567</v>
      </c>
    </row>
    <row r="12224" spans="1:9" x14ac:dyDescent="0.3">
      <c r="A12224" s="45">
        <v>45783</v>
      </c>
      <c r="B12224" s="874" t="s">
        <v>15623</v>
      </c>
      <c r="C12224" s="5" t="s">
        <v>30</v>
      </c>
      <c r="D12224" s="5" t="s">
        <v>16078</v>
      </c>
      <c r="E12224" s="43">
        <v>1000</v>
      </c>
      <c r="F12224" s="43"/>
      <c r="G12224" s="48">
        <f t="shared" si="294"/>
        <v>491476.27997378027</v>
      </c>
      <c r="H12224" s="389" t="s">
        <v>9567</v>
      </c>
    </row>
    <row r="12225" spans="1:8" x14ac:dyDescent="0.3">
      <c r="A12225" s="45">
        <v>45783</v>
      </c>
      <c r="B12225" s="874" t="s">
        <v>15623</v>
      </c>
      <c r="C12225" s="5" t="s">
        <v>5793</v>
      </c>
      <c r="D12225" s="5" t="s">
        <v>40</v>
      </c>
      <c r="E12225" s="43">
        <v>2800</v>
      </c>
      <c r="F12225" s="43"/>
      <c r="G12225" s="48">
        <f t="shared" si="294"/>
        <v>488676.27997378027</v>
      </c>
      <c r="H12225" s="389" t="s">
        <v>9567</v>
      </c>
    </row>
    <row r="12226" spans="1:8" x14ac:dyDescent="0.3">
      <c r="A12226" s="45">
        <v>45783</v>
      </c>
      <c r="B12226" s="878" t="s">
        <v>13833</v>
      </c>
      <c r="C12226" s="5" t="s">
        <v>11174</v>
      </c>
      <c r="D12226" s="5" t="s">
        <v>12287</v>
      </c>
      <c r="E12226" s="43">
        <v>830</v>
      </c>
      <c r="F12226" s="43"/>
      <c r="G12226" s="48">
        <f t="shared" si="294"/>
        <v>487846.27997378027</v>
      </c>
      <c r="H12226" s="389" t="s">
        <v>9567</v>
      </c>
    </row>
    <row r="12227" spans="1:8" x14ac:dyDescent="0.3">
      <c r="A12227" s="45">
        <v>45783</v>
      </c>
      <c r="B12227" s="874" t="s">
        <v>15623</v>
      </c>
      <c r="C12227" s="5" t="s">
        <v>11174</v>
      </c>
      <c r="D12227" s="5" t="s">
        <v>16082</v>
      </c>
      <c r="E12227" s="43">
        <v>2280</v>
      </c>
      <c r="F12227" s="43"/>
      <c r="G12227" s="48">
        <f t="shared" si="294"/>
        <v>485566.27997378027</v>
      </c>
      <c r="H12227" s="389" t="s">
        <v>9567</v>
      </c>
    </row>
    <row r="12228" spans="1:8" x14ac:dyDescent="0.3">
      <c r="A12228" s="45">
        <v>45783</v>
      </c>
      <c r="B12228" s="874" t="s">
        <v>25</v>
      </c>
      <c r="C12228" s="5" t="s">
        <v>3589</v>
      </c>
      <c r="D12228" s="5" t="s">
        <v>16079</v>
      </c>
      <c r="E12228" s="43">
        <v>900</v>
      </c>
      <c r="F12228" s="43"/>
      <c r="G12228" s="48">
        <f t="shared" si="294"/>
        <v>484666.27997378027</v>
      </c>
      <c r="H12228" s="389" t="s">
        <v>9567</v>
      </c>
    </row>
    <row r="12229" spans="1:8" x14ac:dyDescent="0.3">
      <c r="A12229" s="45">
        <v>45783</v>
      </c>
      <c r="B12229" s="320" t="s">
        <v>25</v>
      </c>
      <c r="C12229" s="44" t="s">
        <v>26</v>
      </c>
      <c r="D12229" s="44" t="s">
        <v>11434</v>
      </c>
      <c r="E12229" s="28">
        <v>4000</v>
      </c>
      <c r="F12229" s="43"/>
      <c r="G12229" s="48">
        <f t="shared" si="294"/>
        <v>480666.27997378027</v>
      </c>
      <c r="H12229" s="389" t="s">
        <v>9567</v>
      </c>
    </row>
    <row r="12230" spans="1:8" x14ac:dyDescent="0.3">
      <c r="A12230" s="45">
        <v>45783</v>
      </c>
      <c r="B12230" s="320" t="s">
        <v>15421</v>
      </c>
      <c r="C12230" s="44" t="s">
        <v>26</v>
      </c>
      <c r="D12230" s="44" t="s">
        <v>16081</v>
      </c>
      <c r="E12230" s="28">
        <v>2000</v>
      </c>
      <c r="F12230" s="43"/>
      <c r="G12230" s="48">
        <f t="shared" si="294"/>
        <v>478666.27997378027</v>
      </c>
      <c r="H12230" s="389" t="s">
        <v>9567</v>
      </c>
    </row>
    <row r="12231" spans="1:8" x14ac:dyDescent="0.3">
      <c r="A12231" s="45">
        <v>45783</v>
      </c>
      <c r="B12231" s="320" t="s">
        <v>15766</v>
      </c>
      <c r="C12231" s="44" t="s">
        <v>30</v>
      </c>
      <c r="D12231" s="44" t="s">
        <v>15998</v>
      </c>
      <c r="E12231" s="28">
        <v>1800</v>
      </c>
      <c r="F12231" s="43"/>
      <c r="G12231" s="48">
        <f t="shared" si="294"/>
        <v>476866.27997378027</v>
      </c>
      <c r="H12231" s="389" t="s">
        <v>9567</v>
      </c>
    </row>
    <row r="12232" spans="1:8" x14ac:dyDescent="0.3">
      <c r="A12232" s="45">
        <v>45783</v>
      </c>
      <c r="B12232" s="320" t="s">
        <v>15623</v>
      </c>
      <c r="C12232" s="44" t="s">
        <v>5793</v>
      </c>
      <c r="D12232" s="44" t="s">
        <v>40</v>
      </c>
      <c r="E12232" s="28">
        <v>800</v>
      </c>
      <c r="F12232" s="43"/>
      <c r="G12232" s="48">
        <f t="shared" si="294"/>
        <v>476066.27997378027</v>
      </c>
      <c r="H12232" s="389" t="s">
        <v>9567</v>
      </c>
    </row>
    <row r="12233" spans="1:8" x14ac:dyDescent="0.3">
      <c r="A12233" s="45">
        <v>45783</v>
      </c>
      <c r="B12233" s="320" t="s">
        <v>14031</v>
      </c>
      <c r="C12233" s="44" t="s">
        <v>11174</v>
      </c>
      <c r="D12233" s="44" t="s">
        <v>16087</v>
      </c>
      <c r="E12233" s="28">
        <v>16090</v>
      </c>
      <c r="F12233" s="43"/>
      <c r="G12233" s="48">
        <f t="shared" si="294"/>
        <v>459976.27997378027</v>
      </c>
      <c r="H12233" s="389" t="s">
        <v>9567</v>
      </c>
    </row>
    <row r="12234" spans="1:8" x14ac:dyDescent="0.3">
      <c r="A12234" s="45">
        <v>45783</v>
      </c>
      <c r="B12234" s="320" t="s">
        <v>15766</v>
      </c>
      <c r="C12234" s="44" t="s">
        <v>11174</v>
      </c>
      <c r="D12234" s="44" t="s">
        <v>11732</v>
      </c>
      <c r="E12234" s="28">
        <v>10770</v>
      </c>
      <c r="F12234" s="43"/>
      <c r="G12234" s="48">
        <f t="shared" si="294"/>
        <v>449206.27997378027</v>
      </c>
      <c r="H12234" s="389" t="s">
        <v>9567</v>
      </c>
    </row>
    <row r="12235" spans="1:8" x14ac:dyDescent="0.3">
      <c r="A12235" s="45">
        <v>45783</v>
      </c>
      <c r="B12235" s="320" t="s">
        <v>12133</v>
      </c>
      <c r="C12235" s="44" t="s">
        <v>5793</v>
      </c>
      <c r="D12235" s="44" t="s">
        <v>40</v>
      </c>
      <c r="E12235" s="28">
        <v>2000</v>
      </c>
      <c r="F12235" s="43"/>
      <c r="G12235" s="48">
        <f t="shared" si="294"/>
        <v>447206.27997378027</v>
      </c>
      <c r="H12235" s="389" t="s">
        <v>9567</v>
      </c>
    </row>
    <row r="12236" spans="1:8" x14ac:dyDescent="0.3">
      <c r="A12236" s="45">
        <v>45783</v>
      </c>
      <c r="B12236" s="320" t="s">
        <v>12133</v>
      </c>
      <c r="C12236" s="44" t="s">
        <v>5288</v>
      </c>
      <c r="D12236" s="44" t="s">
        <v>294</v>
      </c>
      <c r="E12236" s="28">
        <v>50000</v>
      </c>
      <c r="F12236" s="43"/>
      <c r="G12236" s="48">
        <f t="shared" si="294"/>
        <v>397206.27997378027</v>
      </c>
      <c r="H12236" s="389" t="s">
        <v>9567</v>
      </c>
    </row>
    <row r="12237" spans="1:8" x14ac:dyDescent="0.3">
      <c r="A12237" s="45">
        <v>45783</v>
      </c>
      <c r="B12237" s="320" t="s">
        <v>12055</v>
      </c>
      <c r="C12237" s="44" t="s">
        <v>11174</v>
      </c>
      <c r="D12237" s="44" t="s">
        <v>16084</v>
      </c>
      <c r="E12237" s="28">
        <v>44000</v>
      </c>
      <c r="F12237" s="43"/>
      <c r="G12237" s="48">
        <f t="shared" si="294"/>
        <v>353206.27997378027</v>
      </c>
      <c r="H12237" s="389" t="s">
        <v>9567</v>
      </c>
    </row>
    <row r="12238" spans="1:8" x14ac:dyDescent="0.3">
      <c r="A12238" s="45">
        <v>45783</v>
      </c>
      <c r="B12238" s="565"/>
      <c r="C12238" s="480"/>
      <c r="D12238" s="491" t="s">
        <v>4106</v>
      </c>
      <c r="E12238" s="480"/>
      <c r="F12238" s="43">
        <v>1000000</v>
      </c>
      <c r="G12238" s="48">
        <f t="shared" si="294"/>
        <v>1353206.2799737803</v>
      </c>
      <c r="H12238" s="389" t="s">
        <v>9567</v>
      </c>
    </row>
    <row r="12239" spans="1:8" x14ac:dyDescent="0.3">
      <c r="A12239" s="45">
        <v>45783</v>
      </c>
      <c r="B12239" s="813" t="s">
        <v>12055</v>
      </c>
      <c r="C12239" s="665" t="s">
        <v>54</v>
      </c>
      <c r="D12239" s="665" t="s">
        <v>6236</v>
      </c>
      <c r="E12239" s="29">
        <v>184279.16666666669</v>
      </c>
      <c r="F12239" s="43"/>
      <c r="G12239" s="48">
        <f t="shared" si="294"/>
        <v>1168927.1133071135</v>
      </c>
      <c r="H12239" s="389" t="s">
        <v>9567</v>
      </c>
    </row>
    <row r="12240" spans="1:8" x14ac:dyDescent="0.3">
      <c r="A12240" s="45">
        <v>45783</v>
      </c>
      <c r="B12240" s="813" t="s">
        <v>13902</v>
      </c>
      <c r="C12240" s="665" t="s">
        <v>54</v>
      </c>
      <c r="D12240" s="665" t="s">
        <v>15283</v>
      </c>
      <c r="E12240" s="29">
        <v>75000</v>
      </c>
      <c r="F12240" s="43"/>
      <c r="G12240" s="48">
        <f t="shared" si="294"/>
        <v>1093927.1133071135</v>
      </c>
      <c r="H12240" s="389" t="s">
        <v>9567</v>
      </c>
    </row>
    <row r="12241" spans="1:8" x14ac:dyDescent="0.3">
      <c r="A12241" s="45">
        <v>45783</v>
      </c>
      <c r="B12241" s="813" t="s">
        <v>12080</v>
      </c>
      <c r="C12241" s="665" t="s">
        <v>54</v>
      </c>
      <c r="D12241" s="665" t="s">
        <v>12746</v>
      </c>
      <c r="E12241" s="29">
        <f>220492+3000</f>
        <v>223492</v>
      </c>
      <c r="F12241" s="43"/>
      <c r="G12241" s="48">
        <f t="shared" si="294"/>
        <v>870435.11330711353</v>
      </c>
      <c r="H12241" s="389" t="s">
        <v>9567</v>
      </c>
    </row>
    <row r="12242" spans="1:8" x14ac:dyDescent="0.3">
      <c r="A12242" s="45">
        <v>45783</v>
      </c>
      <c r="B12242" s="813" t="s">
        <v>15766</v>
      </c>
      <c r="C12242" s="665" t="s">
        <v>54</v>
      </c>
      <c r="D12242" s="665" t="s">
        <v>16085</v>
      </c>
      <c r="E12242" s="29">
        <v>57520</v>
      </c>
      <c r="F12242" s="43"/>
      <c r="G12242" s="48">
        <f t="shared" si="294"/>
        <v>812915.11330711353</v>
      </c>
      <c r="H12242" s="389" t="s">
        <v>9567</v>
      </c>
    </row>
    <row r="12243" spans="1:8" x14ac:dyDescent="0.3">
      <c r="A12243" s="45">
        <v>45783</v>
      </c>
      <c r="B12243" s="813" t="s">
        <v>25</v>
      </c>
      <c r="C12243" s="665" t="s">
        <v>54</v>
      </c>
      <c r="D12243" s="665" t="s">
        <v>12958</v>
      </c>
      <c r="E12243" s="29">
        <v>42000</v>
      </c>
      <c r="F12243" s="43"/>
      <c r="G12243" s="48">
        <f t="shared" si="294"/>
        <v>770915.11330711353</v>
      </c>
      <c r="H12243" s="389" t="s">
        <v>9567</v>
      </c>
    </row>
    <row r="12244" spans="1:8" x14ac:dyDescent="0.3">
      <c r="A12244" s="45">
        <v>45783</v>
      </c>
      <c r="B12244" s="813" t="s">
        <v>15421</v>
      </c>
      <c r="C12244" s="665" t="s">
        <v>54</v>
      </c>
      <c r="D12244" s="665" t="s">
        <v>15278</v>
      </c>
      <c r="E12244" s="29">
        <f>36375+35580</f>
        <v>71955</v>
      </c>
      <c r="F12244" s="43"/>
      <c r="G12244" s="48">
        <f t="shared" si="294"/>
        <v>698960.11330711353</v>
      </c>
      <c r="H12244" s="389" t="s">
        <v>9567</v>
      </c>
    </row>
    <row r="12245" spans="1:8" x14ac:dyDescent="0.3">
      <c r="A12245" s="45">
        <v>45783</v>
      </c>
      <c r="B12245" s="813" t="s">
        <v>13321</v>
      </c>
      <c r="C12245" s="665" t="s">
        <v>54</v>
      </c>
      <c r="D12245" s="665" t="s">
        <v>16090</v>
      </c>
      <c r="E12245" s="29">
        <v>296278</v>
      </c>
      <c r="F12245" s="43"/>
      <c r="G12245" s="48">
        <f t="shared" si="294"/>
        <v>402682.11330711353</v>
      </c>
      <c r="H12245" s="389" t="s">
        <v>9567</v>
      </c>
    </row>
    <row r="12246" spans="1:8" x14ac:dyDescent="0.3">
      <c r="A12246" s="45">
        <v>45783</v>
      </c>
      <c r="B12246" s="813" t="s">
        <v>25</v>
      </c>
      <c r="C12246" s="665" t="s">
        <v>54</v>
      </c>
      <c r="D12246" s="665" t="s">
        <v>7105</v>
      </c>
      <c r="E12246" s="29">
        <v>364762.5</v>
      </c>
      <c r="F12246" s="43"/>
      <c r="G12246" s="48">
        <f t="shared" si="294"/>
        <v>37919.613307113526</v>
      </c>
      <c r="H12246" s="389" t="s">
        <v>9567</v>
      </c>
    </row>
    <row r="12247" spans="1:8" x14ac:dyDescent="0.3">
      <c r="A12247" s="45">
        <v>45783</v>
      </c>
      <c r="B12247" s="320" t="s">
        <v>25</v>
      </c>
      <c r="C12247" s="44" t="s">
        <v>26</v>
      </c>
      <c r="D12247" s="44" t="s">
        <v>6543</v>
      </c>
      <c r="E12247" s="28">
        <v>2500</v>
      </c>
      <c r="F12247" s="43"/>
      <c r="G12247" s="48">
        <f t="shared" si="294"/>
        <v>35419.613307113526</v>
      </c>
      <c r="H12247" s="389" t="s">
        <v>9567</v>
      </c>
    </row>
    <row r="12248" spans="1:8" x14ac:dyDescent="0.3">
      <c r="A12248" s="45">
        <v>45783</v>
      </c>
      <c r="B12248" s="878" t="s">
        <v>15808</v>
      </c>
      <c r="C12248" s="5" t="s">
        <v>9758</v>
      </c>
      <c r="D12248" s="5" t="s">
        <v>14080</v>
      </c>
      <c r="E12248" s="43">
        <v>10000</v>
      </c>
      <c r="F12248" s="43"/>
      <c r="G12248" s="48">
        <f t="shared" si="294"/>
        <v>25419.613307113526</v>
      </c>
      <c r="H12248" s="389" t="s">
        <v>9567</v>
      </c>
    </row>
    <row r="12249" spans="1:8" x14ac:dyDescent="0.3">
      <c r="A12249" s="45">
        <v>45784</v>
      </c>
      <c r="B12249" s="320" t="s">
        <v>12080</v>
      </c>
      <c r="C12249" s="44" t="s">
        <v>26</v>
      </c>
      <c r="D12249" s="44" t="s">
        <v>16088</v>
      </c>
      <c r="E12249" s="28">
        <v>700</v>
      </c>
      <c r="F12249" s="43"/>
      <c r="G12249" s="48">
        <f t="shared" si="294"/>
        <v>24719.613307113526</v>
      </c>
      <c r="H12249" s="389" t="s">
        <v>9567</v>
      </c>
    </row>
    <row r="12250" spans="1:8" x14ac:dyDescent="0.3">
      <c r="A12250" s="45">
        <v>45784</v>
      </c>
      <c r="B12250" s="320" t="s">
        <v>12080</v>
      </c>
      <c r="C12250" s="44" t="s">
        <v>26</v>
      </c>
      <c r="D12250" s="44" t="s">
        <v>16089</v>
      </c>
      <c r="E12250" s="28">
        <v>3000</v>
      </c>
      <c r="F12250" s="43"/>
      <c r="G12250" s="48">
        <f t="shared" si="294"/>
        <v>21719.613307113526</v>
      </c>
      <c r="H12250" s="389" t="s">
        <v>9567</v>
      </c>
    </row>
    <row r="12251" spans="1:8" x14ac:dyDescent="0.3">
      <c r="A12251" s="45">
        <v>45784</v>
      </c>
      <c r="B12251" s="320" t="s">
        <v>15623</v>
      </c>
      <c r="C12251" s="44" t="s">
        <v>5793</v>
      </c>
      <c r="D12251" s="44" t="s">
        <v>40</v>
      </c>
      <c r="E12251" s="28">
        <v>2400</v>
      </c>
      <c r="F12251" s="43"/>
      <c r="G12251" s="48">
        <f t="shared" si="294"/>
        <v>19319.613307113526</v>
      </c>
      <c r="H12251" s="389" t="s">
        <v>9567</v>
      </c>
    </row>
    <row r="12252" spans="1:8" x14ac:dyDescent="0.3">
      <c r="A12252" s="45">
        <v>45784</v>
      </c>
      <c r="B12252" s="565"/>
      <c r="C12252" s="480"/>
      <c r="D12252" s="491" t="s">
        <v>4106</v>
      </c>
      <c r="E12252" s="480"/>
      <c r="F12252" s="43">
        <v>1000000</v>
      </c>
      <c r="G12252" s="48">
        <f t="shared" si="294"/>
        <v>1019319.6133071135</v>
      </c>
      <c r="H12252" s="389" t="s">
        <v>9567</v>
      </c>
    </row>
    <row r="12253" spans="1:8" x14ac:dyDescent="0.3">
      <c r="A12253" s="45">
        <v>45784</v>
      </c>
      <c r="B12253" s="813" t="s">
        <v>16006</v>
      </c>
      <c r="C12253" s="665" t="s">
        <v>54</v>
      </c>
      <c r="D12253" s="665" t="s">
        <v>15816</v>
      </c>
      <c r="E12253" s="29">
        <f>43380+29060</f>
        <v>72440</v>
      </c>
      <c r="F12253" s="43"/>
      <c r="G12253" s="48">
        <f t="shared" si="294"/>
        <v>946879.61330711353</v>
      </c>
      <c r="H12253" s="389" t="s">
        <v>9567</v>
      </c>
    </row>
    <row r="12254" spans="1:8" x14ac:dyDescent="0.3">
      <c r="A12254" s="45">
        <v>45784</v>
      </c>
      <c r="B12254" s="320" t="s">
        <v>25</v>
      </c>
      <c r="C12254" s="44" t="s">
        <v>26</v>
      </c>
      <c r="D12254" s="44" t="s">
        <v>11434</v>
      </c>
      <c r="E12254" s="28">
        <v>3000</v>
      </c>
      <c r="F12254" s="43"/>
      <c r="G12254" s="48">
        <f t="shared" si="294"/>
        <v>943879.61330711353</v>
      </c>
      <c r="H12254" s="389" t="s">
        <v>9567</v>
      </c>
    </row>
    <row r="12255" spans="1:8" x14ac:dyDescent="0.3">
      <c r="A12255" s="45">
        <v>45784</v>
      </c>
      <c r="B12255" s="320" t="s">
        <v>15928</v>
      </c>
      <c r="C12255" s="44" t="s">
        <v>13425</v>
      </c>
      <c r="D12255" s="44" t="s">
        <v>16091</v>
      </c>
      <c r="E12255" s="28">
        <v>2000</v>
      </c>
      <c r="F12255" s="43"/>
      <c r="G12255" s="48">
        <f t="shared" si="294"/>
        <v>941879.61330711353</v>
      </c>
      <c r="H12255" s="389" t="s">
        <v>9567</v>
      </c>
    </row>
    <row r="12256" spans="1:8" x14ac:dyDescent="0.3">
      <c r="A12256" s="45">
        <v>45784</v>
      </c>
      <c r="B12256" s="320" t="s">
        <v>13833</v>
      </c>
      <c r="C12256" s="44" t="s">
        <v>11174</v>
      </c>
      <c r="D12256" s="44" t="s">
        <v>16092</v>
      </c>
      <c r="E12256" s="28">
        <v>2050</v>
      </c>
      <c r="F12256" s="43"/>
      <c r="G12256" s="48">
        <f t="shared" si="294"/>
        <v>939829.61330711353</v>
      </c>
      <c r="H12256" s="389" t="s">
        <v>9567</v>
      </c>
    </row>
    <row r="12257" spans="1:10" x14ac:dyDescent="0.3">
      <c r="A12257" s="45">
        <v>45784</v>
      </c>
      <c r="B12257" s="813" t="s">
        <v>13833</v>
      </c>
      <c r="C12257" s="665" t="s">
        <v>54</v>
      </c>
      <c r="D12257" s="665" t="s">
        <v>15810</v>
      </c>
      <c r="E12257" s="29">
        <f>35250+43420</f>
        <v>78670</v>
      </c>
      <c r="F12257" s="43"/>
      <c r="G12257" s="48">
        <f t="shared" si="294"/>
        <v>861159.61330711353</v>
      </c>
      <c r="H12257" s="389" t="s">
        <v>9567</v>
      </c>
    </row>
    <row r="12258" spans="1:10" x14ac:dyDescent="0.3">
      <c r="A12258" s="45">
        <v>45784</v>
      </c>
      <c r="B12258" s="320" t="s">
        <v>15623</v>
      </c>
      <c r="C12258" s="44" t="s">
        <v>11174</v>
      </c>
      <c r="D12258" s="44" t="s">
        <v>15430</v>
      </c>
      <c r="E12258" s="28">
        <v>4700</v>
      </c>
      <c r="F12258" s="43"/>
      <c r="G12258" s="48">
        <f t="shared" si="294"/>
        <v>856459.61330711353</v>
      </c>
      <c r="H12258" s="389" t="s">
        <v>9567</v>
      </c>
    </row>
    <row r="12259" spans="1:10" x14ac:dyDescent="0.3">
      <c r="A12259" s="45">
        <v>45784</v>
      </c>
      <c r="B12259" s="320" t="s">
        <v>15623</v>
      </c>
      <c r="C12259" s="44" t="s">
        <v>5793</v>
      </c>
      <c r="D12259" s="44" t="s">
        <v>16044</v>
      </c>
      <c r="E12259" s="28">
        <v>6000</v>
      </c>
      <c r="F12259" s="43"/>
      <c r="G12259" s="48">
        <f t="shared" si="294"/>
        <v>850459.61330711353</v>
      </c>
      <c r="H12259" s="389" t="s">
        <v>9567</v>
      </c>
    </row>
    <row r="12260" spans="1:10" x14ac:dyDescent="0.3">
      <c r="A12260" s="45">
        <v>45784</v>
      </c>
      <c r="B12260" s="320" t="s">
        <v>15878</v>
      </c>
      <c r="C12260" s="44" t="s">
        <v>3589</v>
      </c>
      <c r="D12260" s="44" t="s">
        <v>16098</v>
      </c>
      <c r="E12260" s="28">
        <v>3000</v>
      </c>
      <c r="F12260" s="43"/>
      <c r="G12260" s="48">
        <f t="shared" si="294"/>
        <v>847459.61330711353</v>
      </c>
      <c r="H12260" s="389" t="s">
        <v>9567</v>
      </c>
    </row>
    <row r="12261" spans="1:10" x14ac:dyDescent="0.3">
      <c r="A12261" s="45">
        <v>45784</v>
      </c>
      <c r="B12261" s="320" t="s">
        <v>15808</v>
      </c>
      <c r="C12261" s="44" t="s">
        <v>5793</v>
      </c>
      <c r="D12261" s="44" t="s">
        <v>16099</v>
      </c>
      <c r="E12261" s="28">
        <v>790</v>
      </c>
      <c r="F12261" s="43"/>
      <c r="G12261" s="48">
        <f t="shared" si="294"/>
        <v>846669.61330711353</v>
      </c>
      <c r="H12261" s="389" t="s">
        <v>9567</v>
      </c>
    </row>
    <row r="12262" spans="1:10" x14ac:dyDescent="0.3">
      <c r="A12262" s="45">
        <v>45784</v>
      </c>
      <c r="B12262" s="813" t="s">
        <v>14524</v>
      </c>
      <c r="C12262" s="665" t="s">
        <v>54</v>
      </c>
      <c r="D12262" s="665" t="s">
        <v>15289</v>
      </c>
      <c r="E12262" s="29">
        <v>45000</v>
      </c>
      <c r="F12262" s="43"/>
      <c r="G12262" s="48">
        <f t="shared" si="294"/>
        <v>801669.61330711353</v>
      </c>
      <c r="H12262" s="389" t="s">
        <v>9567</v>
      </c>
    </row>
    <row r="12263" spans="1:10" x14ac:dyDescent="0.3">
      <c r="A12263" s="45">
        <v>45784</v>
      </c>
      <c r="B12263" s="320" t="s">
        <v>15623</v>
      </c>
      <c r="C12263" s="44" t="s">
        <v>26</v>
      </c>
      <c r="D12263" s="44" t="s">
        <v>16101</v>
      </c>
      <c r="E12263" s="28">
        <v>3000</v>
      </c>
      <c r="F12263" s="43"/>
      <c r="G12263" s="48">
        <f t="shared" si="294"/>
        <v>798669.61330711353</v>
      </c>
      <c r="H12263" s="389" t="s">
        <v>9567</v>
      </c>
    </row>
    <row r="12264" spans="1:10" x14ac:dyDescent="0.3">
      <c r="A12264" s="45">
        <v>45784</v>
      </c>
      <c r="B12264" s="813" t="s">
        <v>15878</v>
      </c>
      <c r="C12264" s="665" t="s">
        <v>54</v>
      </c>
      <c r="D12264" s="665" t="s">
        <v>16108</v>
      </c>
      <c r="E12264" s="29">
        <v>280841.66666666669</v>
      </c>
      <c r="F12264" s="43"/>
      <c r="G12264" s="48">
        <f t="shared" si="294"/>
        <v>517827.94664044684</v>
      </c>
      <c r="H12264" s="389" t="s">
        <v>9567</v>
      </c>
      <c r="I12264" s="583" t="s">
        <v>12514</v>
      </c>
      <c r="J12264" s="187">
        <v>3558285.4166666665</v>
      </c>
    </row>
    <row r="12265" spans="1:10" x14ac:dyDescent="0.3">
      <c r="A12265" s="45">
        <v>45784</v>
      </c>
      <c r="B12265" s="813" t="s">
        <v>13321</v>
      </c>
      <c r="C12265" s="665" t="s">
        <v>54</v>
      </c>
      <c r="D12265" s="665" t="s">
        <v>16100</v>
      </c>
      <c r="E12265" s="29">
        <f>63000+36530</f>
        <v>99530</v>
      </c>
      <c r="F12265" s="43"/>
      <c r="G12265" s="48">
        <f t="shared" si="294"/>
        <v>418297.94664044684</v>
      </c>
      <c r="H12265" s="389" t="s">
        <v>9567</v>
      </c>
      <c r="I12265" s="583" t="s">
        <v>55</v>
      </c>
      <c r="J12265" s="187">
        <f ca="1">SUMIF(C12202:E127875,"salary",E12202:E138886)</f>
        <v>2333146.666666667</v>
      </c>
    </row>
    <row r="12266" spans="1:10" x14ac:dyDescent="0.3">
      <c r="A12266" s="45">
        <v>45784</v>
      </c>
      <c r="B12266" s="813" t="s">
        <v>13138</v>
      </c>
      <c r="C12266" s="665" t="s">
        <v>54</v>
      </c>
      <c r="D12266" s="665" t="s">
        <v>15496</v>
      </c>
      <c r="E12266" s="29">
        <v>117375</v>
      </c>
      <c r="F12266" s="43"/>
      <c r="G12266" s="48">
        <f t="shared" si="294"/>
        <v>300922.94664044684</v>
      </c>
      <c r="H12266" s="389" t="s">
        <v>9567</v>
      </c>
      <c r="I12266" s="583" t="s">
        <v>12233</v>
      </c>
      <c r="J12266" s="187">
        <f ca="1">J12264-J12265</f>
        <v>1225138.7499999995</v>
      </c>
    </row>
    <row r="12267" spans="1:10" x14ac:dyDescent="0.3">
      <c r="A12267" s="45">
        <v>45784</v>
      </c>
      <c r="B12267" s="320" t="s">
        <v>13138</v>
      </c>
      <c r="C12267" s="44" t="s">
        <v>16102</v>
      </c>
      <c r="D12267" s="44" t="s">
        <v>16103</v>
      </c>
      <c r="E12267" s="28">
        <v>12000</v>
      </c>
      <c r="F12267" s="43"/>
      <c r="G12267" s="48">
        <f t="shared" si="294"/>
        <v>288922.94664044684</v>
      </c>
      <c r="H12267" s="389" t="s">
        <v>9567</v>
      </c>
    </row>
    <row r="12268" spans="1:10" x14ac:dyDescent="0.3">
      <c r="A12268" s="45">
        <v>45784</v>
      </c>
      <c r="B12268" s="813" t="s">
        <v>14590</v>
      </c>
      <c r="C12268" s="665" t="s">
        <v>54</v>
      </c>
      <c r="D12268" s="665" t="s">
        <v>10426</v>
      </c>
      <c r="E12268" s="29">
        <v>95000</v>
      </c>
      <c r="F12268" s="43"/>
      <c r="G12268" s="48">
        <f t="shared" si="294"/>
        <v>193922.94664044684</v>
      </c>
      <c r="H12268" s="389" t="s">
        <v>9567</v>
      </c>
    </row>
    <row r="12269" spans="1:10" x14ac:dyDescent="0.3">
      <c r="A12269" s="45">
        <v>45784</v>
      </c>
      <c r="B12269" s="813" t="s">
        <v>15146</v>
      </c>
      <c r="C12269" s="665" t="s">
        <v>54</v>
      </c>
      <c r="D12269" s="665" t="s">
        <v>16104</v>
      </c>
      <c r="E12269" s="29">
        <v>104183.33333333333</v>
      </c>
      <c r="F12269" s="43"/>
      <c r="G12269" s="48">
        <f t="shared" si="294"/>
        <v>89739.613307113512</v>
      </c>
      <c r="H12269" s="389" t="s">
        <v>9567</v>
      </c>
    </row>
    <row r="12270" spans="1:10" x14ac:dyDescent="0.3">
      <c r="A12270" s="45">
        <v>45784</v>
      </c>
      <c r="B12270" s="320" t="s">
        <v>13902</v>
      </c>
      <c r="C12270" s="44" t="s">
        <v>11174</v>
      </c>
      <c r="D12270" s="44" t="s">
        <v>16105</v>
      </c>
      <c r="E12270" s="28">
        <v>1700</v>
      </c>
      <c r="F12270" s="43"/>
      <c r="G12270" s="48">
        <f t="shared" si="294"/>
        <v>88039.613307113512</v>
      </c>
      <c r="H12270" s="389" t="s">
        <v>9567</v>
      </c>
    </row>
    <row r="12271" spans="1:10" x14ac:dyDescent="0.3">
      <c r="A12271" s="45">
        <v>45784</v>
      </c>
      <c r="B12271" s="320" t="s">
        <v>25</v>
      </c>
      <c r="C12271" s="44" t="s">
        <v>84</v>
      </c>
      <c r="D12271" s="44" t="s">
        <v>16106</v>
      </c>
      <c r="E12271" s="28">
        <v>30000</v>
      </c>
      <c r="F12271" s="43"/>
      <c r="G12271" s="48">
        <f t="shared" si="294"/>
        <v>58039.613307113512</v>
      </c>
      <c r="H12271" s="389" t="s">
        <v>9567</v>
      </c>
    </row>
    <row r="12272" spans="1:10" x14ac:dyDescent="0.3">
      <c r="A12272" s="45">
        <v>45785</v>
      </c>
      <c r="B12272" s="813" t="s">
        <v>15146</v>
      </c>
      <c r="C12272" s="665" t="s">
        <v>54</v>
      </c>
      <c r="D12272" s="665" t="s">
        <v>12520</v>
      </c>
      <c r="E12272" s="29">
        <v>52000</v>
      </c>
      <c r="F12272" s="43"/>
      <c r="G12272" s="48">
        <f t="shared" si="294"/>
        <v>6039.6133071135118</v>
      </c>
      <c r="H12272" s="389" t="s">
        <v>9567</v>
      </c>
    </row>
    <row r="12273" spans="1:8" x14ac:dyDescent="0.3">
      <c r="A12273" s="45">
        <v>45785</v>
      </c>
      <c r="B12273" s="565"/>
      <c r="C12273" s="480"/>
      <c r="D12273" s="491" t="s">
        <v>4106</v>
      </c>
      <c r="E12273" s="480"/>
      <c r="F12273" s="43">
        <v>970000</v>
      </c>
      <c r="G12273" s="48">
        <f t="shared" si="294"/>
        <v>976039.61330711353</v>
      </c>
      <c r="H12273" s="389" t="s">
        <v>9567</v>
      </c>
    </row>
    <row r="12274" spans="1:8" x14ac:dyDescent="0.3">
      <c r="A12274" s="45">
        <v>45785</v>
      </c>
      <c r="B12274" s="320" t="s">
        <v>15623</v>
      </c>
      <c r="C12274" s="44" t="s">
        <v>11174</v>
      </c>
      <c r="D12274" s="44" t="s">
        <v>16109</v>
      </c>
      <c r="E12274" s="28">
        <v>23100</v>
      </c>
      <c r="F12274" s="43"/>
      <c r="G12274" s="48">
        <f t="shared" si="294"/>
        <v>952939.61330711353</v>
      </c>
      <c r="H12274" s="389" t="s">
        <v>9567</v>
      </c>
    </row>
    <row r="12275" spans="1:8" x14ac:dyDescent="0.3">
      <c r="A12275" s="45">
        <v>45785</v>
      </c>
      <c r="B12275" s="320" t="s">
        <v>15878</v>
      </c>
      <c r="C12275" s="44" t="s">
        <v>11174</v>
      </c>
      <c r="D12275" s="44" t="s">
        <v>16110</v>
      </c>
      <c r="E12275" s="28">
        <v>9180</v>
      </c>
      <c r="F12275" s="43"/>
      <c r="G12275" s="48">
        <f t="shared" si="294"/>
        <v>943759.61330711353</v>
      </c>
      <c r="H12275" s="389" t="s">
        <v>9567</v>
      </c>
    </row>
    <row r="12276" spans="1:8" x14ac:dyDescent="0.3">
      <c r="A12276" s="45">
        <v>45785</v>
      </c>
      <c r="B12276" s="320" t="s">
        <v>15623</v>
      </c>
      <c r="C12276" s="44" t="s">
        <v>30</v>
      </c>
      <c r="D12276" s="44" t="s">
        <v>16111</v>
      </c>
      <c r="E12276" s="28">
        <v>3000</v>
      </c>
      <c r="F12276" s="43"/>
      <c r="G12276" s="48">
        <f t="shared" si="294"/>
        <v>940759.61330711353</v>
      </c>
      <c r="H12276" s="389" t="s">
        <v>9567</v>
      </c>
    </row>
    <row r="12277" spans="1:8" x14ac:dyDescent="0.3">
      <c r="A12277" s="45">
        <v>45785</v>
      </c>
      <c r="B12277" s="320" t="s">
        <v>15623</v>
      </c>
      <c r="C12277" s="44" t="s">
        <v>9287</v>
      </c>
      <c r="D12277" s="44" t="s">
        <v>294</v>
      </c>
      <c r="E12277" s="28">
        <v>25000</v>
      </c>
      <c r="F12277" s="43"/>
      <c r="G12277" s="48">
        <f t="shared" si="294"/>
        <v>915759.61330711353</v>
      </c>
      <c r="H12277" s="389" t="s">
        <v>9567</v>
      </c>
    </row>
    <row r="12278" spans="1:8" x14ac:dyDescent="0.3">
      <c r="A12278" s="45">
        <v>45785</v>
      </c>
      <c r="B12278" s="813" t="s">
        <v>15623</v>
      </c>
      <c r="C12278" s="665" t="s">
        <v>54</v>
      </c>
      <c r="D12278" s="665" t="s">
        <v>16112</v>
      </c>
      <c r="E12278" s="29">
        <v>17670</v>
      </c>
      <c r="F12278" s="43"/>
      <c r="G12278" s="48">
        <f t="shared" si="294"/>
        <v>898089.61330711353</v>
      </c>
      <c r="H12278" s="389" t="s">
        <v>9567</v>
      </c>
    </row>
    <row r="12279" spans="1:8" x14ac:dyDescent="0.3">
      <c r="A12279" s="45">
        <v>45785</v>
      </c>
      <c r="B12279" s="320" t="s">
        <v>13902</v>
      </c>
      <c r="C12279" s="44" t="s">
        <v>7427</v>
      </c>
      <c r="D12279" s="44" t="s">
        <v>16113</v>
      </c>
      <c r="E12279" s="28">
        <v>15000</v>
      </c>
      <c r="F12279" s="43"/>
      <c r="G12279" s="48">
        <f t="shared" si="294"/>
        <v>883089.61330711353</v>
      </c>
      <c r="H12279" s="389" t="s">
        <v>9567</v>
      </c>
    </row>
    <row r="12280" spans="1:8" x14ac:dyDescent="0.3">
      <c r="A12280" s="45">
        <v>45785</v>
      </c>
      <c r="B12280" s="320" t="s">
        <v>25</v>
      </c>
      <c r="C12280" s="44" t="s">
        <v>7427</v>
      </c>
      <c r="D12280" s="44" t="s">
        <v>16114</v>
      </c>
      <c r="E12280" s="28">
        <v>25500</v>
      </c>
      <c r="F12280" s="43"/>
      <c r="G12280" s="48">
        <f t="shared" si="294"/>
        <v>857589.61330711353</v>
      </c>
      <c r="H12280" s="389" t="s">
        <v>9567</v>
      </c>
    </row>
    <row r="12281" spans="1:8" x14ac:dyDescent="0.3">
      <c r="A12281" s="45">
        <v>45785</v>
      </c>
      <c r="B12281" s="320" t="s">
        <v>25</v>
      </c>
      <c r="C12281" s="44" t="s">
        <v>7427</v>
      </c>
      <c r="D12281" s="44" t="s">
        <v>16115</v>
      </c>
      <c r="E12281" s="28">
        <f>95000/2</f>
        <v>47500</v>
      </c>
      <c r="F12281" s="43"/>
      <c r="G12281" s="48">
        <f t="shared" si="294"/>
        <v>810089.61330711353</v>
      </c>
      <c r="H12281" s="389" t="s">
        <v>9567</v>
      </c>
    </row>
    <row r="12282" spans="1:8" x14ac:dyDescent="0.3">
      <c r="A12282" s="45">
        <v>45785</v>
      </c>
      <c r="B12282" s="320" t="s">
        <v>25</v>
      </c>
      <c r="C12282" s="44" t="s">
        <v>7427</v>
      </c>
      <c r="D12282" s="44" t="s">
        <v>16123</v>
      </c>
      <c r="E12282" s="28">
        <v>50000</v>
      </c>
      <c r="F12282" s="43"/>
      <c r="G12282" s="48">
        <f t="shared" si="294"/>
        <v>760089.61330711353</v>
      </c>
      <c r="H12282" s="389" t="s">
        <v>9567</v>
      </c>
    </row>
    <row r="12283" spans="1:8" x14ac:dyDescent="0.3">
      <c r="A12283" s="45">
        <v>45785</v>
      </c>
      <c r="B12283" s="320" t="s">
        <v>13902</v>
      </c>
      <c r="C12283" s="44" t="s">
        <v>7427</v>
      </c>
      <c r="D12283" s="44" t="s">
        <v>156</v>
      </c>
      <c r="E12283" s="28">
        <v>45000</v>
      </c>
      <c r="F12283" s="43"/>
      <c r="G12283" s="48">
        <f t="shared" si="294"/>
        <v>715089.61330711353</v>
      </c>
      <c r="H12283" s="389" t="s">
        <v>9567</v>
      </c>
    </row>
    <row r="12284" spans="1:8" x14ac:dyDescent="0.3">
      <c r="A12284" s="45">
        <v>45785</v>
      </c>
      <c r="B12284" s="813" t="s">
        <v>15421</v>
      </c>
      <c r="C12284" s="665" t="s">
        <v>54</v>
      </c>
      <c r="D12284" s="665" t="s">
        <v>16116</v>
      </c>
      <c r="E12284" s="29">
        <v>34150</v>
      </c>
      <c r="F12284" s="43"/>
      <c r="G12284" s="48">
        <f t="shared" si="294"/>
        <v>680939.61330711353</v>
      </c>
      <c r="H12284" s="389" t="s">
        <v>9567</v>
      </c>
    </row>
    <row r="12285" spans="1:8" x14ac:dyDescent="0.3">
      <c r="A12285" s="45">
        <v>45785</v>
      </c>
      <c r="B12285" s="320" t="s">
        <v>12133</v>
      </c>
      <c r="C12285" s="44" t="s">
        <v>5793</v>
      </c>
      <c r="D12285" s="44" t="s">
        <v>16117</v>
      </c>
      <c r="E12285" s="28">
        <v>3000</v>
      </c>
      <c r="F12285" s="43"/>
      <c r="G12285" s="48">
        <f t="shared" si="294"/>
        <v>677939.61330711353</v>
      </c>
      <c r="H12285" s="389" t="s">
        <v>9567</v>
      </c>
    </row>
    <row r="12286" spans="1:8" x14ac:dyDescent="0.3">
      <c r="A12286" s="45">
        <v>45785</v>
      </c>
      <c r="B12286" s="320" t="s">
        <v>15623</v>
      </c>
      <c r="C12286" s="44" t="s">
        <v>5793</v>
      </c>
      <c r="D12286" s="44" t="s">
        <v>16119</v>
      </c>
      <c r="E12286" s="28">
        <v>3000</v>
      </c>
      <c r="F12286" s="43"/>
      <c r="G12286" s="48">
        <f t="shared" si="294"/>
        <v>674939.61330711353</v>
      </c>
      <c r="H12286" s="389" t="s">
        <v>9567</v>
      </c>
    </row>
    <row r="12287" spans="1:8" x14ac:dyDescent="0.3">
      <c r="A12287" s="45">
        <v>45785</v>
      </c>
      <c r="B12287" s="320" t="s">
        <v>25</v>
      </c>
      <c r="C12287" s="44" t="s">
        <v>7427</v>
      </c>
      <c r="D12287" s="44" t="s">
        <v>16118</v>
      </c>
      <c r="E12287" s="28">
        <f>57000/2</f>
        <v>28500</v>
      </c>
      <c r="F12287" s="43"/>
      <c r="G12287" s="48">
        <f t="shared" si="294"/>
        <v>646439.61330711353</v>
      </c>
      <c r="H12287" s="389" t="s">
        <v>9567</v>
      </c>
    </row>
    <row r="12288" spans="1:8" x14ac:dyDescent="0.3">
      <c r="A12288" s="45">
        <v>45785</v>
      </c>
      <c r="B12288" s="320" t="s">
        <v>12055</v>
      </c>
      <c r="C12288" s="44" t="s">
        <v>7427</v>
      </c>
      <c r="D12288" s="44" t="s">
        <v>11386</v>
      </c>
      <c r="E12288" s="28">
        <v>23750</v>
      </c>
      <c r="F12288" s="43"/>
      <c r="G12288" s="48">
        <f t="shared" si="294"/>
        <v>622689.61330711353</v>
      </c>
      <c r="H12288" s="389" t="s">
        <v>9567</v>
      </c>
    </row>
    <row r="12289" spans="1:8" x14ac:dyDescent="0.3">
      <c r="A12289" s="45">
        <v>45785</v>
      </c>
      <c r="B12289" s="320" t="s">
        <v>15623</v>
      </c>
      <c r="C12289" s="44" t="s">
        <v>5793</v>
      </c>
      <c r="D12289" s="44" t="s">
        <v>16119</v>
      </c>
      <c r="E12289" s="28">
        <v>3000</v>
      </c>
      <c r="F12289" s="43"/>
      <c r="G12289" s="48">
        <f t="shared" si="294"/>
        <v>619689.61330711353</v>
      </c>
      <c r="H12289" s="389" t="s">
        <v>9567</v>
      </c>
    </row>
    <row r="12290" spans="1:8" x14ac:dyDescent="0.3">
      <c r="A12290" s="45">
        <v>45785</v>
      </c>
      <c r="B12290" s="565"/>
      <c r="C12290" s="480"/>
      <c r="D12290" s="491" t="s">
        <v>4364</v>
      </c>
      <c r="E12290" s="480"/>
      <c r="F12290" s="43">
        <v>1000000</v>
      </c>
      <c r="G12290" s="48">
        <f t="shared" si="294"/>
        <v>1619689.6133071135</v>
      </c>
      <c r="H12290" s="389" t="s">
        <v>9567</v>
      </c>
    </row>
    <row r="12291" spans="1:8" x14ac:dyDescent="0.3">
      <c r="A12291" s="45">
        <v>45786</v>
      </c>
      <c r="B12291" s="320" t="s">
        <v>14590</v>
      </c>
      <c r="C12291" s="44" t="s">
        <v>7427</v>
      </c>
      <c r="D12291" s="44" t="s">
        <v>16120</v>
      </c>
      <c r="E12291" s="28">
        <v>62500</v>
      </c>
      <c r="F12291" s="43"/>
      <c r="G12291" s="48">
        <f t="shared" si="294"/>
        <v>1557189.6133071135</v>
      </c>
      <c r="H12291" s="389" t="s">
        <v>9567</v>
      </c>
    </row>
    <row r="12292" spans="1:8" x14ac:dyDescent="0.3">
      <c r="A12292" s="45">
        <v>45786</v>
      </c>
      <c r="B12292" s="320" t="s">
        <v>15623</v>
      </c>
      <c r="C12292" s="44" t="s">
        <v>15395</v>
      </c>
      <c r="D12292" s="44" t="s">
        <v>16124</v>
      </c>
      <c r="E12292" s="28">
        <v>520000</v>
      </c>
      <c r="F12292" s="43"/>
      <c r="G12292" s="48">
        <f t="shared" si="294"/>
        <v>1037189.6133071135</v>
      </c>
      <c r="H12292" s="389" t="s">
        <v>9567</v>
      </c>
    </row>
    <row r="12293" spans="1:8" x14ac:dyDescent="0.3">
      <c r="A12293" s="45">
        <v>45786</v>
      </c>
      <c r="B12293" s="320" t="s">
        <v>15623</v>
      </c>
      <c r="C12293" s="44" t="s">
        <v>11174</v>
      </c>
      <c r="D12293" s="44" t="s">
        <v>15479</v>
      </c>
      <c r="E12293" s="28">
        <v>11400</v>
      </c>
      <c r="F12293" s="43"/>
      <c r="G12293" s="48">
        <f t="shared" si="294"/>
        <v>1025789.6133071135</v>
      </c>
      <c r="H12293" s="389" t="s">
        <v>9567</v>
      </c>
    </row>
    <row r="12294" spans="1:8" x14ac:dyDescent="0.3">
      <c r="A12294" s="45">
        <v>45786</v>
      </c>
      <c r="B12294" s="320" t="s">
        <v>25</v>
      </c>
      <c r="C12294" s="44" t="s">
        <v>26</v>
      </c>
      <c r="D12294" s="44" t="s">
        <v>11434</v>
      </c>
      <c r="E12294" s="28">
        <v>5000</v>
      </c>
      <c r="F12294" s="43"/>
      <c r="G12294" s="48">
        <f t="shared" si="294"/>
        <v>1020789.6133071135</v>
      </c>
      <c r="H12294" s="389" t="s">
        <v>9567</v>
      </c>
    </row>
    <row r="12295" spans="1:8" x14ac:dyDescent="0.3">
      <c r="A12295" s="45">
        <v>45786</v>
      </c>
      <c r="B12295" s="320" t="s">
        <v>25</v>
      </c>
      <c r="C12295" s="44" t="s">
        <v>4400</v>
      </c>
      <c r="D12295" s="44" t="s">
        <v>294</v>
      </c>
      <c r="E12295" s="28">
        <v>5330</v>
      </c>
      <c r="F12295" s="43"/>
      <c r="G12295" s="48">
        <f t="shared" si="294"/>
        <v>1015459.6133071135</v>
      </c>
      <c r="H12295" s="389" t="s">
        <v>9567</v>
      </c>
    </row>
    <row r="12296" spans="1:8" x14ac:dyDescent="0.3">
      <c r="A12296" s="45">
        <v>45786</v>
      </c>
      <c r="B12296" s="320" t="s">
        <v>25</v>
      </c>
      <c r="C12296" s="44" t="s">
        <v>7427</v>
      </c>
      <c r="D12296" s="44" t="s">
        <v>16132</v>
      </c>
      <c r="E12296" s="28">
        <f>11500+2000+25000+28500</f>
        <v>67000</v>
      </c>
      <c r="F12296" s="43"/>
      <c r="G12296" s="48">
        <f t="shared" si="294"/>
        <v>948459.61330711353</v>
      </c>
      <c r="H12296" s="389" t="s">
        <v>9567</v>
      </c>
    </row>
    <row r="12297" spans="1:8" x14ac:dyDescent="0.3">
      <c r="A12297" s="45">
        <v>45786</v>
      </c>
      <c r="B12297" s="320" t="s">
        <v>25</v>
      </c>
      <c r="C12297" s="44" t="s">
        <v>16130</v>
      </c>
      <c r="D12297" s="44" t="s">
        <v>16131</v>
      </c>
      <c r="E12297" s="28">
        <v>1500</v>
      </c>
      <c r="F12297" s="43"/>
      <c r="G12297" s="48">
        <f t="shared" si="294"/>
        <v>946959.61330711353</v>
      </c>
      <c r="H12297" s="389" t="s">
        <v>9567</v>
      </c>
    </row>
    <row r="12298" spans="1:8" x14ac:dyDescent="0.3">
      <c r="A12298" s="45">
        <v>45786</v>
      </c>
      <c r="B12298" s="320" t="s">
        <v>12055</v>
      </c>
      <c r="C12298" s="44" t="s">
        <v>7427</v>
      </c>
      <c r="D12298" s="44" t="s">
        <v>16133</v>
      </c>
      <c r="E12298" s="28">
        <v>44750</v>
      </c>
      <c r="F12298" s="43"/>
      <c r="G12298" s="48">
        <f t="shared" si="294"/>
        <v>902209.61330711353</v>
      </c>
      <c r="H12298" s="389" t="s">
        <v>9567</v>
      </c>
    </row>
    <row r="12299" spans="1:8" x14ac:dyDescent="0.3">
      <c r="A12299" s="45">
        <v>45786</v>
      </c>
      <c r="B12299" s="320" t="s">
        <v>13321</v>
      </c>
      <c r="C12299" s="44" t="s">
        <v>7427</v>
      </c>
      <c r="D12299" s="44" t="s">
        <v>16134</v>
      </c>
      <c r="E12299" s="28">
        <v>75000</v>
      </c>
      <c r="F12299" s="43"/>
      <c r="G12299" s="48">
        <f t="shared" si="294"/>
        <v>827209.61330711353</v>
      </c>
      <c r="H12299" s="389" t="s">
        <v>9567</v>
      </c>
    </row>
    <row r="12300" spans="1:8" x14ac:dyDescent="0.3">
      <c r="A12300" s="45">
        <v>45786</v>
      </c>
      <c r="B12300" s="320" t="s">
        <v>13321</v>
      </c>
      <c r="C12300" s="44" t="s">
        <v>57</v>
      </c>
      <c r="D12300" s="44" t="s">
        <v>3910</v>
      </c>
      <c r="E12300" s="28">
        <v>50000</v>
      </c>
      <c r="F12300" s="43"/>
      <c r="G12300" s="48">
        <f t="shared" si="294"/>
        <v>777209.61330711353</v>
      </c>
      <c r="H12300" s="389" t="s">
        <v>9567</v>
      </c>
    </row>
    <row r="12301" spans="1:8" x14ac:dyDescent="0.3">
      <c r="A12301" s="45">
        <v>45786</v>
      </c>
      <c r="B12301" s="320" t="s">
        <v>13902</v>
      </c>
      <c r="C12301" s="44" t="s">
        <v>11174</v>
      </c>
      <c r="D12301" s="44" t="s">
        <v>12287</v>
      </c>
      <c r="E12301" s="28">
        <v>470</v>
      </c>
      <c r="F12301" s="43"/>
      <c r="G12301" s="48">
        <f t="shared" si="294"/>
        <v>776739.61330711353</v>
      </c>
      <c r="H12301" s="389" t="s">
        <v>9567</v>
      </c>
    </row>
    <row r="12302" spans="1:8" x14ac:dyDescent="0.3">
      <c r="A12302" s="45">
        <v>45786</v>
      </c>
      <c r="B12302" s="320" t="s">
        <v>13138</v>
      </c>
      <c r="C12302" s="44" t="s">
        <v>7427</v>
      </c>
      <c r="D12302" s="44" t="s">
        <v>16135</v>
      </c>
      <c r="E12302" s="28">
        <v>37500</v>
      </c>
      <c r="F12302" s="43"/>
      <c r="G12302" s="48">
        <f t="shared" si="294"/>
        <v>739239.61330711353</v>
      </c>
      <c r="H12302" s="389" t="s">
        <v>9567</v>
      </c>
    </row>
    <row r="12303" spans="1:8" x14ac:dyDescent="0.3">
      <c r="A12303" s="45">
        <v>45786</v>
      </c>
      <c r="B12303" s="320" t="s">
        <v>13902</v>
      </c>
      <c r="C12303" s="44" t="s">
        <v>7427</v>
      </c>
      <c r="D12303" s="44" t="s">
        <v>16136</v>
      </c>
      <c r="E12303" s="28">
        <v>10000</v>
      </c>
      <c r="F12303" s="43"/>
      <c r="G12303" s="48">
        <f t="shared" si="294"/>
        <v>729239.61330711353</v>
      </c>
      <c r="H12303" s="389" t="s">
        <v>9567</v>
      </c>
    </row>
    <row r="12304" spans="1:8" x14ac:dyDescent="0.3">
      <c r="A12304" s="45">
        <v>45787</v>
      </c>
      <c r="B12304" s="320" t="s">
        <v>15878</v>
      </c>
      <c r="C12304" s="44" t="s">
        <v>7427</v>
      </c>
      <c r="D12304" s="44" t="s">
        <v>16137</v>
      </c>
      <c r="E12304" s="28">
        <v>73500</v>
      </c>
      <c r="F12304" s="43"/>
      <c r="G12304" s="48">
        <f t="shared" si="294"/>
        <v>655739.61330711353</v>
      </c>
      <c r="H12304" s="389" t="s">
        <v>9567</v>
      </c>
    </row>
    <row r="12305" spans="1:8" x14ac:dyDescent="0.3">
      <c r="A12305" s="45">
        <v>45787</v>
      </c>
      <c r="B12305" s="320" t="s">
        <v>15928</v>
      </c>
      <c r="C12305" s="44" t="s">
        <v>5793</v>
      </c>
      <c r="D12305" s="44" t="s">
        <v>16138</v>
      </c>
      <c r="E12305" s="28">
        <v>8000</v>
      </c>
      <c r="F12305" s="43"/>
      <c r="G12305" s="48">
        <f t="shared" si="294"/>
        <v>647739.61330711353</v>
      </c>
      <c r="H12305" s="389" t="s">
        <v>9567</v>
      </c>
    </row>
    <row r="12306" spans="1:8" x14ac:dyDescent="0.3">
      <c r="A12306" s="45">
        <v>45787</v>
      </c>
      <c r="B12306" s="320" t="s">
        <v>15808</v>
      </c>
      <c r="C12306" s="44" t="s">
        <v>5793</v>
      </c>
      <c r="D12306" s="44" t="s">
        <v>40</v>
      </c>
      <c r="E12306" s="28">
        <v>3000</v>
      </c>
      <c r="F12306" s="43"/>
      <c r="G12306" s="48">
        <f t="shared" si="294"/>
        <v>644739.61330711353</v>
      </c>
      <c r="H12306" s="389" t="s">
        <v>9567</v>
      </c>
    </row>
    <row r="12307" spans="1:8" x14ac:dyDescent="0.3">
      <c r="A12307" s="45">
        <v>45787</v>
      </c>
      <c r="B12307" s="320" t="s">
        <v>15421</v>
      </c>
      <c r="C12307" s="44" t="s">
        <v>7427</v>
      </c>
      <c r="D12307" s="44" t="s">
        <v>16139</v>
      </c>
      <c r="E12307" s="28">
        <v>17500</v>
      </c>
      <c r="F12307" s="43"/>
      <c r="G12307" s="48">
        <f t="shared" si="294"/>
        <v>627239.61330711353</v>
      </c>
      <c r="H12307" s="389" t="s">
        <v>9567</v>
      </c>
    </row>
    <row r="12308" spans="1:8" x14ac:dyDescent="0.3">
      <c r="A12308" s="45">
        <v>45787</v>
      </c>
      <c r="B12308" s="320" t="s">
        <v>12080</v>
      </c>
      <c r="C12308" s="44" t="s">
        <v>7427</v>
      </c>
      <c r="D12308" s="44" t="s">
        <v>16141</v>
      </c>
      <c r="E12308" s="28">
        <v>87000</v>
      </c>
      <c r="F12308" s="43"/>
      <c r="G12308" s="48">
        <f t="shared" si="294"/>
        <v>540239.61330711353</v>
      </c>
      <c r="H12308" s="389" t="s">
        <v>9567</v>
      </c>
    </row>
    <row r="12309" spans="1:8" x14ac:dyDescent="0.3">
      <c r="A12309" s="45">
        <v>45787</v>
      </c>
      <c r="B12309" s="320" t="s">
        <v>15623</v>
      </c>
      <c r="C12309" s="44" t="s">
        <v>5793</v>
      </c>
      <c r="D12309" s="44" t="s">
        <v>40</v>
      </c>
      <c r="E12309" s="28">
        <v>1000</v>
      </c>
      <c r="F12309" s="43"/>
      <c r="G12309" s="48">
        <f t="shared" si="294"/>
        <v>539239.61330711353</v>
      </c>
      <c r="H12309" s="389" t="s">
        <v>9567</v>
      </c>
    </row>
    <row r="12310" spans="1:8" x14ac:dyDescent="0.3">
      <c r="A12310" s="45">
        <v>45787</v>
      </c>
      <c r="B12310" s="320" t="s">
        <v>15878</v>
      </c>
      <c r="C12310" s="44" t="s">
        <v>7427</v>
      </c>
      <c r="D12310" s="44" t="s">
        <v>16142</v>
      </c>
      <c r="E12310" s="28">
        <v>30000</v>
      </c>
      <c r="F12310" s="43"/>
      <c r="G12310" s="48">
        <f t="shared" si="294"/>
        <v>509239.61330711353</v>
      </c>
      <c r="H12310" s="389" t="s">
        <v>9567</v>
      </c>
    </row>
    <row r="12311" spans="1:8" x14ac:dyDescent="0.3">
      <c r="A12311" s="45">
        <v>45787</v>
      </c>
      <c r="B12311" s="320" t="s">
        <v>25</v>
      </c>
      <c r="C12311" s="44" t="s">
        <v>7427</v>
      </c>
      <c r="D12311" s="44" t="s">
        <v>16143</v>
      </c>
      <c r="E12311" s="28">
        <v>23500</v>
      </c>
      <c r="F12311" s="43"/>
      <c r="G12311" s="48">
        <f t="shared" si="294"/>
        <v>485739.61330711353</v>
      </c>
      <c r="H12311" s="389" t="s">
        <v>9567</v>
      </c>
    </row>
    <row r="12312" spans="1:8" x14ac:dyDescent="0.3">
      <c r="A12312" s="45">
        <v>45787</v>
      </c>
      <c r="B12312" s="320"/>
      <c r="C12312" s="44" t="s">
        <v>14</v>
      </c>
      <c r="D12312" s="44" t="s">
        <v>16144</v>
      </c>
      <c r="E12312" s="28">
        <v>200000</v>
      </c>
      <c r="F12312" s="43"/>
      <c r="G12312" s="48">
        <f t="shared" si="294"/>
        <v>285739.61330711353</v>
      </c>
      <c r="H12312" s="389" t="s">
        <v>9567</v>
      </c>
    </row>
    <row r="12313" spans="1:8" x14ac:dyDescent="0.3">
      <c r="A12313" s="45">
        <v>45787</v>
      </c>
      <c r="B12313" s="320" t="s">
        <v>15766</v>
      </c>
      <c r="C12313" s="44" t="s">
        <v>7427</v>
      </c>
      <c r="D12313" s="44" t="s">
        <v>16145</v>
      </c>
      <c r="E12313" s="28">
        <v>27500</v>
      </c>
      <c r="F12313" s="43"/>
      <c r="G12313" s="48">
        <f t="shared" si="294"/>
        <v>258239.61330711353</v>
      </c>
      <c r="H12313" s="389" t="s">
        <v>9567</v>
      </c>
    </row>
    <row r="12314" spans="1:8" x14ac:dyDescent="0.3">
      <c r="A12314" s="45">
        <v>45787</v>
      </c>
      <c r="B12314" s="320" t="s">
        <v>15421</v>
      </c>
      <c r="C12314" s="44" t="s">
        <v>7427</v>
      </c>
      <c r="D12314" s="44" t="s">
        <v>16147</v>
      </c>
      <c r="E12314" s="28">
        <v>17500</v>
      </c>
      <c r="F12314" s="43"/>
      <c r="G12314" s="48">
        <f t="shared" si="294"/>
        <v>240739.61330711353</v>
      </c>
      <c r="H12314" s="389" t="s">
        <v>9567</v>
      </c>
    </row>
    <row r="12315" spans="1:8" x14ac:dyDescent="0.3">
      <c r="A12315" s="45">
        <v>45789</v>
      </c>
      <c r="B12315" s="320" t="s">
        <v>15878</v>
      </c>
      <c r="C12315" s="44" t="s">
        <v>11174</v>
      </c>
      <c r="D12315" s="44" t="s">
        <v>16148</v>
      </c>
      <c r="E12315" s="28">
        <v>15000</v>
      </c>
      <c r="F12315" s="43"/>
      <c r="G12315" s="48">
        <f t="shared" si="294"/>
        <v>225739.61330711353</v>
      </c>
      <c r="H12315" s="389" t="s">
        <v>9567</v>
      </c>
    </row>
    <row r="12316" spans="1:8" x14ac:dyDescent="0.3">
      <c r="A12316" s="45">
        <v>45789</v>
      </c>
      <c r="B12316" s="320" t="s">
        <v>15421</v>
      </c>
      <c r="C12316" s="44" t="s">
        <v>7427</v>
      </c>
      <c r="D12316" s="44" t="s">
        <v>16149</v>
      </c>
      <c r="E12316" s="28">
        <v>20000</v>
      </c>
      <c r="F12316" s="43"/>
      <c r="G12316" s="48">
        <f t="shared" si="294"/>
        <v>205739.61330711353</v>
      </c>
      <c r="H12316" s="389" t="s">
        <v>9567</v>
      </c>
    </row>
    <row r="12317" spans="1:8" x14ac:dyDescent="0.3">
      <c r="A12317" s="45">
        <v>45789</v>
      </c>
      <c r="B12317" s="320" t="s">
        <v>25</v>
      </c>
      <c r="C12317" s="44" t="s">
        <v>26</v>
      </c>
      <c r="D12317" s="44" t="s">
        <v>11434</v>
      </c>
      <c r="E12317" s="28">
        <v>3500</v>
      </c>
      <c r="F12317" s="43"/>
      <c r="G12317" s="48">
        <f t="shared" si="294"/>
        <v>202239.61330711353</v>
      </c>
      <c r="H12317" s="389" t="s">
        <v>9567</v>
      </c>
    </row>
    <row r="12318" spans="1:8" x14ac:dyDescent="0.3">
      <c r="A12318" s="45">
        <v>45789</v>
      </c>
      <c r="B12318" s="320" t="s">
        <v>15928</v>
      </c>
      <c r="C12318" s="44" t="s">
        <v>9758</v>
      </c>
      <c r="D12318" s="44" t="s">
        <v>14080</v>
      </c>
      <c r="E12318" s="28">
        <v>5000</v>
      </c>
      <c r="F12318" s="43"/>
      <c r="G12318" s="48">
        <f t="shared" si="294"/>
        <v>197239.61330711353</v>
      </c>
      <c r="H12318" s="389" t="s">
        <v>9567</v>
      </c>
    </row>
    <row r="12319" spans="1:8" x14ac:dyDescent="0.3">
      <c r="A12319" s="45">
        <v>45789</v>
      </c>
      <c r="B12319" s="320" t="s">
        <v>15623</v>
      </c>
      <c r="C12319" s="44" t="s">
        <v>11174</v>
      </c>
      <c r="D12319" s="44" t="s">
        <v>16154</v>
      </c>
      <c r="E12319" s="28">
        <v>6000</v>
      </c>
      <c r="F12319" s="43"/>
      <c r="G12319" s="48">
        <f t="shared" si="294"/>
        <v>191239.61330711353</v>
      </c>
      <c r="H12319" s="389" t="s">
        <v>9567</v>
      </c>
    </row>
    <row r="12320" spans="1:8" x14ac:dyDescent="0.3">
      <c r="A12320" s="45">
        <v>45789</v>
      </c>
      <c r="B12320" s="320" t="s">
        <v>15766</v>
      </c>
      <c r="C12320" s="44" t="s">
        <v>12877</v>
      </c>
      <c r="D12320" s="44" t="s">
        <v>16155</v>
      </c>
      <c r="E12320" s="28">
        <v>10000</v>
      </c>
      <c r="F12320" s="43"/>
      <c r="G12320" s="48">
        <f t="shared" si="294"/>
        <v>181239.61330711353</v>
      </c>
      <c r="H12320" s="389" t="s">
        <v>9567</v>
      </c>
    </row>
    <row r="12321" spans="1:8" x14ac:dyDescent="0.3">
      <c r="A12321" s="45">
        <v>45789</v>
      </c>
      <c r="B12321" s="320" t="s">
        <v>15623</v>
      </c>
      <c r="C12321" s="44" t="s">
        <v>11174</v>
      </c>
      <c r="D12321" s="44" t="s">
        <v>16156</v>
      </c>
      <c r="E12321" s="28">
        <v>46500</v>
      </c>
      <c r="F12321" s="43"/>
      <c r="G12321" s="48">
        <f t="shared" si="294"/>
        <v>134739.61330711353</v>
      </c>
      <c r="H12321" s="389" t="s">
        <v>9567</v>
      </c>
    </row>
    <row r="12322" spans="1:8" x14ac:dyDescent="0.3">
      <c r="A12322" s="45">
        <v>45789</v>
      </c>
      <c r="B12322" s="320" t="s">
        <v>12055</v>
      </c>
      <c r="C12322" s="44" t="s">
        <v>11174</v>
      </c>
      <c r="D12322" s="44" t="s">
        <v>16158</v>
      </c>
      <c r="E12322" s="28">
        <v>9000</v>
      </c>
      <c r="F12322" s="43"/>
      <c r="G12322" s="48">
        <f t="shared" si="294"/>
        <v>125739.61330711353</v>
      </c>
      <c r="H12322" s="389" t="s">
        <v>9567</v>
      </c>
    </row>
    <row r="12323" spans="1:8" x14ac:dyDescent="0.3">
      <c r="A12323" s="45">
        <v>45789</v>
      </c>
      <c r="B12323" s="320" t="s">
        <v>15878</v>
      </c>
      <c r="C12323" s="44" t="s">
        <v>7427</v>
      </c>
      <c r="D12323" s="44" t="s">
        <v>16157</v>
      </c>
      <c r="E12323" s="28">
        <v>15000</v>
      </c>
      <c r="F12323" s="43"/>
      <c r="G12323" s="48">
        <f t="shared" si="294"/>
        <v>110739.61330711353</v>
      </c>
      <c r="H12323" s="389" t="s">
        <v>9567</v>
      </c>
    </row>
    <row r="12324" spans="1:8" x14ac:dyDescent="0.3">
      <c r="A12324" s="45">
        <v>45789</v>
      </c>
      <c r="B12324" s="320" t="s">
        <v>16159</v>
      </c>
      <c r="C12324" s="44" t="s">
        <v>26</v>
      </c>
      <c r="D12324" s="44" t="s">
        <v>16160</v>
      </c>
      <c r="E12324" s="28">
        <v>1500</v>
      </c>
      <c r="F12324" s="43"/>
      <c r="G12324" s="48">
        <f t="shared" si="294"/>
        <v>109239.61330711353</v>
      </c>
      <c r="H12324" s="389" t="s">
        <v>9567</v>
      </c>
    </row>
    <row r="12325" spans="1:8" x14ac:dyDescent="0.3">
      <c r="A12325" s="45">
        <v>45789</v>
      </c>
      <c r="B12325" s="320" t="s">
        <v>25</v>
      </c>
      <c r="C12325" s="44" t="s">
        <v>64</v>
      </c>
      <c r="D12325" s="44" t="s">
        <v>40</v>
      </c>
      <c r="E12325" s="28">
        <v>2640</v>
      </c>
      <c r="F12325" s="43"/>
      <c r="G12325" s="48">
        <f t="shared" si="294"/>
        <v>106599.61330711353</v>
      </c>
      <c r="H12325" s="389" t="s">
        <v>9567</v>
      </c>
    </row>
    <row r="12326" spans="1:8" x14ac:dyDescent="0.3">
      <c r="A12326" s="45">
        <v>45789</v>
      </c>
      <c r="B12326" s="320" t="s">
        <v>15623</v>
      </c>
      <c r="C12326" s="44" t="s">
        <v>13425</v>
      </c>
      <c r="D12326" s="44" t="s">
        <v>2726</v>
      </c>
      <c r="E12326" s="28">
        <v>2500</v>
      </c>
      <c r="F12326" s="43"/>
      <c r="G12326" s="48">
        <f t="shared" si="294"/>
        <v>104099.61330711353</v>
      </c>
      <c r="H12326" s="389" t="s">
        <v>9567</v>
      </c>
    </row>
    <row r="12327" spans="1:8" x14ac:dyDescent="0.3">
      <c r="A12327" s="45">
        <v>45790</v>
      </c>
      <c r="B12327" s="320" t="s">
        <v>10319</v>
      </c>
      <c r="C12327" s="44" t="s">
        <v>9794</v>
      </c>
      <c r="D12327" s="44" t="s">
        <v>294</v>
      </c>
      <c r="E12327" s="28">
        <v>11000</v>
      </c>
      <c r="F12327" s="43"/>
      <c r="G12327" s="48">
        <f t="shared" si="294"/>
        <v>93099.613307113526</v>
      </c>
      <c r="H12327" s="389" t="s">
        <v>9567</v>
      </c>
    </row>
    <row r="12328" spans="1:8" x14ac:dyDescent="0.3">
      <c r="A12328" s="45">
        <v>45790</v>
      </c>
      <c r="B12328" s="320" t="s">
        <v>15623</v>
      </c>
      <c r="C12328" s="44" t="s">
        <v>7427</v>
      </c>
      <c r="D12328" s="44" t="s">
        <v>16162</v>
      </c>
      <c r="E12328" s="28">
        <v>15000</v>
      </c>
      <c r="F12328" s="43"/>
      <c r="G12328" s="48">
        <f t="shared" si="294"/>
        <v>78099.613307113526</v>
      </c>
      <c r="H12328" s="389" t="s">
        <v>9567</v>
      </c>
    </row>
    <row r="12329" spans="1:8" x14ac:dyDescent="0.3">
      <c r="A12329" s="45">
        <v>45790</v>
      </c>
      <c r="B12329" s="320" t="s">
        <v>13833</v>
      </c>
      <c r="C12329" s="44" t="s">
        <v>7427</v>
      </c>
      <c r="D12329" s="44" t="s">
        <v>16163</v>
      </c>
      <c r="E12329" s="28">
        <v>17500</v>
      </c>
      <c r="F12329" s="43"/>
      <c r="G12329" s="48">
        <f t="shared" si="294"/>
        <v>60599.613307113526</v>
      </c>
      <c r="H12329" s="389" t="s">
        <v>9567</v>
      </c>
    </row>
    <row r="12330" spans="1:8" x14ac:dyDescent="0.3">
      <c r="A12330" s="45">
        <v>45790</v>
      </c>
      <c r="B12330" s="320" t="s">
        <v>15878</v>
      </c>
      <c r="C12330" s="44" t="s">
        <v>9758</v>
      </c>
      <c r="D12330" s="44" t="s">
        <v>14080</v>
      </c>
      <c r="E12330" s="28">
        <v>10000</v>
      </c>
      <c r="F12330" s="43"/>
      <c r="G12330" s="48">
        <f t="shared" si="294"/>
        <v>50599.613307113526</v>
      </c>
      <c r="H12330" s="389" t="s">
        <v>9567</v>
      </c>
    </row>
    <row r="12331" spans="1:8" x14ac:dyDescent="0.3">
      <c r="A12331" s="45">
        <v>45790</v>
      </c>
      <c r="B12331" s="320" t="s">
        <v>15623</v>
      </c>
      <c r="C12331" s="44" t="s">
        <v>7427</v>
      </c>
      <c r="D12331" s="44" t="s">
        <v>16164</v>
      </c>
      <c r="E12331" s="28">
        <v>25000</v>
      </c>
      <c r="F12331" s="43"/>
      <c r="G12331" s="48">
        <f t="shared" si="294"/>
        <v>25599.613307113526</v>
      </c>
      <c r="H12331" s="389" t="s">
        <v>9567</v>
      </c>
    </row>
    <row r="12332" spans="1:8" x14ac:dyDescent="0.3">
      <c r="A12332" s="45">
        <v>45790</v>
      </c>
      <c r="B12332" s="320" t="s">
        <v>15623</v>
      </c>
      <c r="C12332" s="44" t="s">
        <v>5793</v>
      </c>
      <c r="D12332" s="44" t="s">
        <v>40</v>
      </c>
      <c r="E12332" s="28">
        <v>1500</v>
      </c>
      <c r="F12332" s="43"/>
      <c r="G12332" s="48">
        <f t="shared" si="294"/>
        <v>24099.613307113526</v>
      </c>
      <c r="H12332" s="389" t="s">
        <v>9567</v>
      </c>
    </row>
    <row r="12333" spans="1:8" x14ac:dyDescent="0.3">
      <c r="A12333" s="45">
        <v>45790</v>
      </c>
      <c r="B12333" s="320" t="s">
        <v>25</v>
      </c>
      <c r="C12333" s="44" t="s">
        <v>26</v>
      </c>
      <c r="D12333" s="44" t="s">
        <v>11434</v>
      </c>
      <c r="E12333" s="28">
        <v>3500</v>
      </c>
      <c r="F12333" s="43"/>
      <c r="G12333" s="48">
        <f t="shared" si="294"/>
        <v>20599.613307113526</v>
      </c>
      <c r="H12333" s="389" t="s">
        <v>9567</v>
      </c>
    </row>
    <row r="12334" spans="1:8" x14ac:dyDescent="0.3">
      <c r="A12334" s="45">
        <v>45790</v>
      </c>
      <c r="B12334" s="565"/>
      <c r="C12334" s="480"/>
      <c r="D12334" s="491" t="s">
        <v>4106</v>
      </c>
      <c r="E12334" s="480"/>
      <c r="F12334" s="43">
        <v>1000000</v>
      </c>
      <c r="G12334" s="48">
        <f t="shared" si="294"/>
        <v>1020599.6133071135</v>
      </c>
      <c r="H12334" s="389" t="s">
        <v>9567</v>
      </c>
    </row>
    <row r="12335" spans="1:8" x14ac:dyDescent="0.3">
      <c r="A12335" s="45">
        <v>45790</v>
      </c>
      <c r="B12335" s="320" t="s">
        <v>14590</v>
      </c>
      <c r="C12335" s="44" t="s">
        <v>16049</v>
      </c>
      <c r="D12335" s="44" t="s">
        <v>16167</v>
      </c>
      <c r="E12335" s="28">
        <v>61000</v>
      </c>
      <c r="F12335" s="43"/>
      <c r="G12335" s="48">
        <f t="shared" si="294"/>
        <v>959599.61330711353</v>
      </c>
      <c r="H12335" s="389" t="s">
        <v>9567</v>
      </c>
    </row>
    <row r="12336" spans="1:8" x14ac:dyDescent="0.3">
      <c r="A12336" s="45">
        <v>45790</v>
      </c>
      <c r="B12336" s="320" t="s">
        <v>15623</v>
      </c>
      <c r="C12336" s="44" t="s">
        <v>5793</v>
      </c>
      <c r="D12336" s="44" t="s">
        <v>40</v>
      </c>
      <c r="E12336" s="28">
        <v>2500</v>
      </c>
      <c r="F12336" s="43"/>
      <c r="G12336" s="48">
        <f t="shared" si="294"/>
        <v>957099.61330711353</v>
      </c>
      <c r="H12336" s="389" t="s">
        <v>9567</v>
      </c>
    </row>
    <row r="12337" spans="1:14" x14ac:dyDescent="0.3">
      <c r="A12337" s="45">
        <v>45790</v>
      </c>
      <c r="B12337" s="320" t="s">
        <v>14590</v>
      </c>
      <c r="C12337" s="44" t="s">
        <v>11174</v>
      </c>
      <c r="D12337" s="44" t="s">
        <v>16168</v>
      </c>
      <c r="E12337" s="28">
        <v>110000</v>
      </c>
      <c r="F12337" s="43"/>
      <c r="G12337" s="48">
        <f t="shared" si="294"/>
        <v>847099.61330711353</v>
      </c>
      <c r="H12337" s="389" t="s">
        <v>9567</v>
      </c>
    </row>
    <row r="12338" spans="1:14" x14ac:dyDescent="0.3">
      <c r="A12338" s="45">
        <v>45790</v>
      </c>
      <c r="B12338" s="320" t="s">
        <v>12133</v>
      </c>
      <c r="C12338" s="44" t="s">
        <v>7427</v>
      </c>
      <c r="D12338" s="44" t="s">
        <v>12420</v>
      </c>
      <c r="E12338" s="28">
        <v>15000</v>
      </c>
      <c r="F12338" s="43"/>
      <c r="G12338" s="48">
        <f t="shared" si="294"/>
        <v>832099.61330711353</v>
      </c>
      <c r="H12338" s="389" t="s">
        <v>9567</v>
      </c>
    </row>
    <row r="12339" spans="1:14" x14ac:dyDescent="0.3">
      <c r="A12339" s="45">
        <v>45790</v>
      </c>
      <c r="B12339" s="320" t="s">
        <v>15623</v>
      </c>
      <c r="C12339" s="44" t="s">
        <v>5793</v>
      </c>
      <c r="D12339" s="44" t="s">
        <v>40</v>
      </c>
      <c r="E12339" s="28">
        <f>1500+1200+900+800+900</f>
        <v>5300</v>
      </c>
      <c r="F12339" s="43"/>
      <c r="G12339" s="48">
        <f t="shared" si="294"/>
        <v>826799.61330711353</v>
      </c>
      <c r="H12339" s="389" t="s">
        <v>9567</v>
      </c>
    </row>
    <row r="12340" spans="1:14" x14ac:dyDescent="0.3">
      <c r="A12340" s="45">
        <v>45790</v>
      </c>
      <c r="B12340" s="320" t="s">
        <v>16159</v>
      </c>
      <c r="C12340" s="44" t="s">
        <v>5793</v>
      </c>
      <c r="D12340" s="44" t="s">
        <v>40</v>
      </c>
      <c r="E12340" s="28">
        <v>500</v>
      </c>
      <c r="F12340" s="43"/>
      <c r="G12340" s="48">
        <f t="shared" si="294"/>
        <v>826299.61330711353</v>
      </c>
      <c r="H12340" s="389" t="s">
        <v>9567</v>
      </c>
    </row>
    <row r="12341" spans="1:14" x14ac:dyDescent="0.3">
      <c r="A12341" s="45">
        <v>45790</v>
      </c>
      <c r="B12341" s="882" t="s">
        <v>15878</v>
      </c>
      <c r="C12341" s="5" t="s">
        <v>26</v>
      </c>
      <c r="D12341" s="5" t="s">
        <v>16169</v>
      </c>
      <c r="E12341" s="43">
        <v>1500</v>
      </c>
      <c r="F12341" s="43"/>
      <c r="G12341" s="48">
        <f t="shared" ref="G12341:G12495" si="296">G12340+F12341-E12341</f>
        <v>824799.61330711353</v>
      </c>
      <c r="H12341" s="389" t="s">
        <v>9567</v>
      </c>
    </row>
    <row r="12342" spans="1:14" x14ac:dyDescent="0.3">
      <c r="A12342" s="45">
        <v>45790</v>
      </c>
      <c r="B12342" s="885" t="s">
        <v>16171</v>
      </c>
      <c r="C12342" s="5" t="s">
        <v>26</v>
      </c>
      <c r="D12342" s="5" t="s">
        <v>16172</v>
      </c>
      <c r="E12342" s="43">
        <v>740</v>
      </c>
      <c r="F12342" s="43"/>
      <c r="G12342" s="48">
        <f t="shared" si="296"/>
        <v>824059.61330711353</v>
      </c>
      <c r="H12342" s="389" t="s">
        <v>9567</v>
      </c>
    </row>
    <row r="12343" spans="1:14" x14ac:dyDescent="0.3">
      <c r="A12343" s="45">
        <v>45791</v>
      </c>
      <c r="B12343" s="898" t="s">
        <v>10319</v>
      </c>
      <c r="C12343" s="5" t="s">
        <v>7737</v>
      </c>
      <c r="D12343" s="5" t="s">
        <v>16185</v>
      </c>
      <c r="E12343" s="43">
        <v>15000</v>
      </c>
      <c r="F12343" s="43"/>
      <c r="G12343" s="48">
        <f t="shared" si="296"/>
        <v>809059.61330711353</v>
      </c>
      <c r="H12343" s="389" t="s">
        <v>9567</v>
      </c>
    </row>
    <row r="12344" spans="1:14" x14ac:dyDescent="0.3">
      <c r="A12344" s="45">
        <v>45791</v>
      </c>
      <c r="B12344" s="885" t="s">
        <v>12230</v>
      </c>
      <c r="C12344" s="5" t="s">
        <v>11431</v>
      </c>
      <c r="D12344" s="5" t="s">
        <v>2435</v>
      </c>
      <c r="E12344" s="43">
        <v>1400</v>
      </c>
      <c r="F12344" s="43"/>
      <c r="G12344" s="48">
        <f t="shared" si="296"/>
        <v>807659.61330711353</v>
      </c>
      <c r="H12344" s="389" t="s">
        <v>9567</v>
      </c>
    </row>
    <row r="12345" spans="1:14" x14ac:dyDescent="0.3">
      <c r="A12345" s="45">
        <v>45791</v>
      </c>
      <c r="B12345" s="885" t="s">
        <v>15656</v>
      </c>
      <c r="C12345" s="5" t="s">
        <v>11174</v>
      </c>
      <c r="D12345" s="5" t="s">
        <v>16186</v>
      </c>
      <c r="E12345" s="43">
        <v>121500</v>
      </c>
      <c r="F12345" s="43"/>
      <c r="G12345" s="48">
        <f t="shared" si="296"/>
        <v>686159.61330711353</v>
      </c>
      <c r="H12345" s="389" t="s">
        <v>9567</v>
      </c>
    </row>
    <row r="12346" spans="1:14" s="387" customFormat="1" ht="37.5" x14ac:dyDescent="0.3">
      <c r="A12346" s="45">
        <v>45791</v>
      </c>
      <c r="B12346" s="320" t="s">
        <v>25</v>
      </c>
      <c r="C12346" s="44" t="s">
        <v>11174</v>
      </c>
      <c r="D12346" s="124" t="s">
        <v>16189</v>
      </c>
      <c r="E12346" s="28">
        <v>16800</v>
      </c>
      <c r="F12346" s="28"/>
      <c r="G12346" s="48">
        <f t="shared" si="296"/>
        <v>669359.61330711353</v>
      </c>
      <c r="H12346" s="389" t="s">
        <v>9567</v>
      </c>
      <c r="I12346" s="155"/>
      <c r="J12346" s="155"/>
      <c r="K12346" s="155"/>
      <c r="N12346" s="155"/>
    </row>
    <row r="12347" spans="1:14" x14ac:dyDescent="0.3">
      <c r="A12347" s="45">
        <v>45791</v>
      </c>
      <c r="B12347" s="885" t="s">
        <v>15623</v>
      </c>
      <c r="C12347" s="5" t="s">
        <v>14907</v>
      </c>
      <c r="D12347" s="5" t="s">
        <v>16192</v>
      </c>
      <c r="E12347" s="43">
        <v>10000</v>
      </c>
      <c r="F12347" s="43"/>
      <c r="G12347" s="48">
        <f t="shared" si="296"/>
        <v>659359.61330711353</v>
      </c>
      <c r="H12347" s="389" t="s">
        <v>9567</v>
      </c>
    </row>
    <row r="12348" spans="1:14" x14ac:dyDescent="0.3">
      <c r="A12348" s="45">
        <v>45791</v>
      </c>
      <c r="B12348" s="886" t="s">
        <v>13321</v>
      </c>
      <c r="C12348" s="5" t="s">
        <v>14907</v>
      </c>
      <c r="D12348" s="5" t="s">
        <v>16190</v>
      </c>
      <c r="E12348" s="43">
        <v>4000</v>
      </c>
      <c r="F12348" s="43"/>
      <c r="G12348" s="48">
        <f t="shared" si="296"/>
        <v>655359.61330711353</v>
      </c>
      <c r="H12348" s="389" t="s">
        <v>9567</v>
      </c>
    </row>
    <row r="12349" spans="1:14" x14ac:dyDescent="0.3">
      <c r="A12349" s="45">
        <v>45791</v>
      </c>
      <c r="B12349" s="886" t="s">
        <v>13138</v>
      </c>
      <c r="C12349" s="5" t="s">
        <v>14907</v>
      </c>
      <c r="D12349" s="5" t="s">
        <v>16191</v>
      </c>
      <c r="E12349" s="43">
        <v>4000</v>
      </c>
      <c r="F12349" s="43"/>
      <c r="G12349" s="48">
        <f t="shared" si="296"/>
        <v>651359.61330711353</v>
      </c>
      <c r="H12349" s="389" t="s">
        <v>9567</v>
      </c>
    </row>
    <row r="12350" spans="1:14" x14ac:dyDescent="0.3">
      <c r="A12350" s="45">
        <v>45791</v>
      </c>
      <c r="B12350" s="320" t="s">
        <v>25</v>
      </c>
      <c r="C12350" s="44" t="s">
        <v>26</v>
      </c>
      <c r="D12350" s="44" t="s">
        <v>11434</v>
      </c>
      <c r="E12350" s="28">
        <v>4000</v>
      </c>
      <c r="F12350" s="43"/>
      <c r="G12350" s="48">
        <f t="shared" si="296"/>
        <v>647359.61330711353</v>
      </c>
      <c r="H12350" s="389" t="s">
        <v>9567</v>
      </c>
    </row>
    <row r="12351" spans="1:14" x14ac:dyDescent="0.3">
      <c r="A12351" s="45">
        <v>45791</v>
      </c>
      <c r="B12351" s="320" t="s">
        <v>15623</v>
      </c>
      <c r="C12351" s="44" t="s">
        <v>11174</v>
      </c>
      <c r="D12351" s="44" t="s">
        <v>16194</v>
      </c>
      <c r="E12351" s="28">
        <v>15000</v>
      </c>
      <c r="F12351" s="43"/>
      <c r="G12351" s="48">
        <f t="shared" si="296"/>
        <v>632359.61330711353</v>
      </c>
      <c r="H12351" s="389" t="s">
        <v>9567</v>
      </c>
    </row>
    <row r="12352" spans="1:14" x14ac:dyDescent="0.3">
      <c r="A12352" s="45">
        <v>45791</v>
      </c>
      <c r="B12352" s="886" t="s">
        <v>15623</v>
      </c>
      <c r="C12352" s="5" t="s">
        <v>16195</v>
      </c>
      <c r="D12352" s="5" t="s">
        <v>16196</v>
      </c>
      <c r="E12352" s="43">
        <v>26000</v>
      </c>
      <c r="F12352" s="43"/>
      <c r="G12352" s="48">
        <f t="shared" si="296"/>
        <v>606359.61330711353</v>
      </c>
      <c r="H12352" s="389" t="s">
        <v>9567</v>
      </c>
    </row>
    <row r="12353" spans="1:8" x14ac:dyDescent="0.3">
      <c r="A12353" s="45">
        <v>45791</v>
      </c>
      <c r="B12353" s="886" t="s">
        <v>15421</v>
      </c>
      <c r="C12353" s="5" t="s">
        <v>16197</v>
      </c>
      <c r="D12353" s="5" t="s">
        <v>16198</v>
      </c>
      <c r="E12353" s="43">
        <v>4800</v>
      </c>
      <c r="F12353" s="43"/>
      <c r="G12353" s="48">
        <f t="shared" si="296"/>
        <v>601559.61330711353</v>
      </c>
      <c r="H12353" s="389" t="s">
        <v>9567</v>
      </c>
    </row>
    <row r="12354" spans="1:8" x14ac:dyDescent="0.3">
      <c r="A12354" s="45">
        <v>45791</v>
      </c>
      <c r="B12354" s="320" t="s">
        <v>25</v>
      </c>
      <c r="C12354" s="44" t="s">
        <v>26</v>
      </c>
      <c r="D12354" s="44" t="s">
        <v>16199</v>
      </c>
      <c r="E12354" s="28">
        <v>2500</v>
      </c>
      <c r="F12354" s="43"/>
      <c r="G12354" s="48">
        <f t="shared" si="296"/>
        <v>599059.61330711353</v>
      </c>
      <c r="H12354" s="389" t="s">
        <v>9567</v>
      </c>
    </row>
    <row r="12355" spans="1:8" x14ac:dyDescent="0.3">
      <c r="A12355" s="45">
        <v>45791</v>
      </c>
      <c r="B12355" s="320" t="s">
        <v>13321</v>
      </c>
      <c r="C12355" s="44" t="s">
        <v>11174</v>
      </c>
      <c r="D12355" s="44" t="s">
        <v>16200</v>
      </c>
      <c r="E12355" s="28">
        <v>4290</v>
      </c>
      <c r="F12355" s="43"/>
      <c r="G12355" s="48">
        <f t="shared" si="296"/>
        <v>594769.61330711353</v>
      </c>
      <c r="H12355" s="389" t="s">
        <v>9567</v>
      </c>
    </row>
    <row r="12356" spans="1:8" x14ac:dyDescent="0.3">
      <c r="A12356" s="45">
        <v>45791</v>
      </c>
      <c r="B12356" s="320" t="s">
        <v>15146</v>
      </c>
      <c r="C12356" s="44" t="s">
        <v>7427</v>
      </c>
      <c r="D12356" s="44" t="s">
        <v>16201</v>
      </c>
      <c r="E12356" s="28">
        <v>15000</v>
      </c>
      <c r="F12356" s="43"/>
      <c r="G12356" s="48">
        <f t="shared" si="296"/>
        <v>579769.61330711353</v>
      </c>
      <c r="H12356" s="389" t="s">
        <v>9567</v>
      </c>
    </row>
    <row r="12357" spans="1:8" x14ac:dyDescent="0.3">
      <c r="A12357" s="45">
        <v>45791</v>
      </c>
      <c r="B12357" s="320" t="s">
        <v>16171</v>
      </c>
      <c r="C12357" s="44" t="s">
        <v>5793</v>
      </c>
      <c r="D12357" s="44" t="s">
        <v>40</v>
      </c>
      <c r="E12357" s="28">
        <v>1500</v>
      </c>
      <c r="F12357" s="43"/>
      <c r="G12357" s="48">
        <f t="shared" si="296"/>
        <v>578269.61330711353</v>
      </c>
      <c r="H12357" s="389" t="s">
        <v>9567</v>
      </c>
    </row>
    <row r="12358" spans="1:8" x14ac:dyDescent="0.3">
      <c r="A12358" s="45">
        <v>45791</v>
      </c>
      <c r="B12358" s="320" t="s">
        <v>15878</v>
      </c>
      <c r="C12358" s="44" t="s">
        <v>5793</v>
      </c>
      <c r="D12358" s="44" t="s">
        <v>40</v>
      </c>
      <c r="E12358" s="28">
        <v>1000</v>
      </c>
      <c r="F12358" s="43"/>
      <c r="G12358" s="48">
        <f t="shared" si="296"/>
        <v>577269.61330711353</v>
      </c>
      <c r="H12358" s="389" t="s">
        <v>9567</v>
      </c>
    </row>
    <row r="12359" spans="1:8" x14ac:dyDescent="0.3">
      <c r="A12359" s="45">
        <v>45791</v>
      </c>
      <c r="B12359" s="320" t="s">
        <v>13902</v>
      </c>
      <c r="C12359" s="44" t="s">
        <v>5793</v>
      </c>
      <c r="D12359" s="44" t="s">
        <v>16202</v>
      </c>
      <c r="E12359" s="28">
        <v>550</v>
      </c>
      <c r="F12359" s="43"/>
      <c r="G12359" s="48">
        <f t="shared" si="296"/>
        <v>576719.61330711353</v>
      </c>
      <c r="H12359" s="389" t="s">
        <v>9567</v>
      </c>
    </row>
    <row r="12360" spans="1:8" x14ac:dyDescent="0.3">
      <c r="A12360" s="45">
        <v>45791</v>
      </c>
      <c r="B12360" s="320" t="s">
        <v>15146</v>
      </c>
      <c r="C12360" s="44" t="s">
        <v>11174</v>
      </c>
      <c r="D12360" s="44" t="s">
        <v>16203</v>
      </c>
      <c r="E12360" s="28">
        <v>3000</v>
      </c>
      <c r="F12360" s="43"/>
      <c r="G12360" s="48">
        <f t="shared" si="296"/>
        <v>573719.61330711353</v>
      </c>
      <c r="H12360" s="389" t="s">
        <v>9567</v>
      </c>
    </row>
    <row r="12361" spans="1:8" x14ac:dyDescent="0.3">
      <c r="A12361" s="45">
        <v>45791</v>
      </c>
      <c r="B12361" s="320" t="s">
        <v>16159</v>
      </c>
      <c r="C12361" s="44" t="s">
        <v>30</v>
      </c>
      <c r="D12361" s="44" t="s">
        <v>16201</v>
      </c>
      <c r="E12361" s="28">
        <v>250</v>
      </c>
      <c r="F12361" s="43"/>
      <c r="G12361" s="48">
        <f t="shared" si="296"/>
        <v>573469.61330711353</v>
      </c>
      <c r="H12361" s="389" t="s">
        <v>9567</v>
      </c>
    </row>
    <row r="12362" spans="1:8" x14ac:dyDescent="0.3">
      <c r="A12362" s="45">
        <v>45792</v>
      </c>
      <c r="B12362" s="320" t="s">
        <v>15878</v>
      </c>
      <c r="C12362" s="44" t="s">
        <v>11174</v>
      </c>
      <c r="D12362" s="44" t="s">
        <v>16206</v>
      </c>
      <c r="E12362" s="28">
        <v>4450</v>
      </c>
      <c r="F12362" s="43"/>
      <c r="G12362" s="48">
        <f t="shared" si="296"/>
        <v>569019.61330711353</v>
      </c>
      <c r="H12362" s="389" t="s">
        <v>9567</v>
      </c>
    </row>
    <row r="12363" spans="1:8" x14ac:dyDescent="0.3">
      <c r="A12363" s="45">
        <v>45792</v>
      </c>
      <c r="B12363" s="320" t="s">
        <v>15878</v>
      </c>
      <c r="C12363" s="44" t="s">
        <v>5162</v>
      </c>
      <c r="D12363" s="44" t="s">
        <v>16207</v>
      </c>
      <c r="E12363" s="28">
        <v>5000</v>
      </c>
      <c r="F12363" s="43"/>
      <c r="G12363" s="48">
        <f t="shared" si="296"/>
        <v>564019.61330711353</v>
      </c>
      <c r="H12363" s="389" t="s">
        <v>9567</v>
      </c>
    </row>
    <row r="12364" spans="1:8" x14ac:dyDescent="0.3">
      <c r="A12364" s="45">
        <v>45792</v>
      </c>
      <c r="B12364" s="320" t="s">
        <v>15146</v>
      </c>
      <c r="C12364" s="44" t="s">
        <v>5793</v>
      </c>
      <c r="D12364" s="44" t="s">
        <v>40</v>
      </c>
      <c r="E12364" s="28">
        <v>800</v>
      </c>
      <c r="F12364" s="43"/>
      <c r="G12364" s="48">
        <f t="shared" si="296"/>
        <v>563219.61330711353</v>
      </c>
      <c r="H12364" s="389" t="s">
        <v>9567</v>
      </c>
    </row>
    <row r="12365" spans="1:8" x14ac:dyDescent="0.3">
      <c r="A12365" s="45">
        <v>45792</v>
      </c>
      <c r="B12365" s="320" t="s">
        <v>14590</v>
      </c>
      <c r="C12365" s="44" t="s">
        <v>5793</v>
      </c>
      <c r="D12365" s="44" t="s">
        <v>40</v>
      </c>
      <c r="E12365" s="28">
        <v>800</v>
      </c>
      <c r="F12365" s="43"/>
      <c r="G12365" s="48">
        <f t="shared" si="296"/>
        <v>562419.61330711353</v>
      </c>
      <c r="H12365" s="389" t="s">
        <v>9567</v>
      </c>
    </row>
    <row r="12366" spans="1:8" x14ac:dyDescent="0.3">
      <c r="A12366" s="45">
        <v>45792</v>
      </c>
      <c r="B12366" s="320" t="s">
        <v>14524</v>
      </c>
      <c r="C12366" s="44" t="s">
        <v>11174</v>
      </c>
      <c r="D12366" s="44" t="s">
        <v>16213</v>
      </c>
      <c r="E12366" s="28">
        <v>13000</v>
      </c>
      <c r="F12366" s="43"/>
      <c r="G12366" s="48">
        <f t="shared" si="296"/>
        <v>549419.61330711353</v>
      </c>
      <c r="H12366" s="389" t="s">
        <v>9567</v>
      </c>
    </row>
    <row r="12367" spans="1:8" x14ac:dyDescent="0.3">
      <c r="A12367" s="45">
        <v>45792</v>
      </c>
      <c r="B12367" s="320" t="s">
        <v>15878</v>
      </c>
      <c r="C12367" s="44" t="s">
        <v>26</v>
      </c>
      <c r="D12367" s="44" t="s">
        <v>16217</v>
      </c>
      <c r="E12367" s="28">
        <v>6000</v>
      </c>
      <c r="F12367" s="43"/>
      <c r="G12367" s="48">
        <f t="shared" si="296"/>
        <v>543419.61330711353</v>
      </c>
      <c r="H12367" s="389" t="s">
        <v>9567</v>
      </c>
    </row>
    <row r="12368" spans="1:8" x14ac:dyDescent="0.3">
      <c r="A12368" s="45">
        <v>45792</v>
      </c>
      <c r="B12368" s="320" t="s">
        <v>15808</v>
      </c>
      <c r="C12368" s="44" t="s">
        <v>11174</v>
      </c>
      <c r="D12368" s="44" t="s">
        <v>16214</v>
      </c>
      <c r="E12368" s="28">
        <v>5600</v>
      </c>
      <c r="F12368" s="43"/>
      <c r="G12368" s="48">
        <f t="shared" si="296"/>
        <v>537819.61330711353</v>
      </c>
      <c r="H12368" s="389" t="s">
        <v>9567</v>
      </c>
    </row>
    <row r="12369" spans="1:8" x14ac:dyDescent="0.3">
      <c r="A12369" s="45">
        <v>45792</v>
      </c>
      <c r="B12369" s="813" t="s">
        <v>15623</v>
      </c>
      <c r="C12369" s="665" t="s">
        <v>54</v>
      </c>
      <c r="D12369" s="665" t="s">
        <v>16215</v>
      </c>
      <c r="E12369" s="29">
        <v>14000</v>
      </c>
      <c r="F12369" s="43"/>
      <c r="G12369" s="48">
        <f t="shared" si="296"/>
        <v>523819.61330711353</v>
      </c>
      <c r="H12369" s="389" t="s">
        <v>9567</v>
      </c>
    </row>
    <row r="12370" spans="1:8" ht="37.5" x14ac:dyDescent="0.3">
      <c r="A12370" s="45">
        <v>45792</v>
      </c>
      <c r="B12370" s="320" t="s">
        <v>15162</v>
      </c>
      <c r="C12370" s="44" t="s">
        <v>11174</v>
      </c>
      <c r="D12370" s="124" t="s">
        <v>16216</v>
      </c>
      <c r="E12370" s="28">
        <v>24500</v>
      </c>
      <c r="F12370" s="43"/>
      <c r="G12370" s="48">
        <f t="shared" si="296"/>
        <v>499319.61330711353</v>
      </c>
      <c r="H12370" s="389" t="s">
        <v>9567</v>
      </c>
    </row>
    <row r="12371" spans="1:8" x14ac:dyDescent="0.3">
      <c r="A12371" s="45">
        <v>45792</v>
      </c>
      <c r="B12371" s="320" t="s">
        <v>16223</v>
      </c>
      <c r="C12371" s="44" t="s">
        <v>9758</v>
      </c>
      <c r="D12371" s="44" t="s">
        <v>16224</v>
      </c>
      <c r="E12371" s="28">
        <v>10000</v>
      </c>
      <c r="F12371" s="43"/>
      <c r="G12371" s="48">
        <f t="shared" si="296"/>
        <v>489319.61330711353</v>
      </c>
      <c r="H12371" s="389" t="s">
        <v>9567</v>
      </c>
    </row>
    <row r="12372" spans="1:8" x14ac:dyDescent="0.3">
      <c r="A12372" s="45">
        <v>45792</v>
      </c>
      <c r="B12372" s="320" t="s">
        <v>15729</v>
      </c>
      <c r="C12372" s="44" t="s">
        <v>11174</v>
      </c>
      <c r="D12372" s="44" t="s">
        <v>16225</v>
      </c>
      <c r="E12372" s="28">
        <v>1500</v>
      </c>
      <c r="F12372" s="43"/>
      <c r="G12372" s="48">
        <f t="shared" si="296"/>
        <v>487819.61330711353</v>
      </c>
      <c r="H12372" s="389" t="s">
        <v>9567</v>
      </c>
    </row>
    <row r="12373" spans="1:8" x14ac:dyDescent="0.3">
      <c r="A12373" s="45">
        <v>45792</v>
      </c>
      <c r="B12373" s="320" t="s">
        <v>25</v>
      </c>
      <c r="C12373" s="44" t="s">
        <v>26</v>
      </c>
      <c r="D12373" s="44" t="s">
        <v>11434</v>
      </c>
      <c r="E12373" s="28">
        <v>4000</v>
      </c>
      <c r="F12373" s="43"/>
      <c r="G12373" s="48">
        <f t="shared" si="296"/>
        <v>483819.61330711353</v>
      </c>
      <c r="H12373" s="389" t="s">
        <v>9567</v>
      </c>
    </row>
    <row r="12374" spans="1:8" x14ac:dyDescent="0.3">
      <c r="A12374" s="45">
        <v>45793</v>
      </c>
      <c r="B12374" s="417" t="s">
        <v>15729</v>
      </c>
      <c r="C12374" s="239" t="s">
        <v>11174</v>
      </c>
      <c r="D12374" s="239" t="s">
        <v>16230</v>
      </c>
      <c r="E12374" s="174">
        <v>20000</v>
      </c>
      <c r="F12374" s="43"/>
      <c r="G12374" s="48">
        <f t="shared" si="296"/>
        <v>463819.61330711353</v>
      </c>
      <c r="H12374" s="389" t="s">
        <v>9567</v>
      </c>
    </row>
    <row r="12375" spans="1:8" x14ac:dyDescent="0.3">
      <c r="A12375" s="45">
        <v>45793</v>
      </c>
      <c r="B12375" s="320" t="s">
        <v>15729</v>
      </c>
      <c r="C12375" s="44" t="s">
        <v>30</v>
      </c>
      <c r="D12375" s="44" t="s">
        <v>16078</v>
      </c>
      <c r="E12375" s="28">
        <v>700</v>
      </c>
      <c r="F12375" s="43"/>
      <c r="G12375" s="48">
        <f t="shared" si="296"/>
        <v>463119.61330711353</v>
      </c>
      <c r="H12375" s="389" t="s">
        <v>9567</v>
      </c>
    </row>
    <row r="12376" spans="1:8" x14ac:dyDescent="0.3">
      <c r="A12376" s="45">
        <v>45793</v>
      </c>
      <c r="B12376" s="320" t="s">
        <v>16159</v>
      </c>
      <c r="C12376" s="44" t="s">
        <v>26</v>
      </c>
      <c r="D12376" s="44" t="s">
        <v>16226</v>
      </c>
      <c r="E12376" s="28">
        <v>1000</v>
      </c>
      <c r="F12376" s="43"/>
      <c r="G12376" s="48">
        <f t="shared" si="296"/>
        <v>462119.61330711353</v>
      </c>
      <c r="H12376" s="389" t="s">
        <v>9567</v>
      </c>
    </row>
    <row r="12377" spans="1:8" x14ac:dyDescent="0.3">
      <c r="A12377" s="45">
        <v>45793</v>
      </c>
      <c r="B12377" s="320" t="s">
        <v>16159</v>
      </c>
      <c r="C12377" s="44" t="s">
        <v>30</v>
      </c>
      <c r="D12377" s="44" t="s">
        <v>16078</v>
      </c>
      <c r="E12377" s="28">
        <v>3000</v>
      </c>
      <c r="F12377" s="43"/>
      <c r="G12377" s="48">
        <f t="shared" si="296"/>
        <v>459119.61330711353</v>
      </c>
      <c r="H12377" s="389" t="s">
        <v>9567</v>
      </c>
    </row>
    <row r="12378" spans="1:8" x14ac:dyDescent="0.3">
      <c r="A12378" s="45">
        <v>45793</v>
      </c>
      <c r="B12378" s="320" t="s">
        <v>25</v>
      </c>
      <c r="C12378" s="44" t="s">
        <v>7427</v>
      </c>
      <c r="D12378" s="44" t="s">
        <v>16233</v>
      </c>
      <c r="E12378" s="28">
        <v>50000</v>
      </c>
      <c r="F12378" s="43"/>
      <c r="G12378" s="48">
        <f t="shared" si="296"/>
        <v>409119.61330711353</v>
      </c>
      <c r="H12378" s="389" t="s">
        <v>9567</v>
      </c>
    </row>
    <row r="12379" spans="1:8" x14ac:dyDescent="0.3">
      <c r="A12379" s="45">
        <v>45793</v>
      </c>
      <c r="B12379" s="320" t="s">
        <v>13321</v>
      </c>
      <c r="C12379" s="44" t="s">
        <v>11043</v>
      </c>
      <c r="D12379" s="44" t="s">
        <v>16227</v>
      </c>
      <c r="E12379" s="28">
        <v>47300</v>
      </c>
      <c r="F12379" s="43"/>
      <c r="G12379" s="48">
        <f t="shared" si="296"/>
        <v>361819.61330711353</v>
      </c>
      <c r="H12379" s="389" t="s">
        <v>9567</v>
      </c>
    </row>
    <row r="12380" spans="1:8" x14ac:dyDescent="0.3">
      <c r="A12380" s="45">
        <v>45793</v>
      </c>
      <c r="B12380" s="320" t="s">
        <v>25</v>
      </c>
      <c r="C12380" s="44" t="s">
        <v>26</v>
      </c>
      <c r="D12380" s="44" t="s">
        <v>16229</v>
      </c>
      <c r="E12380" s="28">
        <v>2250</v>
      </c>
      <c r="F12380" s="43"/>
      <c r="G12380" s="48">
        <f t="shared" si="296"/>
        <v>359569.61330711353</v>
      </c>
      <c r="H12380" s="389" t="s">
        <v>9567</v>
      </c>
    </row>
    <row r="12381" spans="1:8" x14ac:dyDescent="0.3">
      <c r="A12381" s="45">
        <v>45793</v>
      </c>
      <c r="B12381" s="320" t="s">
        <v>15928</v>
      </c>
      <c r="C12381" s="44" t="s">
        <v>13425</v>
      </c>
      <c r="D12381" s="44" t="s">
        <v>16231</v>
      </c>
      <c r="E12381" s="28">
        <v>3100</v>
      </c>
      <c r="F12381" s="43"/>
      <c r="G12381" s="48">
        <f t="shared" si="296"/>
        <v>356469.61330711353</v>
      </c>
      <c r="H12381" s="389" t="s">
        <v>9567</v>
      </c>
    </row>
    <row r="12382" spans="1:8" x14ac:dyDescent="0.3">
      <c r="A12382" s="45">
        <v>45793</v>
      </c>
      <c r="B12382" s="320" t="s">
        <v>13321</v>
      </c>
      <c r="C12382" s="44" t="s">
        <v>84</v>
      </c>
      <c r="D12382" s="44" t="s">
        <v>16232</v>
      </c>
      <c r="E12382" s="28">
        <v>3000</v>
      </c>
      <c r="F12382" s="43"/>
      <c r="G12382" s="48">
        <f t="shared" si="296"/>
        <v>353469.61330711353</v>
      </c>
      <c r="H12382" s="389" t="s">
        <v>9567</v>
      </c>
    </row>
    <row r="12383" spans="1:8" x14ac:dyDescent="0.3">
      <c r="A12383" s="45">
        <v>45793</v>
      </c>
      <c r="B12383" s="320" t="s">
        <v>13321</v>
      </c>
      <c r="C12383" s="44" t="s">
        <v>5793</v>
      </c>
      <c r="D12383" s="44" t="s">
        <v>2263</v>
      </c>
      <c r="E12383" s="28">
        <v>650</v>
      </c>
      <c r="F12383" s="43"/>
      <c r="G12383" s="48">
        <f t="shared" si="296"/>
        <v>352819.61330711353</v>
      </c>
      <c r="H12383" s="389" t="s">
        <v>9567</v>
      </c>
    </row>
    <row r="12384" spans="1:8" x14ac:dyDescent="0.3">
      <c r="A12384" s="45">
        <v>45794</v>
      </c>
      <c r="B12384" s="320" t="s">
        <v>15808</v>
      </c>
      <c r="C12384" s="44" t="s">
        <v>13425</v>
      </c>
      <c r="D12384" s="44" t="s">
        <v>16235</v>
      </c>
      <c r="E12384" s="28">
        <v>1410</v>
      </c>
      <c r="F12384" s="43"/>
      <c r="G12384" s="48">
        <f t="shared" si="296"/>
        <v>351409.61330711353</v>
      </c>
      <c r="H12384" s="389" t="s">
        <v>9567</v>
      </c>
    </row>
    <row r="12385" spans="1:8" x14ac:dyDescent="0.3">
      <c r="A12385" s="45">
        <v>45794</v>
      </c>
      <c r="B12385" s="320" t="s">
        <v>15623</v>
      </c>
      <c r="C12385" s="44" t="s">
        <v>5793</v>
      </c>
      <c r="D12385" s="44" t="s">
        <v>16236</v>
      </c>
      <c r="E12385" s="28">
        <v>600</v>
      </c>
      <c r="F12385" s="43"/>
      <c r="G12385" s="48">
        <f t="shared" si="296"/>
        <v>350809.61330711353</v>
      </c>
      <c r="H12385" s="389" t="s">
        <v>9567</v>
      </c>
    </row>
    <row r="12386" spans="1:8" x14ac:dyDescent="0.3">
      <c r="A12386" s="45">
        <v>45794</v>
      </c>
      <c r="B12386" s="320" t="s">
        <v>15623</v>
      </c>
      <c r="C12386" s="44" t="s">
        <v>11174</v>
      </c>
      <c r="D12386" s="44" t="s">
        <v>16237</v>
      </c>
      <c r="E12386" s="28">
        <v>3130</v>
      </c>
      <c r="F12386" s="43"/>
      <c r="G12386" s="48">
        <f t="shared" si="296"/>
        <v>347679.61330711353</v>
      </c>
      <c r="H12386" s="389" t="s">
        <v>9567</v>
      </c>
    </row>
    <row r="12387" spans="1:8" x14ac:dyDescent="0.3">
      <c r="A12387" s="45">
        <v>45794</v>
      </c>
      <c r="B12387" s="320" t="s">
        <v>25</v>
      </c>
      <c r="C12387" s="44" t="s">
        <v>26</v>
      </c>
      <c r="D12387" s="44" t="s">
        <v>11434</v>
      </c>
      <c r="E12387" s="28">
        <v>4000</v>
      </c>
      <c r="F12387" s="43"/>
      <c r="G12387" s="48">
        <f t="shared" si="296"/>
        <v>343679.61330711353</v>
      </c>
      <c r="H12387" s="389" t="s">
        <v>9567</v>
      </c>
    </row>
    <row r="12388" spans="1:8" x14ac:dyDescent="0.3">
      <c r="A12388" s="45">
        <v>45794</v>
      </c>
      <c r="B12388" s="320" t="s">
        <v>15623</v>
      </c>
      <c r="C12388" s="44" t="s">
        <v>11174</v>
      </c>
      <c r="D12388" s="44" t="s">
        <v>16243</v>
      </c>
      <c r="E12388" s="28">
        <v>39400</v>
      </c>
      <c r="F12388" s="43"/>
      <c r="G12388" s="48">
        <f t="shared" si="296"/>
        <v>304279.61330711353</v>
      </c>
      <c r="H12388" s="389" t="s">
        <v>9567</v>
      </c>
    </row>
    <row r="12389" spans="1:8" x14ac:dyDescent="0.3">
      <c r="A12389" s="45">
        <v>45794</v>
      </c>
      <c r="B12389" s="320" t="s">
        <v>15623</v>
      </c>
      <c r="C12389" s="44" t="s">
        <v>84</v>
      </c>
      <c r="D12389" s="44" t="s">
        <v>16244</v>
      </c>
      <c r="E12389" s="28">
        <v>8000</v>
      </c>
      <c r="F12389" s="43"/>
      <c r="G12389" s="48">
        <f t="shared" si="296"/>
        <v>296279.61330711353</v>
      </c>
      <c r="H12389" s="389" t="s">
        <v>9567</v>
      </c>
    </row>
    <row r="12390" spans="1:8" x14ac:dyDescent="0.3">
      <c r="A12390" s="45">
        <v>45794</v>
      </c>
      <c r="B12390" s="320" t="s">
        <v>13833</v>
      </c>
      <c r="C12390" s="44" t="s">
        <v>26</v>
      </c>
      <c r="D12390" s="44" t="s">
        <v>16245</v>
      </c>
      <c r="E12390" s="28">
        <v>4000</v>
      </c>
      <c r="F12390" s="43"/>
      <c r="G12390" s="48">
        <f t="shared" si="296"/>
        <v>292279.61330711353</v>
      </c>
      <c r="H12390" s="389" t="s">
        <v>9567</v>
      </c>
    </row>
    <row r="12391" spans="1:8" x14ac:dyDescent="0.3">
      <c r="A12391" s="45">
        <v>45794</v>
      </c>
      <c r="B12391" s="320" t="s">
        <v>13902</v>
      </c>
      <c r="C12391" s="44" t="s">
        <v>5793</v>
      </c>
      <c r="D12391" s="44" t="s">
        <v>40</v>
      </c>
      <c r="E12391" s="28">
        <v>500</v>
      </c>
      <c r="F12391" s="43"/>
      <c r="G12391" s="48">
        <f t="shared" si="296"/>
        <v>291779.61330711353</v>
      </c>
      <c r="H12391" s="389" t="s">
        <v>9567</v>
      </c>
    </row>
    <row r="12392" spans="1:8" ht="37.5" x14ac:dyDescent="0.3">
      <c r="A12392" s="45">
        <v>45794</v>
      </c>
      <c r="B12392" s="320" t="s">
        <v>15993</v>
      </c>
      <c r="C12392" s="44" t="s">
        <v>11174</v>
      </c>
      <c r="D12392" s="133" t="s">
        <v>16255</v>
      </c>
      <c r="E12392" s="28">
        <v>70000</v>
      </c>
      <c r="F12392" s="43"/>
      <c r="G12392" s="48">
        <f t="shared" si="296"/>
        <v>221779.61330711353</v>
      </c>
      <c r="H12392" s="389" t="s">
        <v>9567</v>
      </c>
    </row>
    <row r="12393" spans="1:8" x14ac:dyDescent="0.3">
      <c r="A12393" s="45">
        <v>45796</v>
      </c>
      <c r="B12393" s="320" t="s">
        <v>13902</v>
      </c>
      <c r="C12393" s="44" t="s">
        <v>11174</v>
      </c>
      <c r="D12393" s="133" t="s">
        <v>16257</v>
      </c>
      <c r="E12393" s="28">
        <v>2550</v>
      </c>
      <c r="F12393" s="43"/>
      <c r="G12393" s="48">
        <f t="shared" si="296"/>
        <v>219229.61330711353</v>
      </c>
      <c r="H12393" s="389" t="s">
        <v>9567</v>
      </c>
    </row>
    <row r="12394" spans="1:8" x14ac:dyDescent="0.3">
      <c r="A12394" s="45">
        <v>45796</v>
      </c>
      <c r="B12394" s="320" t="s">
        <v>16159</v>
      </c>
      <c r="C12394" s="44" t="s">
        <v>11174</v>
      </c>
      <c r="D12394" s="133" t="s">
        <v>16287</v>
      </c>
      <c r="E12394" s="28">
        <v>6000</v>
      </c>
      <c r="F12394" s="43"/>
      <c r="G12394" s="48">
        <f t="shared" si="296"/>
        <v>213229.61330711353</v>
      </c>
      <c r="H12394" s="389" t="s">
        <v>9567</v>
      </c>
    </row>
    <row r="12395" spans="1:8" x14ac:dyDescent="0.3">
      <c r="A12395" s="45">
        <v>45796</v>
      </c>
      <c r="B12395" s="320" t="s">
        <v>15623</v>
      </c>
      <c r="C12395" s="44" t="s">
        <v>11174</v>
      </c>
      <c r="D12395" s="133" t="s">
        <v>16258</v>
      </c>
      <c r="E12395" s="28">
        <v>14400</v>
      </c>
      <c r="F12395" s="43"/>
      <c r="G12395" s="48">
        <f t="shared" si="296"/>
        <v>198829.61330711353</v>
      </c>
      <c r="H12395" s="389" t="s">
        <v>9567</v>
      </c>
    </row>
    <row r="12396" spans="1:8" ht="37.5" x14ac:dyDescent="0.3">
      <c r="A12396" s="45">
        <v>45796</v>
      </c>
      <c r="B12396" s="320" t="s">
        <v>14524</v>
      </c>
      <c r="C12396" s="44" t="s">
        <v>11174</v>
      </c>
      <c r="D12396" s="133" t="s">
        <v>16259</v>
      </c>
      <c r="E12396" s="28">
        <v>19800</v>
      </c>
      <c r="F12396" s="43"/>
      <c r="G12396" s="48">
        <f t="shared" si="296"/>
        <v>179029.61330711353</v>
      </c>
      <c r="H12396" s="389" t="s">
        <v>9567</v>
      </c>
    </row>
    <row r="12397" spans="1:8" x14ac:dyDescent="0.3">
      <c r="A12397" s="45">
        <v>45796</v>
      </c>
      <c r="B12397" s="320" t="s">
        <v>15928</v>
      </c>
      <c r="C12397" s="44" t="s">
        <v>13425</v>
      </c>
      <c r="D12397" s="133" t="s">
        <v>9252</v>
      </c>
      <c r="E12397" s="28">
        <v>500</v>
      </c>
      <c r="F12397" s="43"/>
      <c r="G12397" s="48">
        <f t="shared" si="296"/>
        <v>178529.61330711353</v>
      </c>
      <c r="H12397" s="389" t="s">
        <v>9567</v>
      </c>
    </row>
    <row r="12398" spans="1:8" x14ac:dyDescent="0.3">
      <c r="A12398" s="45">
        <v>45796</v>
      </c>
      <c r="B12398" s="320" t="s">
        <v>14590</v>
      </c>
      <c r="C12398" s="44" t="s">
        <v>5793</v>
      </c>
      <c r="D12398" s="133" t="s">
        <v>16264</v>
      </c>
      <c r="E12398" s="28">
        <v>2200</v>
      </c>
      <c r="F12398" s="43"/>
      <c r="G12398" s="48">
        <f t="shared" si="296"/>
        <v>176329.61330711353</v>
      </c>
      <c r="H12398" s="389" t="s">
        <v>9567</v>
      </c>
    </row>
    <row r="12399" spans="1:8" x14ac:dyDescent="0.3">
      <c r="A12399" s="45">
        <v>45796</v>
      </c>
      <c r="B12399" s="320" t="s">
        <v>13833</v>
      </c>
      <c r="C12399" s="44" t="s">
        <v>5793</v>
      </c>
      <c r="D12399" s="133" t="s">
        <v>16265</v>
      </c>
      <c r="E12399" s="28">
        <v>1800</v>
      </c>
      <c r="F12399" s="43"/>
      <c r="G12399" s="48">
        <f t="shared" si="296"/>
        <v>174529.61330711353</v>
      </c>
      <c r="H12399" s="389" t="s">
        <v>9567</v>
      </c>
    </row>
    <row r="12400" spans="1:8" x14ac:dyDescent="0.3">
      <c r="A12400" s="45">
        <v>45796</v>
      </c>
      <c r="B12400" s="320" t="s">
        <v>25</v>
      </c>
      <c r="C12400" s="44" t="s">
        <v>26</v>
      </c>
      <c r="D12400" s="44" t="s">
        <v>11434</v>
      </c>
      <c r="E12400" s="28">
        <v>4000</v>
      </c>
      <c r="F12400" s="43"/>
      <c r="G12400" s="48">
        <f t="shared" si="296"/>
        <v>170529.61330711353</v>
      </c>
      <c r="H12400" s="389" t="s">
        <v>9567</v>
      </c>
    </row>
    <row r="12401" spans="1:9" x14ac:dyDescent="0.3">
      <c r="A12401" s="45">
        <v>45796</v>
      </c>
      <c r="B12401" s="320" t="s">
        <v>12230</v>
      </c>
      <c r="C12401" s="44" t="s">
        <v>1074</v>
      </c>
      <c r="D12401" s="133" t="s">
        <v>6280</v>
      </c>
      <c r="E12401" s="28">
        <v>3160</v>
      </c>
      <c r="F12401" s="43"/>
      <c r="G12401" s="48">
        <f t="shared" si="296"/>
        <v>167369.61330711353</v>
      </c>
      <c r="H12401" s="389" t="s">
        <v>9567</v>
      </c>
    </row>
    <row r="12402" spans="1:9" x14ac:dyDescent="0.3">
      <c r="A12402" s="45">
        <v>45796</v>
      </c>
      <c r="B12402" s="320" t="s">
        <v>25</v>
      </c>
      <c r="C12402" s="44" t="s">
        <v>1074</v>
      </c>
      <c r="D12402" s="133" t="s">
        <v>6280</v>
      </c>
      <c r="E12402" s="28">
        <v>13050</v>
      </c>
      <c r="F12402" s="43"/>
      <c r="G12402" s="48">
        <f t="shared" si="296"/>
        <v>154319.61330711353</v>
      </c>
      <c r="H12402" s="389" t="s">
        <v>9567</v>
      </c>
    </row>
    <row r="12403" spans="1:9" x14ac:dyDescent="0.3">
      <c r="A12403" s="45">
        <v>45796</v>
      </c>
      <c r="B12403" s="320" t="s">
        <v>10319</v>
      </c>
      <c r="C12403" s="44" t="s">
        <v>30</v>
      </c>
      <c r="D12403" s="133" t="s">
        <v>16266</v>
      </c>
      <c r="E12403" s="28">
        <v>5000</v>
      </c>
      <c r="F12403" s="43"/>
      <c r="G12403" s="48">
        <f t="shared" si="296"/>
        <v>149319.61330711353</v>
      </c>
      <c r="H12403" s="389" t="s">
        <v>9567</v>
      </c>
    </row>
    <row r="12404" spans="1:9" x14ac:dyDescent="0.3">
      <c r="A12404" s="45">
        <v>45796</v>
      </c>
      <c r="B12404" s="320" t="s">
        <v>25</v>
      </c>
      <c r="C12404" s="44" t="s">
        <v>26</v>
      </c>
      <c r="D12404" s="133" t="s">
        <v>16268</v>
      </c>
      <c r="E12404" s="28">
        <v>300</v>
      </c>
      <c r="F12404" s="43"/>
      <c r="G12404" s="48">
        <f t="shared" si="296"/>
        <v>149019.61330711353</v>
      </c>
      <c r="H12404" s="389" t="s">
        <v>9567</v>
      </c>
    </row>
    <row r="12405" spans="1:9" x14ac:dyDescent="0.3">
      <c r="A12405" s="45">
        <v>45797</v>
      </c>
      <c r="B12405" s="320" t="s">
        <v>15623</v>
      </c>
      <c r="C12405" s="44" t="s">
        <v>11174</v>
      </c>
      <c r="D12405" s="133" t="s">
        <v>16269</v>
      </c>
      <c r="E12405" s="28">
        <v>1750</v>
      </c>
      <c r="F12405" s="43"/>
      <c r="G12405" s="48">
        <f t="shared" si="296"/>
        <v>147269.61330711353</v>
      </c>
      <c r="H12405" s="389" t="s">
        <v>9567</v>
      </c>
    </row>
    <row r="12406" spans="1:9" x14ac:dyDescent="0.3">
      <c r="A12406" s="45">
        <v>45797</v>
      </c>
      <c r="B12406" s="320" t="s">
        <v>25</v>
      </c>
      <c r="C12406" s="44" t="s">
        <v>26</v>
      </c>
      <c r="D12406" s="44" t="s">
        <v>11434</v>
      </c>
      <c r="E12406" s="28">
        <v>4000</v>
      </c>
      <c r="F12406" s="43"/>
      <c r="G12406" s="48">
        <f t="shared" si="296"/>
        <v>143269.61330711353</v>
      </c>
      <c r="H12406" s="389" t="s">
        <v>9567</v>
      </c>
    </row>
    <row r="12407" spans="1:9" x14ac:dyDescent="0.3">
      <c r="A12407" s="45">
        <v>45797</v>
      </c>
      <c r="B12407" s="320" t="s">
        <v>12230</v>
      </c>
      <c r="C12407" s="44" t="s">
        <v>1074</v>
      </c>
      <c r="D12407" s="44" t="s">
        <v>12215</v>
      </c>
      <c r="E12407" s="28">
        <v>62819</v>
      </c>
      <c r="F12407" s="43"/>
      <c r="G12407" s="48">
        <f t="shared" si="296"/>
        <v>80450.613307113526</v>
      </c>
      <c r="H12407" s="389" t="s">
        <v>9567</v>
      </c>
    </row>
    <row r="12408" spans="1:9" x14ac:dyDescent="0.3">
      <c r="A12408" s="45">
        <v>45797</v>
      </c>
      <c r="B12408" s="320" t="s">
        <v>25</v>
      </c>
      <c r="C12408" s="44" t="s">
        <v>1074</v>
      </c>
      <c r="D12408" s="44" t="s">
        <v>12215</v>
      </c>
      <c r="E12408" s="28">
        <v>56738</v>
      </c>
      <c r="F12408" s="43"/>
      <c r="G12408" s="48">
        <f t="shared" si="296"/>
        <v>23712.613307113526</v>
      </c>
      <c r="H12408" s="389" t="s">
        <v>9567</v>
      </c>
    </row>
    <row r="12409" spans="1:9" x14ac:dyDescent="0.3">
      <c r="A12409" s="45">
        <v>45797</v>
      </c>
      <c r="B12409" s="565"/>
      <c r="C12409" s="480"/>
      <c r="D12409" s="491" t="s">
        <v>4364</v>
      </c>
      <c r="E12409" s="480"/>
      <c r="F12409" s="43">
        <v>300000</v>
      </c>
      <c r="G12409" s="48">
        <f t="shared" si="296"/>
        <v>323712.61330711353</v>
      </c>
      <c r="H12409" s="389" t="s">
        <v>9567</v>
      </c>
    </row>
    <row r="12410" spans="1:9" x14ac:dyDescent="0.3">
      <c r="A12410" s="45">
        <v>45797</v>
      </c>
      <c r="B12410" s="320" t="s">
        <v>13321</v>
      </c>
      <c r="C12410" s="44" t="s">
        <v>14</v>
      </c>
      <c r="D12410" s="133" t="s">
        <v>16289</v>
      </c>
      <c r="E12410" s="28">
        <v>50000</v>
      </c>
      <c r="F12410" s="43"/>
      <c r="G12410" s="48">
        <f t="shared" si="296"/>
        <v>273712.61330711353</v>
      </c>
      <c r="H12410" s="389" t="s">
        <v>9567</v>
      </c>
    </row>
    <row r="12411" spans="1:9" x14ac:dyDescent="0.3">
      <c r="A12411" s="45">
        <v>45797</v>
      </c>
      <c r="B12411" s="320" t="s">
        <v>14590</v>
      </c>
      <c r="C12411" s="44" t="s">
        <v>5793</v>
      </c>
      <c r="D12411" s="133" t="s">
        <v>40</v>
      </c>
      <c r="E12411" s="28">
        <v>800</v>
      </c>
      <c r="F12411" s="43"/>
      <c r="G12411" s="48">
        <f t="shared" si="296"/>
        <v>272912.61330711353</v>
      </c>
      <c r="H12411" s="389" t="s">
        <v>9567</v>
      </c>
    </row>
    <row r="12412" spans="1:9" x14ac:dyDescent="0.3">
      <c r="A12412" s="45">
        <v>45797</v>
      </c>
      <c r="B12412" s="320" t="s">
        <v>15623</v>
      </c>
      <c r="C12412" s="44" t="s">
        <v>5793</v>
      </c>
      <c r="D12412" s="133" t="s">
        <v>40</v>
      </c>
      <c r="E12412" s="28">
        <v>1000</v>
      </c>
      <c r="F12412" s="43"/>
      <c r="G12412" s="48">
        <f t="shared" si="296"/>
        <v>271912.61330711353</v>
      </c>
      <c r="H12412" s="389" t="s">
        <v>9567</v>
      </c>
    </row>
    <row r="12413" spans="1:9" ht="37.5" x14ac:dyDescent="0.3">
      <c r="A12413" s="45">
        <v>45798</v>
      </c>
      <c r="B12413" s="320" t="s">
        <v>13946</v>
      </c>
      <c r="C12413" s="44" t="s">
        <v>4550</v>
      </c>
      <c r="D12413" s="133" t="s">
        <v>16288</v>
      </c>
      <c r="E12413" s="28">
        <v>100000</v>
      </c>
      <c r="F12413" s="43"/>
      <c r="G12413" s="48">
        <f t="shared" si="296"/>
        <v>171912.61330711353</v>
      </c>
      <c r="H12413" s="535" t="s">
        <v>9567</v>
      </c>
    </row>
    <row r="12414" spans="1:9" x14ac:dyDescent="0.3">
      <c r="A12414" s="45">
        <v>45798</v>
      </c>
      <c r="B12414" s="320" t="s">
        <v>15623</v>
      </c>
      <c r="C12414" s="44" t="s">
        <v>11174</v>
      </c>
      <c r="D12414" s="133" t="s">
        <v>16290</v>
      </c>
      <c r="E12414" s="28">
        <v>6740</v>
      </c>
      <c r="F12414" s="43"/>
      <c r="G12414" s="48">
        <f t="shared" si="296"/>
        <v>165172.61330711353</v>
      </c>
      <c r="H12414" s="535" t="s">
        <v>9567</v>
      </c>
    </row>
    <row r="12415" spans="1:9" x14ac:dyDescent="0.3">
      <c r="A12415" s="45">
        <v>45798</v>
      </c>
      <c r="B12415" s="320" t="s">
        <v>25</v>
      </c>
      <c r="C12415" s="44" t="s">
        <v>26</v>
      </c>
      <c r="D12415" s="44" t="s">
        <v>11434</v>
      </c>
      <c r="E12415" s="28">
        <v>3000</v>
      </c>
      <c r="F12415" s="43"/>
      <c r="G12415" s="48">
        <f t="shared" si="296"/>
        <v>162172.61330711353</v>
      </c>
      <c r="H12415" s="535" t="s">
        <v>9567</v>
      </c>
    </row>
    <row r="12416" spans="1:9" x14ac:dyDescent="0.3">
      <c r="A12416" s="45">
        <v>45798</v>
      </c>
      <c r="B12416" s="320" t="s">
        <v>13321</v>
      </c>
      <c r="C12416" s="44" t="s">
        <v>14</v>
      </c>
      <c r="D12416" s="133" t="s">
        <v>294</v>
      </c>
      <c r="E12416" s="28">
        <v>50000</v>
      </c>
      <c r="F12416" s="43"/>
      <c r="G12416" s="48">
        <f t="shared" si="296"/>
        <v>112172.61330711353</v>
      </c>
      <c r="H12416" s="535" t="s">
        <v>9567</v>
      </c>
      <c r="I12416" s="52">
        <f>135000*2</f>
        <v>270000</v>
      </c>
    </row>
    <row r="12417" spans="1:9" x14ac:dyDescent="0.3">
      <c r="A12417" s="45">
        <v>45798</v>
      </c>
      <c r="B12417" s="320" t="s">
        <v>15623</v>
      </c>
      <c r="C12417" s="44" t="s">
        <v>11174</v>
      </c>
      <c r="D12417" s="133" t="s">
        <v>14991</v>
      </c>
      <c r="E12417" s="28">
        <v>800</v>
      </c>
      <c r="F12417" s="43"/>
      <c r="G12417" s="48">
        <f t="shared" si="296"/>
        <v>111372.61330711353</v>
      </c>
      <c r="H12417" s="535" t="s">
        <v>9567</v>
      </c>
      <c r="I12417" s="52">
        <f>I12416*18%</f>
        <v>48600</v>
      </c>
    </row>
    <row r="12418" spans="1:9" x14ac:dyDescent="0.3">
      <c r="A12418" s="45">
        <v>45798</v>
      </c>
      <c r="B12418" s="320" t="s">
        <v>15878</v>
      </c>
      <c r="C12418" s="44" t="s">
        <v>5162</v>
      </c>
      <c r="D12418" s="133" t="s">
        <v>294</v>
      </c>
      <c r="E12418" s="28">
        <v>500</v>
      </c>
      <c r="F12418" s="43"/>
      <c r="G12418" s="48">
        <f t="shared" si="296"/>
        <v>110872.61330711353</v>
      </c>
      <c r="H12418" s="535" t="s">
        <v>9567</v>
      </c>
    </row>
    <row r="12419" spans="1:9" x14ac:dyDescent="0.3">
      <c r="A12419" s="45">
        <v>45799</v>
      </c>
      <c r="B12419" s="908" t="s">
        <v>14590</v>
      </c>
      <c r="C12419" s="909" t="s">
        <v>11174</v>
      </c>
      <c r="D12419" s="910" t="s">
        <v>16301</v>
      </c>
      <c r="E12419" s="48">
        <v>3700</v>
      </c>
      <c r="F12419" s="43"/>
      <c r="G12419" s="48">
        <f t="shared" si="296"/>
        <v>107172.61330711353</v>
      </c>
      <c r="H12419" s="535" t="s">
        <v>9567</v>
      </c>
    </row>
    <row r="12420" spans="1:9" x14ac:dyDescent="0.3">
      <c r="A12420" s="45">
        <v>45799</v>
      </c>
      <c r="B12420" s="320" t="s">
        <v>15928</v>
      </c>
      <c r="C12420" s="44" t="s">
        <v>11174</v>
      </c>
      <c r="D12420" s="133" t="s">
        <v>16296</v>
      </c>
      <c r="E12420" s="28">
        <v>440</v>
      </c>
      <c r="F12420" s="43"/>
      <c r="G12420" s="48">
        <f t="shared" si="296"/>
        <v>106732.61330711353</v>
      </c>
      <c r="H12420" s="535" t="s">
        <v>9567</v>
      </c>
      <c r="I12420" s="52">
        <f>I12417+I12416</f>
        <v>318600</v>
      </c>
    </row>
    <row r="12421" spans="1:9" x14ac:dyDescent="0.3">
      <c r="A12421" s="45">
        <v>45799</v>
      </c>
      <c r="B12421" s="320" t="s">
        <v>15928</v>
      </c>
      <c r="C12421" s="44" t="s">
        <v>11174</v>
      </c>
      <c r="D12421" s="133" t="s">
        <v>16297</v>
      </c>
      <c r="E12421" s="28">
        <v>4400</v>
      </c>
      <c r="F12421" s="43"/>
      <c r="G12421" s="48">
        <f t="shared" si="296"/>
        <v>102332.61330711353</v>
      </c>
      <c r="H12421" s="535" t="s">
        <v>9567</v>
      </c>
    </row>
    <row r="12422" spans="1:9" x14ac:dyDescent="0.3">
      <c r="A12422" s="45">
        <v>45799</v>
      </c>
      <c r="B12422" s="320" t="s">
        <v>14590</v>
      </c>
      <c r="C12422" s="44" t="s">
        <v>5793</v>
      </c>
      <c r="D12422" s="133" t="s">
        <v>40</v>
      </c>
      <c r="E12422" s="28">
        <v>3000</v>
      </c>
      <c r="F12422" s="43"/>
      <c r="G12422" s="48">
        <f t="shared" si="296"/>
        <v>99332.613307113526</v>
      </c>
      <c r="H12422" s="535" t="s">
        <v>9567</v>
      </c>
    </row>
    <row r="12423" spans="1:9" x14ac:dyDescent="0.3">
      <c r="A12423" s="45">
        <v>45799</v>
      </c>
      <c r="B12423" s="320" t="s">
        <v>25</v>
      </c>
      <c r="C12423" s="44" t="s">
        <v>26</v>
      </c>
      <c r="D12423" s="44" t="s">
        <v>11434</v>
      </c>
      <c r="E12423" s="28">
        <v>3000</v>
      </c>
      <c r="F12423" s="43"/>
      <c r="G12423" s="48">
        <f t="shared" si="296"/>
        <v>96332.613307113526</v>
      </c>
      <c r="H12423" s="535" t="s">
        <v>9567</v>
      </c>
    </row>
    <row r="12424" spans="1:9" x14ac:dyDescent="0.3">
      <c r="A12424" s="45">
        <v>45799</v>
      </c>
      <c r="B12424" s="320" t="s">
        <v>13138</v>
      </c>
      <c r="C12424" s="44" t="s">
        <v>84</v>
      </c>
      <c r="D12424" s="133" t="s">
        <v>16300</v>
      </c>
      <c r="E12424" s="28">
        <v>5000</v>
      </c>
      <c r="F12424" s="43"/>
      <c r="G12424" s="48">
        <f t="shared" si="296"/>
        <v>91332.613307113526</v>
      </c>
      <c r="H12424" s="535" t="s">
        <v>9567</v>
      </c>
    </row>
    <row r="12425" spans="1:9" ht="37.5" x14ac:dyDescent="0.3">
      <c r="A12425" s="45">
        <v>45799</v>
      </c>
      <c r="B12425" s="320" t="s">
        <v>15623</v>
      </c>
      <c r="C12425" s="44" t="s">
        <v>15861</v>
      </c>
      <c r="D12425" s="133" t="s">
        <v>16303</v>
      </c>
      <c r="E12425" s="28">
        <v>7000</v>
      </c>
      <c r="F12425" s="43"/>
      <c r="G12425" s="48">
        <f t="shared" si="296"/>
        <v>84332.613307113526</v>
      </c>
      <c r="H12425" s="535" t="s">
        <v>9567</v>
      </c>
    </row>
    <row r="12426" spans="1:9" x14ac:dyDescent="0.3">
      <c r="A12426" s="45">
        <v>45799</v>
      </c>
      <c r="B12426" s="320" t="s">
        <v>15928</v>
      </c>
      <c r="C12426" s="44" t="s">
        <v>18</v>
      </c>
      <c r="D12426" s="133" t="s">
        <v>16304</v>
      </c>
      <c r="E12426" s="28">
        <v>10000</v>
      </c>
      <c r="F12426" s="43"/>
      <c r="G12426" s="48">
        <f t="shared" si="296"/>
        <v>74332.613307113526</v>
      </c>
      <c r="H12426" s="535" t="s">
        <v>9567</v>
      </c>
    </row>
    <row r="12427" spans="1:9" x14ac:dyDescent="0.3">
      <c r="A12427" s="45">
        <v>45799</v>
      </c>
      <c r="B12427" s="320"/>
      <c r="C12427" s="44" t="s">
        <v>14</v>
      </c>
      <c r="D12427" s="133" t="s">
        <v>294</v>
      </c>
      <c r="E12427" s="28">
        <f>58000-15000-40000+5000</f>
        <v>8000</v>
      </c>
      <c r="F12427" s="43"/>
      <c r="G12427" s="48">
        <f t="shared" si="296"/>
        <v>66332.613307113526</v>
      </c>
      <c r="H12427" s="535" t="s">
        <v>9567</v>
      </c>
    </row>
    <row r="12428" spans="1:9" x14ac:dyDescent="0.3">
      <c r="A12428" s="45">
        <v>45799</v>
      </c>
      <c r="B12428" s="320" t="s">
        <v>25</v>
      </c>
      <c r="C12428" s="44" t="s">
        <v>26</v>
      </c>
      <c r="D12428" s="44" t="s">
        <v>11434</v>
      </c>
      <c r="E12428" s="28">
        <v>4000</v>
      </c>
      <c r="F12428" s="43"/>
      <c r="G12428" s="48">
        <f t="shared" si="296"/>
        <v>62332.613307113526</v>
      </c>
      <c r="H12428" s="535" t="s">
        <v>9567</v>
      </c>
    </row>
    <row r="12429" spans="1:9" x14ac:dyDescent="0.3">
      <c r="A12429" s="45">
        <v>45803</v>
      </c>
      <c r="B12429" s="320" t="s">
        <v>12230</v>
      </c>
      <c r="C12429" s="44" t="s">
        <v>26</v>
      </c>
      <c r="D12429" s="133" t="s">
        <v>16312</v>
      </c>
      <c r="E12429" s="28">
        <v>3200</v>
      </c>
      <c r="F12429" s="43"/>
      <c r="G12429" s="48">
        <f t="shared" si="296"/>
        <v>59132.613307113526</v>
      </c>
      <c r="H12429" s="535" t="s">
        <v>9567</v>
      </c>
    </row>
    <row r="12430" spans="1:9" x14ac:dyDescent="0.3">
      <c r="A12430" s="45">
        <v>45803</v>
      </c>
      <c r="B12430" s="320" t="s">
        <v>16159</v>
      </c>
      <c r="C12430" s="44" t="s">
        <v>11174</v>
      </c>
      <c r="D12430" s="133" t="s">
        <v>16311</v>
      </c>
      <c r="E12430" s="28">
        <v>3800</v>
      </c>
      <c r="F12430" s="43"/>
      <c r="G12430" s="48">
        <f t="shared" si="296"/>
        <v>55332.613307113526</v>
      </c>
      <c r="H12430" s="535" t="s">
        <v>9567</v>
      </c>
    </row>
    <row r="12431" spans="1:9" x14ac:dyDescent="0.3">
      <c r="A12431" s="45">
        <v>45803</v>
      </c>
      <c r="B12431" s="320" t="s">
        <v>15623</v>
      </c>
      <c r="C12431" s="44" t="s">
        <v>15861</v>
      </c>
      <c r="D12431" s="133" t="s">
        <v>15685</v>
      </c>
      <c r="E12431" s="28">
        <v>2000</v>
      </c>
      <c r="F12431" s="43"/>
      <c r="G12431" s="48">
        <f t="shared" si="296"/>
        <v>53332.613307113526</v>
      </c>
      <c r="H12431" s="535" t="s">
        <v>9567</v>
      </c>
    </row>
    <row r="12432" spans="1:9" x14ac:dyDescent="0.3">
      <c r="A12432" s="45">
        <v>45803</v>
      </c>
      <c r="B12432" s="320" t="s">
        <v>15623</v>
      </c>
      <c r="C12432" s="44" t="s">
        <v>11174</v>
      </c>
      <c r="D12432" s="133" t="s">
        <v>15247</v>
      </c>
      <c r="E12432" s="28">
        <v>1900</v>
      </c>
      <c r="F12432" s="43"/>
      <c r="G12432" s="48">
        <f t="shared" si="296"/>
        <v>51432.613307113526</v>
      </c>
      <c r="H12432" s="535" t="s">
        <v>9567</v>
      </c>
    </row>
    <row r="12433" spans="1:8" x14ac:dyDescent="0.3">
      <c r="A12433" s="45">
        <v>45803</v>
      </c>
      <c r="B12433" s="320" t="s">
        <v>25</v>
      </c>
      <c r="C12433" s="44" t="s">
        <v>26</v>
      </c>
      <c r="D12433" s="44" t="s">
        <v>11434</v>
      </c>
      <c r="E12433" s="28">
        <v>4000</v>
      </c>
      <c r="F12433" s="43"/>
      <c r="G12433" s="48">
        <f t="shared" si="296"/>
        <v>47432.613307113526</v>
      </c>
      <c r="H12433" s="535" t="s">
        <v>9567</v>
      </c>
    </row>
    <row r="12434" spans="1:8" x14ac:dyDescent="0.3">
      <c r="A12434" s="45">
        <v>45803</v>
      </c>
      <c r="B12434" s="320" t="s">
        <v>13833</v>
      </c>
      <c r="C12434" s="44" t="s">
        <v>11174</v>
      </c>
      <c r="D12434" s="133" t="s">
        <v>16313</v>
      </c>
      <c r="E12434" s="28">
        <v>1000</v>
      </c>
      <c r="F12434" s="43"/>
      <c r="G12434" s="48">
        <f t="shared" si="296"/>
        <v>46432.613307113526</v>
      </c>
      <c r="H12434" s="535" t="s">
        <v>9567</v>
      </c>
    </row>
    <row r="12435" spans="1:8" x14ac:dyDescent="0.3">
      <c r="A12435" s="45">
        <v>45803</v>
      </c>
      <c r="B12435" s="320" t="s">
        <v>16159</v>
      </c>
      <c r="C12435" s="44" t="s">
        <v>5793</v>
      </c>
      <c r="D12435" s="133" t="s">
        <v>15458</v>
      </c>
      <c r="E12435" s="28">
        <v>18000</v>
      </c>
      <c r="F12435" s="43"/>
      <c r="G12435" s="48">
        <f t="shared" si="296"/>
        <v>28432.613307113526</v>
      </c>
      <c r="H12435" s="535" t="s">
        <v>9567</v>
      </c>
    </row>
    <row r="12436" spans="1:8" x14ac:dyDescent="0.3">
      <c r="A12436" s="45">
        <v>45804</v>
      </c>
      <c r="B12436" s="320" t="s">
        <v>16171</v>
      </c>
      <c r="C12436" s="44" t="s">
        <v>30</v>
      </c>
      <c r="D12436" s="133" t="s">
        <v>16325</v>
      </c>
      <c r="E12436" s="28">
        <v>1000</v>
      </c>
      <c r="F12436" s="43"/>
      <c r="G12436" s="48">
        <f t="shared" si="296"/>
        <v>27432.613307113526</v>
      </c>
      <c r="H12436" s="535" t="s">
        <v>9567</v>
      </c>
    </row>
    <row r="12437" spans="1:8" x14ac:dyDescent="0.3">
      <c r="A12437" s="45">
        <v>45804</v>
      </c>
      <c r="B12437" s="320" t="s">
        <v>15808</v>
      </c>
      <c r="C12437" s="44" t="s">
        <v>13425</v>
      </c>
      <c r="D12437" s="133" t="s">
        <v>40</v>
      </c>
      <c r="E12437" s="28">
        <v>570</v>
      </c>
      <c r="F12437" s="43"/>
      <c r="G12437" s="48">
        <f t="shared" si="296"/>
        <v>26862.613307113526</v>
      </c>
      <c r="H12437" s="535" t="s">
        <v>10757</v>
      </c>
    </row>
    <row r="12438" spans="1:8" ht="37.5" x14ac:dyDescent="0.3">
      <c r="A12438" s="45">
        <v>45804</v>
      </c>
      <c r="B12438" s="320" t="s">
        <v>16159</v>
      </c>
      <c r="C12438" s="44" t="s">
        <v>9457</v>
      </c>
      <c r="D12438" s="133" t="s">
        <v>16327</v>
      </c>
      <c r="E12438" s="28">
        <v>3400</v>
      </c>
      <c r="F12438" s="43"/>
      <c r="G12438" s="48">
        <f t="shared" si="296"/>
        <v>23462.613307113526</v>
      </c>
      <c r="H12438" s="535" t="s">
        <v>10757</v>
      </c>
    </row>
    <row r="12439" spans="1:8" x14ac:dyDescent="0.3">
      <c r="A12439" s="45">
        <v>45804</v>
      </c>
      <c r="B12439" s="320" t="s">
        <v>16159</v>
      </c>
      <c r="C12439" s="44" t="s">
        <v>30</v>
      </c>
      <c r="D12439" s="133" t="s">
        <v>15604</v>
      </c>
      <c r="E12439" s="28">
        <v>900</v>
      </c>
      <c r="F12439" s="43"/>
      <c r="G12439" s="48">
        <f t="shared" si="296"/>
        <v>22562.613307113526</v>
      </c>
      <c r="H12439" s="535" t="s">
        <v>10757</v>
      </c>
    </row>
    <row r="12440" spans="1:8" x14ac:dyDescent="0.3">
      <c r="A12440" s="45">
        <v>45804</v>
      </c>
      <c r="B12440" s="320" t="s">
        <v>15162</v>
      </c>
      <c r="C12440" s="44" t="s">
        <v>5793</v>
      </c>
      <c r="D12440" s="133" t="s">
        <v>40</v>
      </c>
      <c r="E12440" s="28">
        <v>500</v>
      </c>
      <c r="F12440" s="43"/>
      <c r="G12440" s="48">
        <f t="shared" si="296"/>
        <v>22062.613307113526</v>
      </c>
      <c r="H12440" s="535" t="s">
        <v>10757</v>
      </c>
    </row>
    <row r="12441" spans="1:8" x14ac:dyDescent="0.3">
      <c r="A12441" s="45">
        <v>45804</v>
      </c>
      <c r="B12441" s="320" t="s">
        <v>15421</v>
      </c>
      <c r="C12441" s="44" t="s">
        <v>26</v>
      </c>
      <c r="D12441" s="133" t="s">
        <v>16329</v>
      </c>
      <c r="E12441" s="28">
        <v>2600</v>
      </c>
      <c r="F12441" s="43"/>
      <c r="G12441" s="48">
        <f t="shared" si="296"/>
        <v>19462.613307113526</v>
      </c>
      <c r="H12441" s="535" t="s">
        <v>10757</v>
      </c>
    </row>
    <row r="12442" spans="1:8" x14ac:dyDescent="0.3">
      <c r="A12442" s="45">
        <v>45804</v>
      </c>
      <c r="B12442" s="320" t="s">
        <v>25</v>
      </c>
      <c r="C12442" s="44" t="s">
        <v>26</v>
      </c>
      <c r="D12442" s="44" t="s">
        <v>11434</v>
      </c>
      <c r="E12442" s="28">
        <v>3000</v>
      </c>
      <c r="F12442" s="43"/>
      <c r="G12442" s="48">
        <f t="shared" si="296"/>
        <v>16462.613307113526</v>
      </c>
      <c r="H12442" s="535" t="s">
        <v>10757</v>
      </c>
    </row>
    <row r="12443" spans="1:8" x14ac:dyDescent="0.3">
      <c r="A12443" s="45">
        <v>45804</v>
      </c>
      <c r="B12443" s="320" t="s">
        <v>15421</v>
      </c>
      <c r="C12443" s="44" t="s">
        <v>26</v>
      </c>
      <c r="D12443" s="133" t="s">
        <v>16331</v>
      </c>
      <c r="E12443" s="28">
        <v>1000</v>
      </c>
      <c r="F12443" s="43"/>
      <c r="G12443" s="48">
        <f t="shared" si="296"/>
        <v>15462.613307113526</v>
      </c>
      <c r="H12443" s="535" t="s">
        <v>10757</v>
      </c>
    </row>
    <row r="12444" spans="1:8" x14ac:dyDescent="0.3">
      <c r="A12444" s="45">
        <v>45804</v>
      </c>
      <c r="B12444" s="565"/>
      <c r="C12444" s="480"/>
      <c r="D12444" s="491" t="s">
        <v>4106</v>
      </c>
      <c r="E12444" s="480"/>
      <c r="F12444" s="43">
        <v>370000</v>
      </c>
      <c r="G12444" s="48">
        <f t="shared" si="296"/>
        <v>385462.61330711353</v>
      </c>
      <c r="H12444" s="535" t="s">
        <v>9567</v>
      </c>
    </row>
    <row r="12445" spans="1:8" x14ac:dyDescent="0.3">
      <c r="A12445" s="45">
        <v>45804</v>
      </c>
      <c r="B12445" s="320" t="s">
        <v>13321</v>
      </c>
      <c r="C12445" s="44" t="s">
        <v>57</v>
      </c>
      <c r="D12445" s="133" t="s">
        <v>294</v>
      </c>
      <c r="E12445" s="28">
        <v>20000</v>
      </c>
      <c r="F12445" s="43"/>
      <c r="G12445" s="48">
        <f t="shared" si="296"/>
        <v>365462.61330711353</v>
      </c>
      <c r="H12445" s="535" t="s">
        <v>9567</v>
      </c>
    </row>
    <row r="12446" spans="1:8" x14ac:dyDescent="0.3">
      <c r="A12446" s="45">
        <v>45804</v>
      </c>
      <c r="B12446" s="417" t="s">
        <v>16333</v>
      </c>
      <c r="C12446" s="239" t="s">
        <v>16335</v>
      </c>
      <c r="D12446" s="907" t="s">
        <v>16334</v>
      </c>
      <c r="E12446" s="174">
        <v>35000</v>
      </c>
      <c r="F12446" s="43"/>
      <c r="G12446" s="48">
        <f t="shared" si="296"/>
        <v>330462.61330711353</v>
      </c>
      <c r="H12446" s="535" t="s">
        <v>10757</v>
      </c>
    </row>
    <row r="12447" spans="1:8" x14ac:dyDescent="0.3">
      <c r="A12447" s="45">
        <v>45804</v>
      </c>
      <c r="B12447" s="320" t="s">
        <v>13321</v>
      </c>
      <c r="C12447" s="44" t="s">
        <v>5793</v>
      </c>
      <c r="D12447" s="133" t="s">
        <v>40</v>
      </c>
      <c r="E12447" s="28">
        <v>1000</v>
      </c>
      <c r="F12447" s="43"/>
      <c r="G12447" s="48">
        <f t="shared" si="296"/>
        <v>329462.61330711353</v>
      </c>
      <c r="H12447" s="535" t="s">
        <v>10757</v>
      </c>
    </row>
    <row r="12448" spans="1:8" x14ac:dyDescent="0.3">
      <c r="A12448" s="45">
        <v>45804</v>
      </c>
      <c r="B12448" s="320" t="s">
        <v>15928</v>
      </c>
      <c r="C12448" s="44" t="s">
        <v>5793</v>
      </c>
      <c r="D12448" s="133" t="s">
        <v>40</v>
      </c>
      <c r="E12448" s="28">
        <v>1000</v>
      </c>
      <c r="F12448" s="43"/>
      <c r="G12448" s="48">
        <f t="shared" si="296"/>
        <v>328462.61330711353</v>
      </c>
      <c r="H12448" s="535" t="s">
        <v>10757</v>
      </c>
    </row>
    <row r="12449" spans="1:8" x14ac:dyDescent="0.3">
      <c r="A12449" s="45">
        <v>45804</v>
      </c>
      <c r="B12449" s="320" t="s">
        <v>16159</v>
      </c>
      <c r="C12449" s="44" t="s">
        <v>5793</v>
      </c>
      <c r="D12449" s="133" t="s">
        <v>40</v>
      </c>
      <c r="E12449" s="28">
        <v>800</v>
      </c>
      <c r="F12449" s="43"/>
      <c r="G12449" s="48">
        <f t="shared" si="296"/>
        <v>327662.61330711353</v>
      </c>
      <c r="H12449" s="535" t="s">
        <v>10757</v>
      </c>
    </row>
    <row r="12450" spans="1:8" x14ac:dyDescent="0.3">
      <c r="A12450" s="45">
        <v>45804</v>
      </c>
      <c r="B12450" s="320" t="s">
        <v>15162</v>
      </c>
      <c r="C12450" s="44" t="s">
        <v>5793</v>
      </c>
      <c r="D12450" s="133" t="s">
        <v>40</v>
      </c>
      <c r="E12450" s="28">
        <v>1000</v>
      </c>
      <c r="F12450" s="43"/>
      <c r="G12450" s="48">
        <f t="shared" si="296"/>
        <v>326662.61330711353</v>
      </c>
      <c r="H12450" s="535" t="s">
        <v>10757</v>
      </c>
    </row>
    <row r="12451" spans="1:8" x14ac:dyDescent="0.3">
      <c r="A12451" s="45">
        <v>45804</v>
      </c>
      <c r="B12451" s="320" t="s">
        <v>15623</v>
      </c>
      <c r="C12451" s="44" t="s">
        <v>9287</v>
      </c>
      <c r="D12451" s="133" t="s">
        <v>294</v>
      </c>
      <c r="E12451" s="28">
        <v>25000</v>
      </c>
      <c r="F12451" s="43"/>
      <c r="G12451" s="48">
        <f t="shared" si="296"/>
        <v>301662.61330711353</v>
      </c>
      <c r="H12451" s="535" t="s">
        <v>10757</v>
      </c>
    </row>
    <row r="12452" spans="1:8" x14ac:dyDescent="0.3">
      <c r="A12452" s="45">
        <v>45804</v>
      </c>
      <c r="B12452" s="320" t="s">
        <v>13833</v>
      </c>
      <c r="C12452" s="44" t="s">
        <v>84</v>
      </c>
      <c r="D12452" s="133" t="s">
        <v>16337</v>
      </c>
      <c r="E12452" s="28">
        <v>3000</v>
      </c>
      <c r="F12452" s="43"/>
      <c r="G12452" s="48">
        <f t="shared" si="296"/>
        <v>298662.61330711353</v>
      </c>
      <c r="H12452" s="535" t="s">
        <v>9567</v>
      </c>
    </row>
    <row r="12453" spans="1:8" x14ac:dyDescent="0.3">
      <c r="A12453" s="45">
        <v>45804</v>
      </c>
      <c r="B12453" s="320" t="s">
        <v>16159</v>
      </c>
      <c r="C12453" s="44" t="s">
        <v>5793</v>
      </c>
      <c r="D12453" s="133" t="s">
        <v>40</v>
      </c>
      <c r="E12453" s="28">
        <v>1000</v>
      </c>
      <c r="F12453" s="43"/>
      <c r="G12453" s="48">
        <f t="shared" si="296"/>
        <v>297662.61330711353</v>
      </c>
      <c r="H12453" s="535" t="s">
        <v>10757</v>
      </c>
    </row>
    <row r="12454" spans="1:8" x14ac:dyDescent="0.3">
      <c r="A12454" s="45">
        <v>45804</v>
      </c>
      <c r="B12454" s="320" t="s">
        <v>15878</v>
      </c>
      <c r="C12454" s="44" t="s">
        <v>5162</v>
      </c>
      <c r="D12454" s="133" t="s">
        <v>14636</v>
      </c>
      <c r="E12454" s="28">
        <v>3000</v>
      </c>
      <c r="F12454" s="43"/>
      <c r="G12454" s="48">
        <f t="shared" si="296"/>
        <v>294662.61330711353</v>
      </c>
      <c r="H12454" s="535" t="s">
        <v>9567</v>
      </c>
    </row>
    <row r="12455" spans="1:8" x14ac:dyDescent="0.3">
      <c r="A12455" s="45">
        <v>45804</v>
      </c>
      <c r="B12455" s="417"/>
      <c r="C12455" s="239" t="s">
        <v>11174</v>
      </c>
      <c r="D12455" s="907" t="s">
        <v>16078</v>
      </c>
      <c r="E12455" s="174">
        <v>4000</v>
      </c>
      <c r="F12455" s="43"/>
      <c r="G12455" s="48">
        <f t="shared" si="296"/>
        <v>290662.61330711353</v>
      </c>
      <c r="H12455" s="535" t="s">
        <v>10757</v>
      </c>
    </row>
    <row r="12456" spans="1:8" x14ac:dyDescent="0.3">
      <c r="A12456" s="45"/>
      <c r="B12456" s="320"/>
      <c r="C12456" s="44"/>
      <c r="D12456" s="133"/>
      <c r="E12456" s="28">
        <f>56*5000</f>
        <v>280000</v>
      </c>
      <c r="F12456" s="45"/>
      <c r="G12456" s="48">
        <f t="shared" si="296"/>
        <v>10662.613307113526</v>
      </c>
      <c r="H12456" s="535" t="s">
        <v>10757</v>
      </c>
    </row>
    <row r="12457" spans="1:8" x14ac:dyDescent="0.3">
      <c r="A12457" s="45"/>
      <c r="B12457" s="320"/>
      <c r="C12457" s="44"/>
      <c r="D12457" s="133"/>
      <c r="E12457" s="28"/>
      <c r="F12457" s="45"/>
      <c r="G12457" s="48">
        <f t="shared" si="296"/>
        <v>10662.613307113526</v>
      </c>
      <c r="H12457" s="535" t="s">
        <v>10757</v>
      </c>
    </row>
    <row r="12458" spans="1:8" x14ac:dyDescent="0.3">
      <c r="A12458" s="45"/>
      <c r="B12458" s="320"/>
      <c r="C12458" s="44"/>
      <c r="D12458" s="133"/>
      <c r="E12458" s="28"/>
      <c r="F12458" s="45"/>
      <c r="G12458" s="48">
        <f t="shared" si="296"/>
        <v>10662.613307113526</v>
      </c>
      <c r="H12458" s="535" t="s">
        <v>10757</v>
      </c>
    </row>
    <row r="12459" spans="1:8" x14ac:dyDescent="0.3">
      <c r="A12459" s="45"/>
      <c r="B12459" s="320"/>
      <c r="C12459" s="44"/>
      <c r="D12459" s="133"/>
      <c r="E12459" s="28"/>
      <c r="F12459" s="45"/>
      <c r="G12459" s="48">
        <f t="shared" si="296"/>
        <v>10662.613307113526</v>
      </c>
      <c r="H12459" s="535" t="s">
        <v>10757</v>
      </c>
    </row>
    <row r="12460" spans="1:8" x14ac:dyDescent="0.3">
      <c r="A12460" s="45"/>
      <c r="B12460" s="320"/>
      <c r="C12460" s="44"/>
      <c r="D12460" s="133"/>
      <c r="E12460" s="28"/>
      <c r="F12460" s="45"/>
      <c r="G12460" s="48">
        <f t="shared" si="296"/>
        <v>10662.613307113526</v>
      </c>
      <c r="H12460" s="535" t="s">
        <v>10757</v>
      </c>
    </row>
    <row r="12461" spans="1:8" x14ac:dyDescent="0.3">
      <c r="A12461" s="45"/>
      <c r="B12461" s="320"/>
      <c r="C12461" s="44"/>
      <c r="D12461" s="133"/>
      <c r="E12461" s="28"/>
      <c r="F12461" s="45"/>
      <c r="G12461" s="48">
        <f t="shared" si="296"/>
        <v>10662.613307113526</v>
      </c>
      <c r="H12461" s="535" t="s">
        <v>10757</v>
      </c>
    </row>
    <row r="12462" spans="1:8" x14ac:dyDescent="0.3">
      <c r="A12462" s="45"/>
      <c r="B12462" s="320"/>
      <c r="C12462" s="44"/>
      <c r="D12462" s="133"/>
      <c r="E12462" s="28"/>
      <c r="F12462" s="45"/>
      <c r="G12462" s="48">
        <f t="shared" si="296"/>
        <v>10662.613307113526</v>
      </c>
      <c r="H12462" s="535" t="s">
        <v>10757</v>
      </c>
    </row>
    <row r="12463" spans="1:8" x14ac:dyDescent="0.3">
      <c r="A12463" s="45"/>
      <c r="B12463" s="320"/>
      <c r="C12463" s="44"/>
      <c r="D12463" s="899" t="s">
        <v>16336</v>
      </c>
      <c r="E12463" s="28"/>
      <c r="F12463" s="43"/>
      <c r="G12463" s="48">
        <f t="shared" si="296"/>
        <v>10662.613307113526</v>
      </c>
      <c r="H12463" s="535" t="s">
        <v>10757</v>
      </c>
    </row>
    <row r="12464" spans="1:8" x14ac:dyDescent="0.3">
      <c r="A12464" s="45"/>
      <c r="B12464" s="320"/>
      <c r="C12464" s="44"/>
      <c r="D12464" s="899" t="s">
        <v>15405</v>
      </c>
      <c r="E12464" s="28"/>
      <c r="F12464" s="43"/>
      <c r="G12464" s="48">
        <f t="shared" si="296"/>
        <v>10662.613307113526</v>
      </c>
      <c r="H12464" s="535" t="s">
        <v>10757</v>
      </c>
    </row>
    <row r="12465" spans="1:9" x14ac:dyDescent="0.3">
      <c r="A12465" s="45"/>
      <c r="B12465" s="320"/>
      <c r="C12465" s="44"/>
      <c r="D12465" s="899" t="s">
        <v>2053</v>
      </c>
      <c r="E12465" s="28"/>
      <c r="F12465" s="43"/>
      <c r="G12465" s="48">
        <f t="shared" si="296"/>
        <v>10662.613307113526</v>
      </c>
      <c r="H12465" s="535" t="s">
        <v>10757</v>
      </c>
    </row>
    <row r="12466" spans="1:9" x14ac:dyDescent="0.3">
      <c r="A12466" s="45"/>
      <c r="B12466" s="320"/>
      <c r="C12466" s="44"/>
      <c r="D12466" s="899" t="s">
        <v>16267</v>
      </c>
      <c r="E12466" s="28"/>
      <c r="F12466" s="43"/>
      <c r="G12466" s="48">
        <f t="shared" si="296"/>
        <v>10662.613307113526</v>
      </c>
      <c r="H12466" s="535" t="s">
        <v>10757</v>
      </c>
      <c r="I12466" s="52">
        <v>270000</v>
      </c>
    </row>
    <row r="12467" spans="1:9" x14ac:dyDescent="0.3">
      <c r="A12467" s="45"/>
      <c r="B12467" s="320"/>
      <c r="C12467" s="44"/>
      <c r="D12467" s="899" t="s">
        <v>16262</v>
      </c>
      <c r="E12467" s="28"/>
      <c r="F12467" s="43"/>
      <c r="G12467" s="48">
        <f t="shared" si="296"/>
        <v>10662.613307113526</v>
      </c>
      <c r="H12467" s="535" t="s">
        <v>10757</v>
      </c>
      <c r="I12467" s="52">
        <f>I12466*22%</f>
        <v>59400</v>
      </c>
    </row>
    <row r="12468" spans="1:9" x14ac:dyDescent="0.3">
      <c r="A12468" s="45"/>
      <c r="B12468" s="320"/>
      <c r="C12468" s="44"/>
      <c r="D12468" s="899" t="s">
        <v>16284</v>
      </c>
      <c r="E12468" s="28"/>
      <c r="F12468" s="43"/>
      <c r="G12468" s="48">
        <f t="shared" si="296"/>
        <v>10662.613307113526</v>
      </c>
      <c r="H12468" s="535" t="s">
        <v>10757</v>
      </c>
      <c r="I12468" s="52">
        <f>I12467+I12466</f>
        <v>329400</v>
      </c>
    </row>
    <row r="12469" spans="1:9" x14ac:dyDescent="0.3">
      <c r="A12469" s="45"/>
      <c r="B12469" s="320"/>
      <c r="C12469" s="44"/>
      <c r="D12469" s="899" t="s">
        <v>9907</v>
      </c>
      <c r="E12469" s="28"/>
      <c r="F12469" s="43"/>
      <c r="G12469" s="48">
        <f t="shared" si="296"/>
        <v>10662.613307113526</v>
      </c>
      <c r="H12469" s="535" t="s">
        <v>10757</v>
      </c>
    </row>
    <row r="12470" spans="1:9" x14ac:dyDescent="0.3">
      <c r="A12470" s="45"/>
      <c r="B12470" s="320"/>
      <c r="C12470" s="44"/>
      <c r="D12470" s="899" t="s">
        <v>16234</v>
      </c>
      <c r="E12470" s="28"/>
      <c r="F12470" s="43"/>
      <c r="G12470" s="48">
        <f t="shared" si="296"/>
        <v>10662.613307113526</v>
      </c>
      <c r="H12470" s="535" t="s">
        <v>10757</v>
      </c>
    </row>
    <row r="12471" spans="1:9" x14ac:dyDescent="0.3">
      <c r="A12471" s="45"/>
      <c r="B12471" s="320"/>
      <c r="C12471" s="44"/>
      <c r="D12471" s="899" t="s">
        <v>16253</v>
      </c>
      <c r="E12471" s="28"/>
      <c r="F12471" s="43"/>
      <c r="G12471" s="48">
        <f t="shared" si="296"/>
        <v>10662.613307113526</v>
      </c>
      <c r="H12471" s="535" t="s">
        <v>10757</v>
      </c>
    </row>
    <row r="12472" spans="1:9" x14ac:dyDescent="0.3">
      <c r="A12472" s="45"/>
      <c r="B12472" s="320"/>
      <c r="C12472" s="44"/>
      <c r="D12472" s="899" t="s">
        <v>16254</v>
      </c>
      <c r="E12472" s="28"/>
      <c r="F12472" s="43"/>
      <c r="G12472" s="48">
        <f t="shared" si="296"/>
        <v>10662.613307113526</v>
      </c>
      <c r="H12472" s="535" t="s">
        <v>10757</v>
      </c>
    </row>
    <row r="12473" spans="1:9" x14ac:dyDescent="0.3">
      <c r="A12473" s="45"/>
      <c r="B12473" s="320"/>
      <c r="C12473" s="44"/>
      <c r="D12473" s="44" t="s">
        <v>16140</v>
      </c>
      <c r="E12473" s="28"/>
      <c r="F12473" s="43"/>
      <c r="G12473" s="48">
        <f t="shared" si="296"/>
        <v>10662.613307113526</v>
      </c>
      <c r="H12473" s="535" t="s">
        <v>10757</v>
      </c>
    </row>
    <row r="12474" spans="1:9" x14ac:dyDescent="0.3">
      <c r="A12474" s="5"/>
      <c r="B12474" s="788"/>
      <c r="C12474" s="5"/>
      <c r="D12474" s="865" t="s">
        <v>16043</v>
      </c>
      <c r="E12474" s="43"/>
      <c r="F12474" s="43"/>
      <c r="G12474" s="48">
        <f t="shared" si="296"/>
        <v>10662.613307113526</v>
      </c>
      <c r="H12474" s="535" t="s">
        <v>10757</v>
      </c>
    </row>
    <row r="12475" spans="1:9" x14ac:dyDescent="0.3">
      <c r="A12475" s="5"/>
      <c r="B12475" s="788"/>
      <c r="C12475" s="5"/>
      <c r="D12475" s="865" t="s">
        <v>16086</v>
      </c>
      <c r="E12475" s="43"/>
      <c r="F12475" s="43"/>
      <c r="G12475" s="48">
        <f t="shared" si="296"/>
        <v>10662.613307113526</v>
      </c>
      <c r="H12475" s="535" t="s">
        <v>10757</v>
      </c>
    </row>
    <row r="12476" spans="1:9" x14ac:dyDescent="0.3">
      <c r="A12476" s="5"/>
      <c r="B12476" s="788"/>
      <c r="C12476" s="5"/>
      <c r="D12476" s="5"/>
      <c r="E12476" s="43"/>
      <c r="F12476" s="43"/>
      <c r="G12476" s="48">
        <f t="shared" si="296"/>
        <v>10662.613307113526</v>
      </c>
      <c r="H12476" s="389" t="s">
        <v>10757</v>
      </c>
    </row>
    <row r="12477" spans="1:9" x14ac:dyDescent="0.3">
      <c r="A12477" s="5"/>
      <c r="B12477" s="788"/>
      <c r="C12477" s="5"/>
      <c r="D12477" s="5"/>
      <c r="E12477" s="43"/>
      <c r="F12477" s="43"/>
      <c r="G12477" s="48">
        <f t="shared" si="296"/>
        <v>10662.613307113526</v>
      </c>
      <c r="H12477" s="389" t="s">
        <v>10757</v>
      </c>
    </row>
    <row r="12478" spans="1:9" x14ac:dyDescent="0.3">
      <c r="A12478" s="5"/>
      <c r="B12478" s="788"/>
      <c r="C12478" s="5"/>
      <c r="D12478" s="5"/>
      <c r="E12478" s="43"/>
      <c r="F12478" s="43"/>
      <c r="G12478" s="48">
        <f t="shared" si="296"/>
        <v>10662.613307113526</v>
      </c>
      <c r="H12478" s="389" t="s">
        <v>10757</v>
      </c>
    </row>
    <row r="12479" spans="1:9" x14ac:dyDescent="0.3">
      <c r="A12479" s="5"/>
      <c r="B12479" s="788"/>
      <c r="C12479" s="5"/>
      <c r="D12479" s="5"/>
      <c r="E12479" s="43"/>
      <c r="F12479" s="43"/>
      <c r="G12479" s="48">
        <f t="shared" si="296"/>
        <v>10662.613307113526</v>
      </c>
      <c r="H12479" s="389" t="s">
        <v>10757</v>
      </c>
    </row>
    <row r="12480" spans="1:9" x14ac:dyDescent="0.3">
      <c r="A12480" s="5"/>
      <c r="B12480" s="788"/>
      <c r="C12480" s="5"/>
      <c r="D12480" s="5"/>
      <c r="E12480" s="43"/>
      <c r="F12480" s="43"/>
      <c r="G12480" s="48">
        <f t="shared" si="296"/>
        <v>10662.613307113526</v>
      </c>
      <c r="H12480" s="389" t="s">
        <v>10757</v>
      </c>
    </row>
    <row r="12481" spans="1:10" x14ac:dyDescent="0.3">
      <c r="A12481" s="5"/>
      <c r="B12481" s="788"/>
      <c r="C12481" s="5"/>
      <c r="D12481" s="5"/>
      <c r="E12481" s="43"/>
      <c r="F12481" s="43"/>
      <c r="G12481" s="48">
        <f t="shared" si="296"/>
        <v>10662.613307113526</v>
      </c>
      <c r="H12481" s="389" t="s">
        <v>10757</v>
      </c>
    </row>
    <row r="12482" spans="1:10" x14ac:dyDescent="0.3">
      <c r="A12482" s="5"/>
      <c r="B12482" s="788"/>
      <c r="C12482" s="5"/>
      <c r="D12482" s="5"/>
      <c r="E12482" s="43"/>
      <c r="F12482" s="43"/>
      <c r="G12482" s="48">
        <f t="shared" si="296"/>
        <v>10662.613307113526</v>
      </c>
      <c r="H12482" s="389" t="s">
        <v>10757</v>
      </c>
      <c r="I12482" s="583" t="s">
        <v>16122</v>
      </c>
      <c r="J12482" s="187">
        <v>1305250</v>
      </c>
    </row>
    <row r="12483" spans="1:10" x14ac:dyDescent="0.3">
      <c r="A12483" s="5"/>
      <c r="B12483" s="788"/>
      <c r="C12483" s="5"/>
      <c r="D12483" s="5"/>
      <c r="E12483" s="43"/>
      <c r="F12483" s="43"/>
      <c r="G12483" s="48">
        <f t="shared" si="296"/>
        <v>10662.613307113526</v>
      </c>
      <c r="H12483" s="389" t="s">
        <v>10757</v>
      </c>
      <c r="I12483" s="583" t="s">
        <v>55</v>
      </c>
      <c r="J12483" s="187">
        <f ca="1">SUMIF(C12271:E123075,"Bonus",E12271:E123075)</f>
        <v>981000</v>
      </c>
    </row>
    <row r="12484" spans="1:10" x14ac:dyDescent="0.3">
      <c r="A12484" s="5"/>
      <c r="B12484" s="788"/>
      <c r="C12484" s="5"/>
      <c r="D12484" s="5"/>
      <c r="E12484" s="43"/>
      <c r="F12484" s="43"/>
      <c r="G12484" s="48">
        <f t="shared" si="296"/>
        <v>10662.613307113526</v>
      </c>
      <c r="H12484" s="389" t="s">
        <v>10757</v>
      </c>
      <c r="I12484" s="583" t="s">
        <v>15302</v>
      </c>
      <c r="J12484" s="187">
        <f>'[1]Salary Sheets'!$E$75</f>
        <v>349250</v>
      </c>
    </row>
    <row r="12485" spans="1:10" x14ac:dyDescent="0.3">
      <c r="A12485" s="5"/>
      <c r="B12485" s="788"/>
      <c r="C12485" s="5"/>
      <c r="D12485" s="5"/>
      <c r="E12485" s="43"/>
      <c r="F12485" s="43"/>
      <c r="G12485" s="48">
        <f t="shared" si="296"/>
        <v>10662.613307113526</v>
      </c>
      <c r="H12485" s="389" t="s">
        <v>10757</v>
      </c>
      <c r="I12485" s="583" t="s">
        <v>12233</v>
      </c>
      <c r="J12485" s="43">
        <f ca="1">J12482-J12483-J12484</f>
        <v>-25000</v>
      </c>
    </row>
    <row r="12486" spans="1:10" x14ac:dyDescent="0.3">
      <c r="A12486" s="5"/>
      <c r="B12486" s="788"/>
      <c r="C12486" s="5"/>
      <c r="D12486" s="5"/>
      <c r="E12486" s="43"/>
      <c r="F12486" s="43"/>
      <c r="G12486" s="48">
        <f t="shared" si="296"/>
        <v>10662.613307113526</v>
      </c>
      <c r="H12486" s="389" t="s">
        <v>10757</v>
      </c>
    </row>
    <row r="12487" spans="1:10" x14ac:dyDescent="0.3">
      <c r="A12487" s="5"/>
      <c r="B12487" s="788"/>
      <c r="C12487" s="5"/>
      <c r="D12487" s="5"/>
      <c r="E12487" s="43"/>
      <c r="F12487" s="43"/>
      <c r="G12487" s="48">
        <f t="shared" si="296"/>
        <v>10662.613307113526</v>
      </c>
      <c r="H12487" s="389" t="s">
        <v>10757</v>
      </c>
    </row>
    <row r="12488" spans="1:10" x14ac:dyDescent="0.3">
      <c r="A12488" s="5"/>
      <c r="B12488" s="788"/>
      <c r="C12488" s="5"/>
      <c r="D12488" s="5"/>
      <c r="E12488" s="43"/>
      <c r="F12488" s="43"/>
      <c r="G12488" s="48">
        <f t="shared" si="296"/>
        <v>10662.613307113526</v>
      </c>
      <c r="H12488" s="389" t="s">
        <v>10757</v>
      </c>
    </row>
    <row r="12489" spans="1:10" x14ac:dyDescent="0.3">
      <c r="A12489" s="5"/>
      <c r="B12489" s="788"/>
      <c r="C12489" s="5"/>
      <c r="D12489" s="5"/>
      <c r="E12489" s="43"/>
      <c r="F12489" s="43"/>
      <c r="G12489" s="48">
        <f t="shared" si="296"/>
        <v>10662.613307113526</v>
      </c>
      <c r="H12489" s="389" t="s">
        <v>10757</v>
      </c>
    </row>
    <row r="12490" spans="1:10" x14ac:dyDescent="0.3">
      <c r="A12490" s="5"/>
      <c r="B12490" s="788"/>
      <c r="C12490" s="5"/>
      <c r="D12490" s="5"/>
      <c r="E12490" s="43"/>
      <c r="F12490" s="43"/>
      <c r="G12490" s="48">
        <f t="shared" si="296"/>
        <v>10662.613307113526</v>
      </c>
      <c r="H12490" s="389" t="s">
        <v>10757</v>
      </c>
    </row>
    <row r="12491" spans="1:10" x14ac:dyDescent="0.3">
      <c r="A12491" s="5"/>
      <c r="B12491" s="788"/>
      <c r="C12491" s="5"/>
      <c r="D12491" s="5"/>
      <c r="E12491" s="43"/>
      <c r="F12491" s="43"/>
      <c r="G12491" s="48">
        <f t="shared" si="296"/>
        <v>10662.613307113526</v>
      </c>
      <c r="H12491" s="389" t="s">
        <v>10757</v>
      </c>
    </row>
    <row r="12492" spans="1:10" x14ac:dyDescent="0.3">
      <c r="A12492" s="5"/>
      <c r="B12492" s="788"/>
      <c r="C12492" s="5"/>
      <c r="D12492" s="5"/>
      <c r="E12492" s="43"/>
      <c r="F12492" s="43"/>
      <c r="G12492" s="48">
        <f t="shared" si="296"/>
        <v>10662.613307113526</v>
      </c>
      <c r="H12492" s="389" t="s">
        <v>10757</v>
      </c>
    </row>
    <row r="12493" spans="1:10" x14ac:dyDescent="0.3">
      <c r="A12493" s="5"/>
      <c r="B12493" s="788"/>
      <c r="C12493" s="5"/>
      <c r="D12493" s="5"/>
      <c r="E12493" s="43"/>
      <c r="F12493" s="43"/>
      <c r="G12493" s="48">
        <f t="shared" si="296"/>
        <v>10662.613307113526</v>
      </c>
      <c r="H12493" s="389" t="s">
        <v>10757</v>
      </c>
    </row>
    <row r="12494" spans="1:10" x14ac:dyDescent="0.3">
      <c r="A12494" s="5"/>
      <c r="B12494" s="788"/>
      <c r="C12494" s="5"/>
      <c r="D12494" s="5"/>
      <c r="E12494" s="43"/>
      <c r="F12494" s="43"/>
      <c r="G12494" s="48">
        <f t="shared" si="296"/>
        <v>10662.613307113526</v>
      </c>
      <c r="H12494" s="389" t="s">
        <v>10757</v>
      </c>
    </row>
    <row r="12495" spans="1:10" x14ac:dyDescent="0.3">
      <c r="A12495" s="5"/>
      <c r="B12495" s="788"/>
      <c r="C12495" s="5"/>
      <c r="D12495" s="5"/>
      <c r="E12495" s="43"/>
      <c r="F12495" s="43"/>
      <c r="G12495" s="48">
        <f t="shared" si="296"/>
        <v>10662.613307113526</v>
      </c>
      <c r="H12495" s="389" t="s">
        <v>10757</v>
      </c>
    </row>
    <row r="12496" spans="1:10" x14ac:dyDescent="0.3">
      <c r="A12496" s="5"/>
      <c r="B12496" s="788"/>
      <c r="C12496" s="5"/>
      <c r="D12496" s="5"/>
      <c r="E12496" s="43"/>
      <c r="F12496" s="43"/>
      <c r="G12496" s="48">
        <f t="shared" ref="G12496:G12501" si="297">G12495+F12503-E12503</f>
        <v>10662.613307113526</v>
      </c>
      <c r="H12496" s="389" t="s">
        <v>10757</v>
      </c>
    </row>
    <row r="12497" spans="1:9" x14ac:dyDescent="0.3">
      <c r="A12497" s="5"/>
      <c r="B12497" s="788"/>
      <c r="C12497" s="5"/>
      <c r="D12497" s="5"/>
      <c r="E12497" s="43"/>
      <c r="F12497" s="43"/>
      <c r="G12497" s="48">
        <f t="shared" si="297"/>
        <v>10662.613307113526</v>
      </c>
      <c r="H12497" s="389" t="s">
        <v>10757</v>
      </c>
    </row>
    <row r="12498" spans="1:9" x14ac:dyDescent="0.3">
      <c r="G12498" s="48">
        <f t="shared" si="297"/>
        <v>10662.613307113526</v>
      </c>
      <c r="H12498" s="389" t="s">
        <v>10757</v>
      </c>
    </row>
    <row r="12499" spans="1:9" x14ac:dyDescent="0.3">
      <c r="G12499" s="48">
        <f t="shared" si="297"/>
        <v>10662.613307113526</v>
      </c>
      <c r="H12499" s="389" t="s">
        <v>10757</v>
      </c>
    </row>
    <row r="12500" spans="1:9" x14ac:dyDescent="0.3">
      <c r="G12500" s="48">
        <f t="shared" si="297"/>
        <v>10662.613307113526</v>
      </c>
      <c r="H12500" s="389" t="s">
        <v>10757</v>
      </c>
    </row>
    <row r="12501" spans="1:9" x14ac:dyDescent="0.3">
      <c r="G12501" s="48">
        <f t="shared" si="297"/>
        <v>10662.613307113526</v>
      </c>
      <c r="H12501" s="389" t="s">
        <v>10757</v>
      </c>
    </row>
    <row r="12502" spans="1:9" x14ac:dyDescent="0.3">
      <c r="G12502" s="48">
        <f t="shared" ref="G12502:G12565" si="298">G12501+F12509-E12509</f>
        <v>10662.613307113526</v>
      </c>
      <c r="H12502" s="389" t="s">
        <v>10757</v>
      </c>
    </row>
    <row r="12503" spans="1:9" x14ac:dyDescent="0.3">
      <c r="G12503" s="48">
        <f t="shared" si="298"/>
        <v>10662.613307113526</v>
      </c>
      <c r="H12503" s="389" t="s">
        <v>10757</v>
      </c>
    </row>
    <row r="12504" spans="1:9" x14ac:dyDescent="0.3">
      <c r="G12504" s="48">
        <f t="shared" si="298"/>
        <v>10662.613307113526</v>
      </c>
      <c r="H12504" s="389" t="s">
        <v>10757</v>
      </c>
    </row>
    <row r="12505" spans="1:9" x14ac:dyDescent="0.3">
      <c r="G12505" s="48">
        <f t="shared" si="298"/>
        <v>10662.613307113526</v>
      </c>
      <c r="H12505" s="389" t="s">
        <v>10757</v>
      </c>
    </row>
    <row r="12506" spans="1:9" x14ac:dyDescent="0.3">
      <c r="G12506" s="48">
        <f t="shared" si="298"/>
        <v>10662.613307113526</v>
      </c>
      <c r="H12506" s="389" t="s">
        <v>10757</v>
      </c>
    </row>
    <row r="12507" spans="1:9" x14ac:dyDescent="0.3">
      <c r="G12507" s="48">
        <f t="shared" si="298"/>
        <v>10662.613307113526</v>
      </c>
      <c r="H12507" s="389" t="s">
        <v>10757</v>
      </c>
    </row>
    <row r="12508" spans="1:9" x14ac:dyDescent="0.3">
      <c r="G12508" s="48">
        <f t="shared" si="298"/>
        <v>10662.613307113526</v>
      </c>
      <c r="H12508" s="389" t="s">
        <v>10757</v>
      </c>
    </row>
    <row r="12509" spans="1:9" x14ac:dyDescent="0.3">
      <c r="G12509" s="48">
        <f t="shared" si="298"/>
        <v>10662.613307113526</v>
      </c>
      <c r="H12509" s="389" t="s">
        <v>10757</v>
      </c>
    </row>
    <row r="12510" spans="1:9" x14ac:dyDescent="0.3">
      <c r="G12510" s="48">
        <f t="shared" si="298"/>
        <v>10662.613307113526</v>
      </c>
      <c r="H12510" s="389" t="s">
        <v>10757</v>
      </c>
      <c r="I12510" s="52">
        <f>I12221+I12220</f>
        <v>74750</v>
      </c>
    </row>
    <row r="12511" spans="1:9" x14ac:dyDescent="0.3">
      <c r="G12511" s="48">
        <f t="shared" si="298"/>
        <v>10662.613307113526</v>
      </c>
      <c r="H12511" s="389" t="s">
        <v>10757</v>
      </c>
    </row>
    <row r="12512" spans="1:9" x14ac:dyDescent="0.3">
      <c r="G12512" s="48">
        <f t="shared" si="298"/>
        <v>10662.613307113526</v>
      </c>
      <c r="H12512" s="389" t="s">
        <v>10757</v>
      </c>
    </row>
    <row r="12513" spans="7:8" x14ac:dyDescent="0.3">
      <c r="G12513" s="48">
        <f t="shared" si="298"/>
        <v>10662.613307113526</v>
      </c>
      <c r="H12513" s="389" t="s">
        <v>10757</v>
      </c>
    </row>
    <row r="12514" spans="7:8" x14ac:dyDescent="0.3">
      <c r="G12514" s="48">
        <f t="shared" si="298"/>
        <v>10662.613307113526</v>
      </c>
      <c r="H12514" s="389" t="s">
        <v>10757</v>
      </c>
    </row>
    <row r="12515" spans="7:8" x14ac:dyDescent="0.3">
      <c r="G12515" s="48">
        <f t="shared" si="298"/>
        <v>10662.613307113526</v>
      </c>
      <c r="H12515" s="389" t="s">
        <v>10757</v>
      </c>
    </row>
    <row r="12516" spans="7:8" x14ac:dyDescent="0.3">
      <c r="G12516" s="48">
        <f t="shared" si="298"/>
        <v>10662.613307113526</v>
      </c>
      <c r="H12516" s="389" t="s">
        <v>10757</v>
      </c>
    </row>
    <row r="12517" spans="7:8" x14ac:dyDescent="0.3">
      <c r="G12517" s="48">
        <f t="shared" si="298"/>
        <v>10662.613307113526</v>
      </c>
      <c r="H12517" s="389" t="s">
        <v>10757</v>
      </c>
    </row>
    <row r="12518" spans="7:8" x14ac:dyDescent="0.3">
      <c r="G12518" s="48">
        <f t="shared" si="298"/>
        <v>10662.613307113526</v>
      </c>
      <c r="H12518" s="389" t="s">
        <v>10757</v>
      </c>
    </row>
    <row r="12519" spans="7:8" x14ac:dyDescent="0.3">
      <c r="G12519" s="48">
        <f t="shared" si="298"/>
        <v>10662.613307113526</v>
      </c>
      <c r="H12519" s="389" t="s">
        <v>10757</v>
      </c>
    </row>
    <row r="12520" spans="7:8" x14ac:dyDescent="0.3">
      <c r="G12520" s="48">
        <f t="shared" si="298"/>
        <v>10662.613307113526</v>
      </c>
      <c r="H12520" s="389" t="s">
        <v>10757</v>
      </c>
    </row>
    <row r="12521" spans="7:8" x14ac:dyDescent="0.3">
      <c r="G12521" s="48">
        <f t="shared" si="298"/>
        <v>10662.613307113526</v>
      </c>
      <c r="H12521" s="389" t="s">
        <v>10757</v>
      </c>
    </row>
    <row r="12522" spans="7:8" x14ac:dyDescent="0.3">
      <c r="G12522" s="48">
        <f t="shared" si="298"/>
        <v>10662.613307113526</v>
      </c>
      <c r="H12522" s="389" t="s">
        <v>10757</v>
      </c>
    </row>
    <row r="12523" spans="7:8" x14ac:dyDescent="0.3">
      <c r="G12523" s="48">
        <f t="shared" si="298"/>
        <v>10662.613307113526</v>
      </c>
      <c r="H12523" s="389" t="s">
        <v>10757</v>
      </c>
    </row>
    <row r="12524" spans="7:8" x14ac:dyDescent="0.3">
      <c r="G12524" s="48">
        <f t="shared" si="298"/>
        <v>10662.613307113526</v>
      </c>
      <c r="H12524" s="389" t="s">
        <v>10757</v>
      </c>
    </row>
    <row r="12525" spans="7:8" x14ac:dyDescent="0.3">
      <c r="G12525" s="48">
        <f t="shared" si="298"/>
        <v>10662.613307113526</v>
      </c>
      <c r="H12525" s="389" t="s">
        <v>10757</v>
      </c>
    </row>
    <row r="12526" spans="7:8" x14ac:dyDescent="0.3">
      <c r="G12526" s="48">
        <f t="shared" si="298"/>
        <v>10662.613307113526</v>
      </c>
      <c r="H12526" s="389" t="s">
        <v>10757</v>
      </c>
    </row>
    <row r="12527" spans="7:8" x14ac:dyDescent="0.3">
      <c r="G12527" s="48">
        <f t="shared" si="298"/>
        <v>10662.613307113526</v>
      </c>
      <c r="H12527" s="389" t="s">
        <v>10757</v>
      </c>
    </row>
    <row r="12528" spans="7:8" x14ac:dyDescent="0.3">
      <c r="G12528" s="48">
        <f t="shared" si="298"/>
        <v>10662.613307113526</v>
      </c>
      <c r="H12528" s="389" t="s">
        <v>10757</v>
      </c>
    </row>
    <row r="12529" spans="7:8" x14ac:dyDescent="0.3">
      <c r="G12529" s="48">
        <f t="shared" si="298"/>
        <v>10662.613307113526</v>
      </c>
      <c r="H12529" s="389" t="s">
        <v>10757</v>
      </c>
    </row>
    <row r="12530" spans="7:8" x14ac:dyDescent="0.3">
      <c r="G12530" s="48">
        <f t="shared" si="298"/>
        <v>10662.613307113526</v>
      </c>
      <c r="H12530" s="389" t="s">
        <v>10757</v>
      </c>
    </row>
    <row r="12531" spans="7:8" x14ac:dyDescent="0.3">
      <c r="G12531" s="48">
        <f t="shared" si="298"/>
        <v>10662.613307113526</v>
      </c>
      <c r="H12531" s="389" t="s">
        <v>10757</v>
      </c>
    </row>
    <row r="12532" spans="7:8" x14ac:dyDescent="0.3">
      <c r="G12532" s="48">
        <f t="shared" si="298"/>
        <v>10662.613307113526</v>
      </c>
      <c r="H12532" s="389" t="s">
        <v>10757</v>
      </c>
    </row>
    <row r="12533" spans="7:8" x14ac:dyDescent="0.3">
      <c r="G12533" s="48">
        <f t="shared" si="298"/>
        <v>10662.613307113526</v>
      </c>
      <c r="H12533" s="389" t="s">
        <v>10757</v>
      </c>
    </row>
    <row r="12534" spans="7:8" x14ac:dyDescent="0.3">
      <c r="G12534" s="48">
        <f t="shared" si="298"/>
        <v>10662.613307113526</v>
      </c>
    </row>
    <row r="12535" spans="7:8" x14ac:dyDescent="0.3">
      <c r="G12535" s="48">
        <f t="shared" si="298"/>
        <v>10662.613307113526</v>
      </c>
    </row>
    <row r="12536" spans="7:8" x14ac:dyDescent="0.3">
      <c r="G12536" s="48">
        <f t="shared" si="298"/>
        <v>10662.613307113526</v>
      </c>
    </row>
    <row r="12537" spans="7:8" x14ac:dyDescent="0.3">
      <c r="G12537" s="48">
        <f t="shared" si="298"/>
        <v>10662.613307113526</v>
      </c>
    </row>
    <row r="12538" spans="7:8" x14ac:dyDescent="0.3">
      <c r="G12538" s="48">
        <f t="shared" si="298"/>
        <v>10662.613307113526</v>
      </c>
    </row>
    <row r="12539" spans="7:8" x14ac:dyDescent="0.3">
      <c r="G12539" s="48">
        <f t="shared" si="298"/>
        <v>10662.613307113526</v>
      </c>
    </row>
    <row r="12540" spans="7:8" x14ac:dyDescent="0.3">
      <c r="G12540" s="48">
        <f t="shared" si="298"/>
        <v>10662.613307113526</v>
      </c>
    </row>
    <row r="12541" spans="7:8" x14ac:dyDescent="0.3">
      <c r="G12541" s="48">
        <f t="shared" si="298"/>
        <v>10662.613307113526</v>
      </c>
    </row>
    <row r="12542" spans="7:8" x14ac:dyDescent="0.3">
      <c r="G12542" s="48">
        <f t="shared" si="298"/>
        <v>10662.613307113526</v>
      </c>
    </row>
    <row r="12543" spans="7:8" x14ac:dyDescent="0.3">
      <c r="G12543" s="48">
        <f t="shared" si="298"/>
        <v>10662.613307113526</v>
      </c>
    </row>
    <row r="12544" spans="7:8" x14ac:dyDescent="0.3">
      <c r="G12544" s="48">
        <f t="shared" si="298"/>
        <v>10662.613307113526</v>
      </c>
    </row>
    <row r="12545" spans="7:7" x14ac:dyDescent="0.3">
      <c r="G12545" s="48">
        <f t="shared" si="298"/>
        <v>10662.613307113526</v>
      </c>
    </row>
    <row r="12546" spans="7:7" x14ac:dyDescent="0.3">
      <c r="G12546" s="48">
        <f t="shared" si="298"/>
        <v>10662.613307113526</v>
      </c>
    </row>
    <row r="12547" spans="7:7" x14ac:dyDescent="0.3">
      <c r="G12547" s="48">
        <f t="shared" si="298"/>
        <v>10662.613307113526</v>
      </c>
    </row>
    <row r="12548" spans="7:7" x14ac:dyDescent="0.3">
      <c r="G12548" s="48">
        <f t="shared" si="298"/>
        <v>10662.613307113526</v>
      </c>
    </row>
    <row r="12549" spans="7:7" x14ac:dyDescent="0.3">
      <c r="G12549" s="48">
        <f t="shared" si="298"/>
        <v>10662.613307113526</v>
      </c>
    </row>
    <row r="12550" spans="7:7" x14ac:dyDescent="0.3">
      <c r="G12550" s="48">
        <f t="shared" si="298"/>
        <v>10662.613307113526</v>
      </c>
    </row>
    <row r="12551" spans="7:7" x14ac:dyDescent="0.3">
      <c r="G12551" s="48">
        <f t="shared" si="298"/>
        <v>10662.613307113526</v>
      </c>
    </row>
    <row r="12552" spans="7:7" x14ac:dyDescent="0.3">
      <c r="G12552" s="48">
        <f t="shared" si="298"/>
        <v>10662.613307113526</v>
      </c>
    </row>
    <row r="12553" spans="7:7" x14ac:dyDescent="0.3">
      <c r="G12553" s="48">
        <f t="shared" si="298"/>
        <v>10662.613307113526</v>
      </c>
    </row>
    <row r="12554" spans="7:7" x14ac:dyDescent="0.3">
      <c r="G12554" s="48">
        <f t="shared" si="298"/>
        <v>10662.613307113526</v>
      </c>
    </row>
    <row r="12555" spans="7:7" x14ac:dyDescent="0.3">
      <c r="G12555" s="48">
        <f t="shared" si="298"/>
        <v>10662.613307113526</v>
      </c>
    </row>
    <row r="12556" spans="7:7" x14ac:dyDescent="0.3">
      <c r="G12556" s="48">
        <f t="shared" si="298"/>
        <v>10662.613307113526</v>
      </c>
    </row>
    <row r="12557" spans="7:7" x14ac:dyDescent="0.3">
      <c r="G12557" s="48">
        <f t="shared" si="298"/>
        <v>10662.613307113526</v>
      </c>
    </row>
    <row r="12558" spans="7:7" x14ac:dyDescent="0.3">
      <c r="G12558" s="48">
        <f t="shared" si="298"/>
        <v>10662.613307113526</v>
      </c>
    </row>
    <row r="12559" spans="7:7" x14ac:dyDescent="0.3">
      <c r="G12559" s="48">
        <f t="shared" si="298"/>
        <v>10662.613307113526</v>
      </c>
    </row>
    <row r="12560" spans="7:7" x14ac:dyDescent="0.3">
      <c r="G12560" s="48">
        <f t="shared" si="298"/>
        <v>10662.613307113526</v>
      </c>
    </row>
    <row r="12561" spans="7:7" x14ac:dyDescent="0.3">
      <c r="G12561" s="48">
        <f t="shared" si="298"/>
        <v>10662.613307113526</v>
      </c>
    </row>
    <row r="12562" spans="7:7" x14ac:dyDescent="0.3">
      <c r="G12562" s="48">
        <f t="shared" si="298"/>
        <v>10662.613307113526</v>
      </c>
    </row>
    <row r="12563" spans="7:7" x14ac:dyDescent="0.3">
      <c r="G12563" s="48">
        <f t="shared" si="298"/>
        <v>10662.613307113526</v>
      </c>
    </row>
    <row r="12564" spans="7:7" x14ac:dyDescent="0.3">
      <c r="G12564" s="48">
        <f t="shared" si="298"/>
        <v>10662.613307113526</v>
      </c>
    </row>
    <row r="12565" spans="7:7" x14ac:dyDescent="0.3">
      <c r="G12565" s="48">
        <f t="shared" si="298"/>
        <v>10662.613307113526</v>
      </c>
    </row>
    <row r="12566" spans="7:7" x14ac:dyDescent="0.3">
      <c r="G12566" s="48">
        <f t="shared" ref="G12566:G12629" si="299">G12565+F12573-E12573</f>
        <v>10662.613307113526</v>
      </c>
    </row>
    <row r="12567" spans="7:7" x14ac:dyDescent="0.3">
      <c r="G12567" s="48">
        <f t="shared" si="299"/>
        <v>10662.613307113526</v>
      </c>
    </row>
    <row r="12568" spans="7:7" x14ac:dyDescent="0.3">
      <c r="G12568" s="48">
        <f t="shared" si="299"/>
        <v>10662.613307113526</v>
      </c>
    </row>
    <row r="12569" spans="7:7" x14ac:dyDescent="0.3">
      <c r="G12569" s="48">
        <f t="shared" si="299"/>
        <v>10662.613307113526</v>
      </c>
    </row>
    <row r="12570" spans="7:7" x14ac:dyDescent="0.3">
      <c r="G12570" s="48">
        <f t="shared" si="299"/>
        <v>10662.613307113526</v>
      </c>
    </row>
    <row r="12571" spans="7:7" x14ac:dyDescent="0.3">
      <c r="G12571" s="48">
        <f t="shared" si="299"/>
        <v>10662.613307113526</v>
      </c>
    </row>
    <row r="12572" spans="7:7" x14ac:dyDescent="0.3">
      <c r="G12572" s="48">
        <f t="shared" si="299"/>
        <v>10662.613307113526</v>
      </c>
    </row>
    <row r="12573" spans="7:7" x14ac:dyDescent="0.3">
      <c r="G12573" s="48">
        <f t="shared" si="299"/>
        <v>10662.613307113526</v>
      </c>
    </row>
    <row r="12574" spans="7:7" x14ac:dyDescent="0.3">
      <c r="G12574" s="48">
        <f t="shared" si="299"/>
        <v>10662.613307113526</v>
      </c>
    </row>
    <row r="12575" spans="7:7" x14ac:dyDescent="0.3">
      <c r="G12575" s="48">
        <f t="shared" si="299"/>
        <v>10662.613307113526</v>
      </c>
    </row>
    <row r="12576" spans="7:7" x14ac:dyDescent="0.3">
      <c r="G12576" s="48">
        <f t="shared" si="299"/>
        <v>10662.613307113526</v>
      </c>
    </row>
    <row r="12577" spans="7:7" x14ac:dyDescent="0.3">
      <c r="G12577" s="48">
        <f t="shared" si="299"/>
        <v>10662.613307113526</v>
      </c>
    </row>
    <row r="12578" spans="7:7" x14ac:dyDescent="0.3">
      <c r="G12578" s="48">
        <f t="shared" si="299"/>
        <v>10662.613307113526</v>
      </c>
    </row>
    <row r="12579" spans="7:7" x14ac:dyDescent="0.3">
      <c r="G12579" s="48">
        <f t="shared" si="299"/>
        <v>10662.613307113526</v>
      </c>
    </row>
    <row r="12580" spans="7:7" x14ac:dyDescent="0.3">
      <c r="G12580" s="48">
        <f t="shared" si="299"/>
        <v>10662.613307113526</v>
      </c>
    </row>
    <row r="12581" spans="7:7" x14ac:dyDescent="0.3">
      <c r="G12581" s="48">
        <f t="shared" si="299"/>
        <v>10662.613307113526</v>
      </c>
    </row>
    <row r="12582" spans="7:7" x14ac:dyDescent="0.3">
      <c r="G12582" s="48">
        <f t="shared" si="299"/>
        <v>10662.613307113526</v>
      </c>
    </row>
    <row r="12583" spans="7:7" x14ac:dyDescent="0.3">
      <c r="G12583" s="48">
        <f t="shared" si="299"/>
        <v>10662.613307113526</v>
      </c>
    </row>
    <row r="12584" spans="7:7" x14ac:dyDescent="0.3">
      <c r="G12584" s="48">
        <f t="shared" si="299"/>
        <v>10662.613307113526</v>
      </c>
    </row>
    <row r="12585" spans="7:7" x14ac:dyDescent="0.3">
      <c r="G12585" s="48">
        <f t="shared" si="299"/>
        <v>10662.613307113526</v>
      </c>
    </row>
    <row r="12586" spans="7:7" x14ac:dyDescent="0.3">
      <c r="G12586" s="48">
        <f t="shared" si="299"/>
        <v>10662.613307113526</v>
      </c>
    </row>
    <row r="12587" spans="7:7" x14ac:dyDescent="0.3">
      <c r="G12587" s="48">
        <f t="shared" si="299"/>
        <v>10662.613307113526</v>
      </c>
    </row>
    <row r="12588" spans="7:7" x14ac:dyDescent="0.3">
      <c r="G12588" s="48">
        <f t="shared" si="299"/>
        <v>10662.613307113526</v>
      </c>
    </row>
    <row r="12589" spans="7:7" x14ac:dyDescent="0.3">
      <c r="G12589" s="48">
        <f t="shared" si="299"/>
        <v>10662.613307113526</v>
      </c>
    </row>
    <row r="12590" spans="7:7" x14ac:dyDescent="0.3">
      <c r="G12590" s="48">
        <f t="shared" si="299"/>
        <v>10662.613307113526</v>
      </c>
    </row>
    <row r="12591" spans="7:7" x14ac:dyDescent="0.3">
      <c r="G12591" s="48">
        <f t="shared" si="299"/>
        <v>10662.613307113526</v>
      </c>
    </row>
    <row r="12592" spans="7:7" x14ac:dyDescent="0.3">
      <c r="G12592" s="48">
        <f t="shared" si="299"/>
        <v>10662.613307113526</v>
      </c>
    </row>
    <row r="12593" spans="7:7" x14ac:dyDescent="0.3">
      <c r="G12593" s="48">
        <f t="shared" si="299"/>
        <v>10662.613307113526</v>
      </c>
    </row>
    <row r="12594" spans="7:7" x14ac:dyDescent="0.3">
      <c r="G12594" s="48">
        <f t="shared" si="299"/>
        <v>10662.613307113526</v>
      </c>
    </row>
    <row r="12595" spans="7:7" x14ac:dyDescent="0.3">
      <c r="G12595" s="48">
        <f t="shared" si="299"/>
        <v>10662.613307113526</v>
      </c>
    </row>
    <row r="12596" spans="7:7" x14ac:dyDescent="0.3">
      <c r="G12596" s="48">
        <f t="shared" si="299"/>
        <v>10662.613307113526</v>
      </c>
    </row>
    <row r="12597" spans="7:7" x14ac:dyDescent="0.3">
      <c r="G12597" s="48">
        <f t="shared" si="299"/>
        <v>10662.613307113526</v>
      </c>
    </row>
    <row r="12598" spans="7:7" x14ac:dyDescent="0.3">
      <c r="G12598" s="48">
        <f t="shared" si="299"/>
        <v>10662.613307113526</v>
      </c>
    </row>
    <row r="12599" spans="7:7" x14ac:dyDescent="0.3">
      <c r="G12599" s="48">
        <f t="shared" si="299"/>
        <v>10662.613307113526</v>
      </c>
    </row>
    <row r="12600" spans="7:7" x14ac:dyDescent="0.3">
      <c r="G12600" s="48">
        <f t="shared" si="299"/>
        <v>10662.613307113526</v>
      </c>
    </row>
    <row r="12601" spans="7:7" x14ac:dyDescent="0.3">
      <c r="G12601" s="48">
        <f t="shared" si="299"/>
        <v>10662.613307113526</v>
      </c>
    </row>
    <row r="12602" spans="7:7" x14ac:dyDescent="0.3">
      <c r="G12602" s="48">
        <f t="shared" si="299"/>
        <v>10662.613307113526</v>
      </c>
    </row>
    <row r="12603" spans="7:7" x14ac:dyDescent="0.3">
      <c r="G12603" s="48">
        <f t="shared" si="299"/>
        <v>10662.613307113526</v>
      </c>
    </row>
    <row r="12604" spans="7:7" x14ac:dyDescent="0.3">
      <c r="G12604" s="48">
        <f t="shared" si="299"/>
        <v>10662.613307113526</v>
      </c>
    </row>
    <row r="12605" spans="7:7" x14ac:dyDescent="0.3">
      <c r="G12605" s="48">
        <f t="shared" si="299"/>
        <v>10662.613307113526</v>
      </c>
    </row>
    <row r="12606" spans="7:7" x14ac:dyDescent="0.3">
      <c r="G12606" s="48">
        <f t="shared" si="299"/>
        <v>10662.613307113526</v>
      </c>
    </row>
    <row r="12607" spans="7:7" x14ac:dyDescent="0.3">
      <c r="G12607" s="48">
        <f t="shared" si="299"/>
        <v>10662.613307113526</v>
      </c>
    </row>
    <row r="12608" spans="7:7" x14ac:dyDescent="0.3">
      <c r="G12608" s="48">
        <f t="shared" si="299"/>
        <v>10662.613307113526</v>
      </c>
    </row>
    <row r="12609" spans="7:7" x14ac:dyDescent="0.3">
      <c r="G12609" s="48">
        <f t="shared" si="299"/>
        <v>10662.613307113526</v>
      </c>
    </row>
    <row r="12610" spans="7:7" x14ac:dyDescent="0.3">
      <c r="G12610" s="48">
        <f t="shared" si="299"/>
        <v>10662.613307113526</v>
      </c>
    </row>
    <row r="12611" spans="7:7" x14ac:dyDescent="0.3">
      <c r="G12611" s="48">
        <f t="shared" si="299"/>
        <v>10662.613307113526</v>
      </c>
    </row>
    <row r="12612" spans="7:7" x14ac:dyDescent="0.3">
      <c r="G12612" s="48">
        <f t="shared" si="299"/>
        <v>10662.613307113526</v>
      </c>
    </row>
    <row r="12613" spans="7:7" x14ac:dyDescent="0.3">
      <c r="G12613" s="48">
        <f t="shared" si="299"/>
        <v>10662.613307113526</v>
      </c>
    </row>
    <row r="12614" spans="7:7" x14ac:dyDescent="0.3">
      <c r="G12614" s="48">
        <f t="shared" si="299"/>
        <v>10662.613307113526</v>
      </c>
    </row>
    <row r="12615" spans="7:7" x14ac:dyDescent="0.3">
      <c r="G12615" s="48">
        <f t="shared" si="299"/>
        <v>10662.613307113526</v>
      </c>
    </row>
    <row r="12616" spans="7:7" x14ac:dyDescent="0.3">
      <c r="G12616" s="48">
        <f t="shared" si="299"/>
        <v>10662.613307113526</v>
      </c>
    </row>
    <row r="12617" spans="7:7" x14ac:dyDescent="0.3">
      <c r="G12617" s="48">
        <f t="shared" si="299"/>
        <v>10662.613307113526</v>
      </c>
    </row>
    <row r="12618" spans="7:7" x14ac:dyDescent="0.3">
      <c r="G12618" s="48">
        <f t="shared" si="299"/>
        <v>10662.613307113526</v>
      </c>
    </row>
    <row r="12619" spans="7:7" x14ac:dyDescent="0.3">
      <c r="G12619" s="48">
        <f t="shared" si="299"/>
        <v>10662.613307113526</v>
      </c>
    </row>
    <row r="12620" spans="7:7" x14ac:dyDescent="0.3">
      <c r="G12620" s="48">
        <f t="shared" si="299"/>
        <v>10662.613307113526</v>
      </c>
    </row>
    <row r="12621" spans="7:7" x14ac:dyDescent="0.3">
      <c r="G12621" s="48">
        <f t="shared" si="299"/>
        <v>10662.613307113526</v>
      </c>
    </row>
    <row r="12622" spans="7:7" x14ac:dyDescent="0.3">
      <c r="G12622" s="48">
        <f t="shared" si="299"/>
        <v>10662.613307113526</v>
      </c>
    </row>
    <row r="12623" spans="7:7" x14ac:dyDescent="0.3">
      <c r="G12623" s="48">
        <f t="shared" si="299"/>
        <v>10662.613307113526</v>
      </c>
    </row>
    <row r="12624" spans="7:7" x14ac:dyDescent="0.3">
      <c r="G12624" s="48">
        <f t="shared" si="299"/>
        <v>10662.613307113526</v>
      </c>
    </row>
    <row r="12625" spans="7:7" x14ac:dyDescent="0.3">
      <c r="G12625" s="48">
        <f t="shared" si="299"/>
        <v>10662.613307113526</v>
      </c>
    </row>
    <row r="12626" spans="7:7" x14ac:dyDescent="0.3">
      <c r="G12626" s="48">
        <f t="shared" si="299"/>
        <v>10662.613307113526</v>
      </c>
    </row>
    <row r="12627" spans="7:7" x14ac:dyDescent="0.3">
      <c r="G12627" s="48">
        <f t="shared" si="299"/>
        <v>10662.613307113526</v>
      </c>
    </row>
    <row r="12628" spans="7:7" x14ac:dyDescent="0.3">
      <c r="G12628" s="48">
        <f t="shared" si="299"/>
        <v>10662.613307113526</v>
      </c>
    </row>
    <row r="12629" spans="7:7" x14ac:dyDescent="0.3">
      <c r="G12629" s="48">
        <f t="shared" si="299"/>
        <v>10662.613307113526</v>
      </c>
    </row>
    <row r="12630" spans="7:7" x14ac:dyDescent="0.3">
      <c r="G12630" s="48">
        <f t="shared" ref="G12630:G12668" si="300">G12629+F12637-E12637</f>
        <v>10662.613307113526</v>
      </c>
    </row>
    <row r="12631" spans="7:7" x14ac:dyDescent="0.3">
      <c r="G12631" s="48">
        <f t="shared" si="300"/>
        <v>10662.613307113526</v>
      </c>
    </row>
    <row r="12632" spans="7:7" x14ac:dyDescent="0.3">
      <c r="G12632" s="48">
        <f t="shared" si="300"/>
        <v>10662.613307113526</v>
      </c>
    </row>
    <row r="12633" spans="7:7" x14ac:dyDescent="0.3">
      <c r="G12633" s="48">
        <f t="shared" si="300"/>
        <v>10662.613307113526</v>
      </c>
    </row>
    <row r="12634" spans="7:7" x14ac:dyDescent="0.3">
      <c r="G12634" s="48">
        <f t="shared" si="300"/>
        <v>10662.613307113526</v>
      </c>
    </row>
    <row r="12635" spans="7:7" x14ac:dyDescent="0.3">
      <c r="G12635" s="48">
        <f t="shared" si="300"/>
        <v>10662.613307113526</v>
      </c>
    </row>
    <row r="12636" spans="7:7" x14ac:dyDescent="0.3">
      <c r="G12636" s="48">
        <f t="shared" si="300"/>
        <v>10662.613307113526</v>
      </c>
    </row>
    <row r="12637" spans="7:7" x14ac:dyDescent="0.3">
      <c r="G12637" s="48">
        <f t="shared" si="300"/>
        <v>10662.613307113526</v>
      </c>
    </row>
    <row r="12638" spans="7:7" x14ac:dyDescent="0.3">
      <c r="G12638" s="48">
        <f t="shared" si="300"/>
        <v>10662.613307113526</v>
      </c>
    </row>
    <row r="12639" spans="7:7" x14ac:dyDescent="0.3">
      <c r="G12639" s="48">
        <f t="shared" si="300"/>
        <v>10662.613307113526</v>
      </c>
    </row>
    <row r="12640" spans="7:7" x14ac:dyDescent="0.3">
      <c r="G12640" s="48">
        <f t="shared" si="300"/>
        <v>10662.613307113526</v>
      </c>
    </row>
    <row r="12641" spans="7:7" x14ac:dyDescent="0.3">
      <c r="G12641" s="48">
        <f t="shared" si="300"/>
        <v>10662.613307113526</v>
      </c>
    </row>
    <row r="12642" spans="7:7" x14ac:dyDescent="0.3">
      <c r="G12642" s="48">
        <f t="shared" si="300"/>
        <v>10662.613307113526</v>
      </c>
    </row>
    <row r="12643" spans="7:7" x14ac:dyDescent="0.3">
      <c r="G12643" s="48">
        <f t="shared" si="300"/>
        <v>10662.613307113526</v>
      </c>
    </row>
    <row r="12644" spans="7:7" x14ac:dyDescent="0.3">
      <c r="G12644" s="48">
        <f t="shared" si="300"/>
        <v>10662.613307113526</v>
      </c>
    </row>
    <row r="12645" spans="7:7" x14ac:dyDescent="0.3">
      <c r="G12645" s="48">
        <f t="shared" si="300"/>
        <v>10662.613307113526</v>
      </c>
    </row>
    <row r="12646" spans="7:7" x14ac:dyDescent="0.3">
      <c r="G12646" s="48">
        <f t="shared" si="300"/>
        <v>10662.613307113526</v>
      </c>
    </row>
    <row r="12647" spans="7:7" x14ac:dyDescent="0.3">
      <c r="G12647" s="48">
        <f t="shared" si="300"/>
        <v>10662.613307113526</v>
      </c>
    </row>
    <row r="12648" spans="7:7" x14ac:dyDescent="0.3">
      <c r="G12648" s="48">
        <f t="shared" si="300"/>
        <v>10662.613307113526</v>
      </c>
    </row>
    <row r="12649" spans="7:7" x14ac:dyDescent="0.3">
      <c r="G12649" s="48">
        <f t="shared" si="300"/>
        <v>10662.613307113526</v>
      </c>
    </row>
    <row r="12650" spans="7:7" x14ac:dyDescent="0.3">
      <c r="G12650" s="48">
        <f t="shared" si="300"/>
        <v>10662.613307113526</v>
      </c>
    </row>
    <row r="12651" spans="7:7" x14ac:dyDescent="0.3">
      <c r="G12651" s="48">
        <f t="shared" si="300"/>
        <v>10662.613307113526</v>
      </c>
    </row>
    <row r="12652" spans="7:7" x14ac:dyDescent="0.3">
      <c r="G12652" s="48">
        <f t="shared" si="300"/>
        <v>10662.613307113526</v>
      </c>
    </row>
    <row r="12653" spans="7:7" x14ac:dyDescent="0.3">
      <c r="G12653" s="48">
        <f t="shared" si="300"/>
        <v>10662.613307113526</v>
      </c>
    </row>
    <row r="12654" spans="7:7" x14ac:dyDescent="0.3">
      <c r="G12654" s="48">
        <f t="shared" si="300"/>
        <v>10662.613307113526</v>
      </c>
    </row>
    <row r="12655" spans="7:7" x14ac:dyDescent="0.3">
      <c r="G12655" s="48">
        <f t="shared" si="300"/>
        <v>10662.613307113526</v>
      </c>
    </row>
    <row r="12656" spans="7:7" x14ac:dyDescent="0.3">
      <c r="G12656" s="48">
        <f t="shared" si="300"/>
        <v>10662.613307113526</v>
      </c>
    </row>
    <row r="12657" spans="7:7" x14ac:dyDescent="0.3">
      <c r="G12657" s="48">
        <f t="shared" si="300"/>
        <v>10662.613307113526</v>
      </c>
    </row>
    <row r="12658" spans="7:7" x14ac:dyDescent="0.3">
      <c r="G12658" s="48">
        <f t="shared" si="300"/>
        <v>10662.613307113526</v>
      </c>
    </row>
    <row r="12659" spans="7:7" x14ac:dyDescent="0.3">
      <c r="G12659" s="48">
        <f t="shared" si="300"/>
        <v>10662.613307113526</v>
      </c>
    </row>
    <row r="12660" spans="7:7" x14ac:dyDescent="0.3">
      <c r="G12660" s="48">
        <f t="shared" si="300"/>
        <v>10662.613307113526</v>
      </c>
    </row>
    <row r="12661" spans="7:7" x14ac:dyDescent="0.3">
      <c r="G12661" s="48">
        <f t="shared" si="300"/>
        <v>10662.613307113526</v>
      </c>
    </row>
    <row r="12662" spans="7:7" x14ac:dyDescent="0.3">
      <c r="G12662" s="48">
        <f t="shared" si="300"/>
        <v>10662.613307113526</v>
      </c>
    </row>
    <row r="12663" spans="7:7" x14ac:dyDescent="0.3">
      <c r="G12663" s="48">
        <f t="shared" si="300"/>
        <v>10662.613307113526</v>
      </c>
    </row>
    <row r="12664" spans="7:7" x14ac:dyDescent="0.3">
      <c r="G12664" s="48">
        <f t="shared" si="300"/>
        <v>10662.613307113526</v>
      </c>
    </row>
    <row r="12665" spans="7:7" x14ac:dyDescent="0.3">
      <c r="G12665" s="48">
        <f t="shared" si="300"/>
        <v>10662.613307113526</v>
      </c>
    </row>
    <row r="12666" spans="7:7" x14ac:dyDescent="0.3">
      <c r="G12666" s="48">
        <f t="shared" si="300"/>
        <v>10662.613307113526</v>
      </c>
    </row>
    <row r="12667" spans="7:7" x14ac:dyDescent="0.3">
      <c r="G12667" s="48">
        <f t="shared" si="300"/>
        <v>10662.613307113526</v>
      </c>
    </row>
    <row r="12668" spans="7:7" x14ac:dyDescent="0.3">
      <c r="G12668" s="48">
        <f t="shared" si="300"/>
        <v>10662.613307113526</v>
      </c>
    </row>
    <row r="12682" spans="4:4" x14ac:dyDescent="0.3">
      <c r="D12682" s="5" t="s">
        <v>14843</v>
      </c>
    </row>
  </sheetData>
  <sheetProtection formatColumns="0" formatRows="0" insertColumns="0" insertRows="0" insertHyperlinks="0" deleteColumns="0" deleteRows="0" sort="0" autoFilter="0" pivotTables="0"/>
  <autoFilter ref="A1:O12656"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61 H11859:H12134 H12152:H12178 H12220:H1048576">
    <cfRule type="cellIs" dxfId="17" priority="53" operator="equal">
      <formula>"Posted"</formula>
    </cfRule>
  </conditionalFormatting>
  <conditionalFormatting sqref="H11475:H11488">
    <cfRule type="cellIs" dxfId="16" priority="48" operator="equal">
      <formula>"Posted"</formula>
    </cfRule>
  </conditionalFormatting>
  <conditionalFormatting sqref="H11505:H11533">
    <cfRule type="cellIs" dxfId="15" priority="47" operator="equal">
      <formula>"Posted"</formula>
    </cfRule>
  </conditionalFormatting>
  <conditionalFormatting sqref="H11596:H11618">
    <cfRule type="cellIs" dxfId="14" priority="41" operator="equal">
      <formula>"Posted"</formula>
    </cfRule>
  </conditionalFormatting>
  <conditionalFormatting sqref="H11619:H11627">
    <cfRule type="cellIs" dxfId="13" priority="39" operator="equal">
      <formula>"Posted"</formula>
    </cfRule>
  </conditionalFormatting>
  <conditionalFormatting sqref="H11681:H11698">
    <cfRule type="cellIs" dxfId="12" priority="37" operator="equal">
      <formula>"Posted"</formula>
    </cfRule>
  </conditionalFormatting>
  <conditionalFormatting sqref="H11699:H11722">
    <cfRule type="cellIs" dxfId="11" priority="36" operator="equal">
      <formula>"Posted"</formula>
    </cfRule>
  </conditionalFormatting>
  <conditionalFormatting sqref="H11762:H11797">
    <cfRule type="cellIs" dxfId="10" priority="33" operator="equal">
      <formula>"Posted"</formula>
    </cfRule>
  </conditionalFormatting>
  <conditionalFormatting sqref="H11798:H11858">
    <cfRule type="cellIs" dxfId="9" priority="29" operator="equal">
      <formula>"Posted"</formula>
    </cfRule>
  </conditionalFormatting>
  <conditionalFormatting sqref="H12135:H12151">
    <cfRule type="cellIs" dxfId="8" priority="12" operator="equal">
      <formula>"Posted"</formula>
    </cfRule>
  </conditionalFormatting>
  <conditionalFormatting sqref="H12179:H12214">
    <cfRule type="cellIs" dxfId="7" priority="11" operator="equal">
      <formula>"Posted"</formula>
    </cfRule>
  </conditionalFormatting>
  <conditionalFormatting sqref="H12215:H12219">
    <cfRule type="cellIs" dxfId="6" priority="10" operator="equal">
      <formula>"Posted"</formula>
    </cfRule>
  </conditionalFormatting>
  <conditionalFormatting sqref="H12252">
    <cfRule type="cellIs" dxfId="5" priority="7"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B11820 B11839 B11865 B11873 B11882 B11912 B11919:B11920 B11947 B11962 B11979 B11986 B12029 B12055 B12135 B12179 B12215 B12238 B12252 B12273 B12290 B12334 B12409 B12444"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3"/>
  <sheetViews>
    <sheetView zoomScaleNormal="100" workbookViewId="0">
      <pane ySplit="1" topLeftCell="A1549" activePane="bottomLeft" state="frozen"/>
      <selection activeCell="D6707" sqref="D6707"/>
      <selection pane="bottomLeft" activeCell="C1561" sqref="C1561"/>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11481</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11549</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11562</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11573</v>
      </c>
      <c r="D1105" s="65">
        <v>50000</v>
      </c>
      <c r="F1105" s="46">
        <f t="shared" si="25"/>
        <v>1165071</v>
      </c>
      <c r="G1105" s="388" t="s">
        <v>9567</v>
      </c>
    </row>
    <row r="1106" spans="1:7" x14ac:dyDescent="0.3">
      <c r="A1106" s="54">
        <v>45111</v>
      </c>
      <c r="C1106" s="5" t="s">
        <v>11574</v>
      </c>
      <c r="D1106" s="65">
        <v>5000</v>
      </c>
      <c r="F1106" s="46">
        <f t="shared" si="25"/>
        <v>1160071</v>
      </c>
      <c r="G1106" s="388" t="s">
        <v>9567</v>
      </c>
    </row>
    <row r="1107" spans="1:7" x14ac:dyDescent="0.3">
      <c r="A1107" s="54">
        <v>45114</v>
      </c>
      <c r="C1107" s="5" t="s">
        <v>11600</v>
      </c>
      <c r="D1107" s="43">
        <v>500</v>
      </c>
      <c r="F1107" s="46">
        <f t="shared" si="25"/>
        <v>1159571</v>
      </c>
      <c r="G1107" s="388" t="s">
        <v>9567</v>
      </c>
    </row>
    <row r="1108" spans="1:7" x14ac:dyDescent="0.3">
      <c r="A1108" s="54">
        <v>45117</v>
      </c>
      <c r="C1108" s="5" t="s">
        <v>11611</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11664</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11671</v>
      </c>
      <c r="D1114" s="43">
        <v>2000</v>
      </c>
      <c r="F1114" s="46">
        <f t="shared" si="26"/>
        <v>1207256</v>
      </c>
      <c r="G1114" s="388" t="s">
        <v>9567</v>
      </c>
    </row>
    <row r="1115" spans="1:7" x14ac:dyDescent="0.3">
      <c r="A1115" s="54">
        <v>45121</v>
      </c>
      <c r="B1115" s="319" t="s">
        <v>11672</v>
      </c>
      <c r="C1115" s="5" t="s">
        <v>11673</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11674</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11715</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11835</v>
      </c>
      <c r="D1125" s="43">
        <v>2000</v>
      </c>
      <c r="F1125" s="46">
        <f t="shared" si="26"/>
        <v>1222916</v>
      </c>
      <c r="G1125" s="388" t="s">
        <v>9567</v>
      </c>
    </row>
    <row r="1126" spans="1:7" x14ac:dyDescent="0.3">
      <c r="A1126" s="54">
        <v>45145</v>
      </c>
      <c r="C1126" s="5" t="s">
        <v>11843</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11915</v>
      </c>
      <c r="D1130" s="65">
        <v>50000</v>
      </c>
      <c r="F1130" s="46">
        <f t="shared" si="26"/>
        <v>1186916</v>
      </c>
      <c r="G1130" s="388" t="s">
        <v>9567</v>
      </c>
    </row>
    <row r="1131" spans="1:7" x14ac:dyDescent="0.3">
      <c r="A1131" s="54">
        <v>45149</v>
      </c>
      <c r="C1131" s="5" t="s">
        <v>11916</v>
      </c>
      <c r="D1131" s="65">
        <v>5000</v>
      </c>
      <c r="F1131" s="46">
        <f t="shared" si="26"/>
        <v>1181916</v>
      </c>
      <c r="G1131" s="388" t="s">
        <v>9567</v>
      </c>
    </row>
    <row r="1132" spans="1:7" x14ac:dyDescent="0.3">
      <c r="A1132" s="54">
        <v>45155</v>
      </c>
      <c r="C1132" s="5" t="s">
        <v>11938</v>
      </c>
      <c r="D1132" s="43"/>
      <c r="E1132" s="28">
        <v>102300</v>
      </c>
      <c r="F1132" s="46">
        <f t="shared" si="26"/>
        <v>1284216</v>
      </c>
      <c r="G1132" s="388" t="s">
        <v>9567</v>
      </c>
    </row>
    <row r="1133" spans="1:7" x14ac:dyDescent="0.3">
      <c r="A1133" s="54">
        <v>45155</v>
      </c>
      <c r="C1133" s="5" t="s">
        <v>11939</v>
      </c>
      <c r="D1133" s="65">
        <v>45050</v>
      </c>
      <c r="F1133" s="46">
        <f t="shared" si="26"/>
        <v>1239166</v>
      </c>
      <c r="G1133" s="388" t="s">
        <v>9567</v>
      </c>
    </row>
    <row r="1134" spans="1:7" x14ac:dyDescent="0.3">
      <c r="A1134" s="54">
        <v>45155</v>
      </c>
      <c r="C1134" s="5" t="s">
        <v>11945</v>
      </c>
      <c r="E1134" s="28">
        <v>20000</v>
      </c>
      <c r="F1134" s="46">
        <f t="shared" si="26"/>
        <v>1259166</v>
      </c>
      <c r="G1134" s="388" t="s">
        <v>9567</v>
      </c>
    </row>
    <row r="1135" spans="1:7" x14ac:dyDescent="0.3">
      <c r="A1135" s="54">
        <v>45155</v>
      </c>
      <c r="C1135" s="5" t="s">
        <v>11961</v>
      </c>
      <c r="D1135" s="65">
        <v>32000</v>
      </c>
      <c r="E1135" s="28"/>
      <c r="F1135" s="46">
        <f t="shared" si="26"/>
        <v>1227166</v>
      </c>
      <c r="G1135" s="388" t="s">
        <v>9567</v>
      </c>
    </row>
    <row r="1136" spans="1:7" x14ac:dyDescent="0.3">
      <c r="A1136" s="54">
        <v>45159</v>
      </c>
      <c r="C1136" s="5" t="s">
        <v>11972</v>
      </c>
      <c r="D1136" s="43">
        <v>50000</v>
      </c>
      <c r="E1136" s="65"/>
      <c r="F1136" s="46">
        <f t="shared" si="26"/>
        <v>1177166</v>
      </c>
      <c r="G1136" s="388" t="s">
        <v>9567</v>
      </c>
    </row>
    <row r="1137" spans="1:7" x14ac:dyDescent="0.3">
      <c r="A1137" s="54">
        <v>45164</v>
      </c>
      <c r="C1137" s="5" t="s">
        <v>12004</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12073</v>
      </c>
      <c r="D1141" s="48">
        <v>50000</v>
      </c>
      <c r="E1141" s="48"/>
      <c r="F1141" s="46">
        <f t="shared" si="26"/>
        <v>1122356</v>
      </c>
      <c r="G1141" s="397" t="s">
        <v>9567</v>
      </c>
    </row>
    <row r="1142" spans="1:7" s="354" customFormat="1" x14ac:dyDescent="0.25">
      <c r="A1142" s="54">
        <v>45175</v>
      </c>
      <c r="B1142" s="319"/>
      <c r="C1142" s="44" t="s">
        <v>12074</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12196</v>
      </c>
      <c r="D1149" s="48"/>
      <c r="E1149" s="48">
        <v>55000</v>
      </c>
      <c r="F1149" s="46">
        <f t="shared" si="26"/>
        <v>1250485</v>
      </c>
      <c r="G1149" s="397" t="s">
        <v>9567</v>
      </c>
    </row>
    <row r="1150" spans="1:7" x14ac:dyDescent="0.3">
      <c r="A1150" s="54">
        <v>45194</v>
      </c>
      <c r="C1150" s="5" t="s">
        <v>12209</v>
      </c>
      <c r="D1150" s="65">
        <v>25000</v>
      </c>
      <c r="E1150" s="65"/>
      <c r="F1150" s="46">
        <f t="shared" si="26"/>
        <v>1225485</v>
      </c>
      <c r="G1150" s="397" t="s">
        <v>9567</v>
      </c>
    </row>
    <row r="1151" spans="1:7" x14ac:dyDescent="0.3">
      <c r="A1151" s="54">
        <v>45194</v>
      </c>
      <c r="C1151" s="5" t="s">
        <v>12210</v>
      </c>
      <c r="D1151" s="65">
        <v>5000</v>
      </c>
      <c r="E1151" s="65"/>
      <c r="F1151" s="46">
        <f t="shared" si="26"/>
        <v>1220485</v>
      </c>
      <c r="G1151" s="397" t="s">
        <v>9567</v>
      </c>
    </row>
    <row r="1152" spans="1:7" x14ac:dyDescent="0.3">
      <c r="A1152" s="54">
        <v>45197</v>
      </c>
      <c r="C1152" s="5" t="s">
        <v>12236</v>
      </c>
      <c r="D1152" s="65">
        <v>20000</v>
      </c>
      <c r="E1152" s="65"/>
      <c r="F1152" s="46">
        <f t="shared" si="26"/>
        <v>1200485</v>
      </c>
      <c r="G1152" s="397" t="s">
        <v>9567</v>
      </c>
    </row>
    <row r="1153" spans="1:7" x14ac:dyDescent="0.3">
      <c r="A1153" s="54">
        <v>45197</v>
      </c>
      <c r="C1153" s="5" t="s">
        <v>12210</v>
      </c>
      <c r="D1153" s="65">
        <v>5000</v>
      </c>
      <c r="E1153" s="65"/>
      <c r="F1153" s="46">
        <f t="shared" si="26"/>
        <v>1195485</v>
      </c>
      <c r="G1153" s="397" t="s">
        <v>9567</v>
      </c>
    </row>
    <row r="1154" spans="1:7" x14ac:dyDescent="0.3">
      <c r="A1154" s="54">
        <v>45197</v>
      </c>
      <c r="C1154" s="5" t="s">
        <v>12237</v>
      </c>
      <c r="D1154" s="65">
        <v>5000</v>
      </c>
      <c r="E1154" s="65"/>
      <c r="F1154" s="46">
        <f t="shared" si="26"/>
        <v>1190485</v>
      </c>
      <c r="G1154" s="397" t="s">
        <v>9567</v>
      </c>
    </row>
    <row r="1155" spans="1:7" x14ac:dyDescent="0.3">
      <c r="A1155" s="54">
        <v>45201</v>
      </c>
      <c r="C1155" s="5" t="s">
        <v>12259</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12286</v>
      </c>
      <c r="D1157" s="65">
        <v>60000</v>
      </c>
      <c r="E1157" s="65"/>
      <c r="F1157" s="46">
        <f t="shared" si="26"/>
        <v>1225343</v>
      </c>
      <c r="G1157" s="397" t="s">
        <v>9567</v>
      </c>
    </row>
    <row r="1158" spans="1:7" x14ac:dyDescent="0.3">
      <c r="A1158" s="54">
        <v>45208</v>
      </c>
      <c r="C1158" s="44" t="s">
        <v>12314</v>
      </c>
      <c r="D1158" s="48">
        <v>50000</v>
      </c>
      <c r="E1158" s="65"/>
      <c r="F1158" s="46">
        <f t="shared" si="26"/>
        <v>1175343</v>
      </c>
      <c r="G1158" s="397" t="s">
        <v>9567</v>
      </c>
    </row>
    <row r="1159" spans="1:7" x14ac:dyDescent="0.3">
      <c r="A1159" s="54">
        <v>45208</v>
      </c>
      <c r="C1159" s="44" t="s">
        <v>12315</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12331</v>
      </c>
      <c r="D1161" s="48">
        <f>5000+7000+7000+7000+7000+16000+5000</f>
        <v>54000</v>
      </c>
      <c r="E1161" s="48"/>
      <c r="F1161" s="46">
        <f t="shared" ref="F1161:F1223" si="27">F1160+E1161-D1161</f>
        <v>1114343</v>
      </c>
      <c r="G1161" s="397" t="s">
        <v>9567</v>
      </c>
    </row>
    <row r="1162" spans="1:7" x14ac:dyDescent="0.3">
      <c r="A1162" s="54">
        <v>45213</v>
      </c>
      <c r="C1162" s="5" t="s">
        <v>12352</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12422</v>
      </c>
      <c r="D1164" s="65">
        <v>1000</v>
      </c>
      <c r="E1164" s="65"/>
      <c r="F1164" s="46">
        <f t="shared" si="27"/>
        <v>1062343</v>
      </c>
      <c r="G1164" s="388" t="s">
        <v>9567</v>
      </c>
    </row>
    <row r="1165" spans="1:7" x14ac:dyDescent="0.3">
      <c r="A1165" s="54">
        <v>45223</v>
      </c>
      <c r="C1165" s="5" t="s">
        <v>12423</v>
      </c>
      <c r="D1165" s="65">
        <v>1000</v>
      </c>
      <c r="E1165" s="65"/>
      <c r="F1165" s="46">
        <f t="shared" si="27"/>
        <v>1061343</v>
      </c>
      <c r="G1165" s="388" t="s">
        <v>9567</v>
      </c>
    </row>
    <row r="1166" spans="1:7" x14ac:dyDescent="0.3">
      <c r="A1166" s="54">
        <v>45223</v>
      </c>
      <c r="C1166" s="5" t="s">
        <v>12424</v>
      </c>
      <c r="D1166" s="65">
        <v>8300</v>
      </c>
      <c r="E1166" s="65"/>
      <c r="F1166" s="46">
        <f t="shared" si="27"/>
        <v>1053043</v>
      </c>
      <c r="G1166" s="388" t="s">
        <v>9567</v>
      </c>
    </row>
    <row r="1167" spans="1:7" x14ac:dyDescent="0.3">
      <c r="A1167" s="54">
        <v>45225</v>
      </c>
      <c r="C1167" s="5" t="s">
        <v>12445</v>
      </c>
      <c r="D1167" s="65"/>
      <c r="E1167" s="65">
        <v>12200</v>
      </c>
      <c r="F1167" s="46">
        <f t="shared" si="27"/>
        <v>1065243</v>
      </c>
      <c r="G1167" s="388" t="s">
        <v>9567</v>
      </c>
    </row>
    <row r="1168" spans="1:7" x14ac:dyDescent="0.3">
      <c r="A1168" s="54">
        <v>45225</v>
      </c>
      <c r="C1168" s="5" t="s">
        <v>12446</v>
      </c>
      <c r="D1168" s="65"/>
      <c r="E1168" s="65">
        <v>11150</v>
      </c>
      <c r="F1168" s="46">
        <f t="shared" si="27"/>
        <v>1076393</v>
      </c>
      <c r="G1168" s="388" t="s">
        <v>9567</v>
      </c>
    </row>
    <row r="1169" spans="1:7" x14ac:dyDescent="0.3">
      <c r="A1169" s="54">
        <v>45229</v>
      </c>
      <c r="C1169" s="5" t="s">
        <v>12472</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12512</v>
      </c>
      <c r="D1172" s="65">
        <v>5000</v>
      </c>
      <c r="E1172" s="65"/>
      <c r="F1172" s="46">
        <f t="shared" si="27"/>
        <v>1078583</v>
      </c>
      <c r="G1172" s="397" t="s">
        <v>9567</v>
      </c>
    </row>
    <row r="1173" spans="1:7" x14ac:dyDescent="0.3">
      <c r="A1173" s="54">
        <v>45236</v>
      </c>
      <c r="C1173" s="44" t="s">
        <v>12539</v>
      </c>
      <c r="D1173" s="48">
        <v>50000</v>
      </c>
      <c r="E1173" s="65"/>
      <c r="F1173" s="46">
        <f t="shared" si="27"/>
        <v>1028583</v>
      </c>
      <c r="G1173" s="397" t="s">
        <v>9567</v>
      </c>
    </row>
    <row r="1174" spans="1:7" x14ac:dyDescent="0.3">
      <c r="A1174" s="54">
        <v>45236</v>
      </c>
      <c r="C1174" s="44" t="s">
        <v>12540</v>
      </c>
      <c r="D1174" s="48">
        <v>5000</v>
      </c>
      <c r="E1174" s="65"/>
      <c r="F1174" s="46">
        <f t="shared" si="27"/>
        <v>1023583</v>
      </c>
      <c r="G1174" s="397" t="s">
        <v>9567</v>
      </c>
    </row>
    <row r="1175" spans="1:7" x14ac:dyDescent="0.3">
      <c r="A1175" s="54">
        <v>45241</v>
      </c>
      <c r="C1175" s="5" t="s">
        <v>12577</v>
      </c>
      <c r="D1175" s="48">
        <v>5000</v>
      </c>
      <c r="E1175" s="65"/>
      <c r="F1175" s="46">
        <f t="shared" si="27"/>
        <v>1018583</v>
      </c>
      <c r="G1175" s="397" t="s">
        <v>9567</v>
      </c>
    </row>
    <row r="1176" spans="1:7" x14ac:dyDescent="0.3">
      <c r="A1176" s="54">
        <v>45241</v>
      </c>
      <c r="C1176" s="5" t="s">
        <v>12578</v>
      </c>
      <c r="D1176" s="65">
        <v>10000</v>
      </c>
      <c r="E1176" s="65"/>
      <c r="F1176" s="46">
        <f t="shared" si="27"/>
        <v>1008583</v>
      </c>
      <c r="G1176" s="397" t="s">
        <v>9567</v>
      </c>
    </row>
    <row r="1177" spans="1:7" x14ac:dyDescent="0.3">
      <c r="A1177" s="54">
        <v>45241</v>
      </c>
      <c r="C1177" s="5" t="s">
        <v>12579</v>
      </c>
      <c r="D1177" s="65">
        <v>3500</v>
      </c>
      <c r="E1177" s="65"/>
      <c r="F1177" s="46">
        <f t="shared" si="27"/>
        <v>1005083</v>
      </c>
      <c r="G1177" s="397" t="s">
        <v>9567</v>
      </c>
    </row>
    <row r="1178" spans="1:7" x14ac:dyDescent="0.3">
      <c r="A1178" s="54">
        <v>45241</v>
      </c>
      <c r="C1178" s="5" t="s">
        <v>12580</v>
      </c>
      <c r="D1178" s="65">
        <v>4500</v>
      </c>
      <c r="E1178" s="65"/>
      <c r="F1178" s="46">
        <f t="shared" si="27"/>
        <v>1000583</v>
      </c>
      <c r="G1178" s="397" t="s">
        <v>9567</v>
      </c>
    </row>
    <row r="1179" spans="1:7" x14ac:dyDescent="0.3">
      <c r="A1179" s="54">
        <v>45241</v>
      </c>
      <c r="C1179" s="5" t="s">
        <v>12581</v>
      </c>
      <c r="D1179" s="65">
        <v>5440</v>
      </c>
      <c r="E1179" s="65"/>
      <c r="F1179" s="46">
        <f t="shared" si="27"/>
        <v>995143</v>
      </c>
      <c r="G1179" s="397" t="s">
        <v>9567</v>
      </c>
    </row>
    <row r="1180" spans="1:7" x14ac:dyDescent="0.3">
      <c r="A1180" s="54">
        <v>45244</v>
      </c>
      <c r="C1180" s="5" t="s">
        <v>12215</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12720</v>
      </c>
      <c r="D1183" s="65">
        <v>59683</v>
      </c>
      <c r="E1183" s="65"/>
      <c r="F1183" s="46">
        <f t="shared" si="27"/>
        <v>965460</v>
      </c>
      <c r="G1183" s="397" t="s">
        <v>9567</v>
      </c>
    </row>
    <row r="1184" spans="1:7" x14ac:dyDescent="0.3">
      <c r="A1184" s="54">
        <v>45260</v>
      </c>
      <c r="C1184" s="5" t="s">
        <v>12729</v>
      </c>
      <c r="D1184" s="65">
        <v>17000</v>
      </c>
      <c r="E1184" s="65"/>
      <c r="F1184" s="46">
        <f t="shared" si="27"/>
        <v>948460</v>
      </c>
      <c r="G1184" s="397" t="s">
        <v>9567</v>
      </c>
    </row>
    <row r="1185" spans="1:7" x14ac:dyDescent="0.3">
      <c r="A1185" s="54">
        <v>45260</v>
      </c>
      <c r="C1185" s="5" t="s">
        <v>12728</v>
      </c>
      <c r="D1185" s="65">
        <v>5000</v>
      </c>
      <c r="E1185" s="65"/>
      <c r="F1185" s="46">
        <f t="shared" si="27"/>
        <v>943460</v>
      </c>
      <c r="G1185" s="397" t="s">
        <v>9567</v>
      </c>
    </row>
    <row r="1186" spans="1:7" x14ac:dyDescent="0.3">
      <c r="A1186" s="54">
        <v>45260</v>
      </c>
      <c r="C1186" s="5" t="s">
        <v>12731</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12215</v>
      </c>
      <c r="D1188" s="65"/>
      <c r="E1188" s="65">
        <v>22038</v>
      </c>
      <c r="F1188" s="46">
        <f t="shared" si="27"/>
        <v>958998</v>
      </c>
      <c r="G1188" s="388" t="s">
        <v>9567</v>
      </c>
    </row>
    <row r="1189" spans="1:7" x14ac:dyDescent="0.3">
      <c r="A1189" s="54">
        <v>45266</v>
      </c>
      <c r="C1189" s="44" t="s">
        <v>12748</v>
      </c>
      <c r="D1189" s="48">
        <v>50000</v>
      </c>
      <c r="E1189" s="65"/>
      <c r="F1189" s="46">
        <f t="shared" si="27"/>
        <v>908998</v>
      </c>
      <c r="G1189" s="388" t="s">
        <v>9567</v>
      </c>
    </row>
    <row r="1190" spans="1:7" x14ac:dyDescent="0.3">
      <c r="A1190" s="54">
        <v>45266</v>
      </c>
      <c r="C1190" s="44" t="s">
        <v>12749</v>
      </c>
      <c r="D1190" s="48">
        <v>5000</v>
      </c>
      <c r="E1190" s="65"/>
      <c r="F1190" s="46">
        <f t="shared" si="27"/>
        <v>903998</v>
      </c>
      <c r="G1190" s="388" t="s">
        <v>9567</v>
      </c>
    </row>
    <row r="1191" spans="1:7" s="354" customFormat="1" x14ac:dyDescent="0.3">
      <c r="A1191" s="54">
        <v>45266</v>
      </c>
      <c r="B1191" s="319"/>
      <c r="C1191" s="124" t="s">
        <v>12763</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12577</v>
      </c>
      <c r="D1193" s="65">
        <v>10600</v>
      </c>
      <c r="E1193" s="65"/>
      <c r="F1193" s="46">
        <f t="shared" si="27"/>
        <v>905398</v>
      </c>
      <c r="G1193" s="388" t="s">
        <v>9567</v>
      </c>
    </row>
    <row r="1194" spans="1:7" x14ac:dyDescent="0.3">
      <c r="A1194" s="54">
        <v>45275</v>
      </c>
      <c r="C1194" s="5" t="s">
        <v>12806</v>
      </c>
      <c r="D1194" s="65">
        <v>12000</v>
      </c>
      <c r="E1194" s="65"/>
      <c r="F1194" s="46">
        <f t="shared" si="27"/>
        <v>893398</v>
      </c>
      <c r="G1194" s="388" t="s">
        <v>9567</v>
      </c>
    </row>
    <row r="1195" spans="1:7" x14ac:dyDescent="0.3">
      <c r="A1195" s="54">
        <v>45281</v>
      </c>
      <c r="C1195" s="5" t="s">
        <v>12840</v>
      </c>
      <c r="D1195" s="65"/>
      <c r="E1195" s="65">
        <v>12000</v>
      </c>
      <c r="F1195" s="46">
        <f t="shared" si="27"/>
        <v>905398</v>
      </c>
      <c r="G1195" s="388" t="s">
        <v>9567</v>
      </c>
    </row>
    <row r="1196" spans="1:7" x14ac:dyDescent="0.3">
      <c r="A1196" s="54">
        <v>45286</v>
      </c>
      <c r="C1196" s="5" t="s">
        <v>12857</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12840</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12215</v>
      </c>
      <c r="D1202" s="65"/>
      <c r="E1202" s="65">
        <v>9913</v>
      </c>
      <c r="F1202" s="46">
        <f t="shared" si="27"/>
        <v>923681</v>
      </c>
      <c r="G1202" s="388" t="s">
        <v>9567</v>
      </c>
    </row>
    <row r="1203" spans="1:7" x14ac:dyDescent="0.3">
      <c r="A1203" s="54">
        <v>45299</v>
      </c>
      <c r="C1203" s="44" t="s">
        <v>12947</v>
      </c>
      <c r="D1203" s="48">
        <v>50000</v>
      </c>
      <c r="E1203" s="65"/>
      <c r="F1203" s="46">
        <f t="shared" si="27"/>
        <v>873681</v>
      </c>
      <c r="G1203" s="388" t="s">
        <v>9567</v>
      </c>
    </row>
    <row r="1204" spans="1:7" x14ac:dyDescent="0.3">
      <c r="A1204" s="54">
        <v>45299</v>
      </c>
      <c r="C1204" s="44" t="s">
        <v>12948</v>
      </c>
      <c r="D1204" s="48">
        <v>5000</v>
      </c>
      <c r="E1204" s="65"/>
      <c r="F1204" s="46">
        <f t="shared" si="27"/>
        <v>868681</v>
      </c>
      <c r="G1204" s="388" t="s">
        <v>9567</v>
      </c>
    </row>
    <row r="1205" spans="1:7" x14ac:dyDescent="0.3">
      <c r="A1205" s="54">
        <v>45299</v>
      </c>
      <c r="C1205" s="5" t="s">
        <v>12970</v>
      </c>
      <c r="D1205" s="65">
        <v>10000</v>
      </c>
      <c r="E1205" s="65"/>
      <c r="F1205" s="46">
        <f t="shared" si="27"/>
        <v>858681</v>
      </c>
      <c r="G1205" s="388" t="s">
        <v>9567</v>
      </c>
    </row>
    <row r="1206" spans="1:7" x14ac:dyDescent="0.3">
      <c r="A1206" s="54">
        <v>45299</v>
      </c>
      <c r="C1206" s="5" t="s">
        <v>13009</v>
      </c>
      <c r="D1206" s="65">
        <v>20000</v>
      </c>
      <c r="E1206" s="65"/>
      <c r="F1206" s="46">
        <f t="shared" si="27"/>
        <v>838681</v>
      </c>
      <c r="G1206" s="388" t="s">
        <v>9567</v>
      </c>
    </row>
    <row r="1207" spans="1:7" x14ac:dyDescent="0.3">
      <c r="A1207" s="54">
        <v>45299</v>
      </c>
      <c r="C1207" s="5" t="s">
        <v>13009</v>
      </c>
      <c r="D1207" s="65">
        <v>15000</v>
      </c>
      <c r="E1207" s="65"/>
      <c r="F1207" s="46">
        <f t="shared" si="27"/>
        <v>823681</v>
      </c>
      <c r="G1207" s="388" t="s">
        <v>9567</v>
      </c>
    </row>
    <row r="1208" spans="1:7" x14ac:dyDescent="0.3">
      <c r="A1208" s="54">
        <v>45299</v>
      </c>
      <c r="C1208" s="5" t="s">
        <v>13010</v>
      </c>
      <c r="D1208" s="65">
        <v>5000</v>
      </c>
      <c r="E1208" s="65"/>
      <c r="F1208" s="46">
        <f t="shared" si="27"/>
        <v>818681</v>
      </c>
      <c r="G1208" s="388" t="s">
        <v>9567</v>
      </c>
    </row>
    <row r="1209" spans="1:7" x14ac:dyDescent="0.3">
      <c r="A1209" s="54">
        <v>45299</v>
      </c>
      <c r="C1209" s="5" t="s">
        <v>13030</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12420</v>
      </c>
      <c r="D1211" s="65">
        <v>5000</v>
      </c>
      <c r="E1211" s="65"/>
      <c r="F1211" s="46">
        <f t="shared" si="27"/>
        <v>833681</v>
      </c>
      <c r="G1211" s="388" t="s">
        <v>9567</v>
      </c>
    </row>
    <row r="1212" spans="1:7" x14ac:dyDescent="0.3">
      <c r="A1212" s="54">
        <v>45313</v>
      </c>
      <c r="C1212" s="5" t="s">
        <v>13056</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12420</v>
      </c>
      <c r="D1214" s="65">
        <v>15000</v>
      </c>
      <c r="E1214" s="65"/>
      <c r="F1214" s="46">
        <f t="shared" si="27"/>
        <v>932671</v>
      </c>
      <c r="G1214" s="388" t="s">
        <v>9567</v>
      </c>
    </row>
    <row r="1215" spans="1:7" x14ac:dyDescent="0.3">
      <c r="A1215" s="54">
        <v>45316</v>
      </c>
      <c r="C1215" s="5" t="s">
        <v>13089</v>
      </c>
      <c r="D1215" s="65">
        <v>35000</v>
      </c>
      <c r="E1215" s="65"/>
      <c r="F1215" s="46">
        <f t="shared" si="27"/>
        <v>897671</v>
      </c>
      <c r="G1215" s="388" t="s">
        <v>9567</v>
      </c>
    </row>
    <row r="1216" spans="1:7" x14ac:dyDescent="0.3">
      <c r="A1216" s="54">
        <v>45316</v>
      </c>
      <c r="C1216" s="5" t="s">
        <v>13090</v>
      </c>
      <c r="D1216" s="65">
        <v>10000</v>
      </c>
      <c r="E1216" s="65"/>
      <c r="F1216" s="46">
        <f t="shared" si="27"/>
        <v>887671</v>
      </c>
      <c r="G1216" s="388" t="s">
        <v>9567</v>
      </c>
    </row>
    <row r="1217" spans="1:7" x14ac:dyDescent="0.3">
      <c r="A1217" s="54">
        <v>45316</v>
      </c>
      <c r="C1217" s="570" t="s">
        <v>13123</v>
      </c>
      <c r="D1217" s="572">
        <v>3000</v>
      </c>
      <c r="E1217" s="65"/>
      <c r="F1217" s="46">
        <f t="shared" si="27"/>
        <v>884671</v>
      </c>
      <c r="G1217" s="388" t="s">
        <v>9566</v>
      </c>
    </row>
    <row r="1218" spans="1:7" s="354" customFormat="1" x14ac:dyDescent="0.25">
      <c r="A1218" s="54">
        <v>45316</v>
      </c>
      <c r="B1218" s="319"/>
      <c r="C1218" s="44" t="s">
        <v>13099</v>
      </c>
      <c r="D1218" s="48">
        <v>11800</v>
      </c>
      <c r="E1218" s="48"/>
      <c r="F1218" s="46">
        <f t="shared" si="27"/>
        <v>872871</v>
      </c>
      <c r="G1218" s="397" t="s">
        <v>9567</v>
      </c>
    </row>
    <row r="1219" spans="1:7" s="354" customFormat="1" x14ac:dyDescent="0.25">
      <c r="A1219" s="54">
        <v>45320</v>
      </c>
      <c r="B1219" s="319"/>
      <c r="C1219" s="44" t="s">
        <v>13120</v>
      </c>
      <c r="D1219" s="48">
        <v>55600</v>
      </c>
      <c r="E1219" s="48"/>
      <c r="F1219" s="46">
        <f t="shared" si="27"/>
        <v>817271</v>
      </c>
      <c r="G1219" s="397" t="s">
        <v>9567</v>
      </c>
    </row>
    <row r="1220" spans="1:7" x14ac:dyDescent="0.35">
      <c r="A1220" s="620">
        <v>45320</v>
      </c>
      <c r="B1220" s="621"/>
      <c r="C1220" s="5" t="s">
        <v>294</v>
      </c>
      <c r="D1220" s="622"/>
      <c r="E1220" s="622">
        <v>100000</v>
      </c>
      <c r="F1220" s="623">
        <f t="shared" si="27"/>
        <v>917271</v>
      </c>
      <c r="G1220" s="388" t="s">
        <v>9567</v>
      </c>
    </row>
    <row r="1221" spans="1:7" x14ac:dyDescent="0.35">
      <c r="A1221" s="620">
        <v>45319</v>
      </c>
      <c r="B1221" s="621" t="s">
        <v>11571</v>
      </c>
      <c r="C1221" s="5" t="s">
        <v>12420</v>
      </c>
      <c r="D1221" s="622">
        <v>5000</v>
      </c>
      <c r="E1221" s="622"/>
      <c r="F1221" s="623">
        <f t="shared" si="27"/>
        <v>912271</v>
      </c>
      <c r="G1221" s="388" t="s">
        <v>9567</v>
      </c>
    </row>
    <row r="1222" spans="1:7" x14ac:dyDescent="0.35">
      <c r="A1222" s="620">
        <v>45320</v>
      </c>
      <c r="B1222" s="621" t="s">
        <v>11571</v>
      </c>
      <c r="C1222" s="5" t="s">
        <v>13127</v>
      </c>
      <c r="D1222" s="622">
        <v>5000</v>
      </c>
      <c r="E1222" s="622"/>
      <c r="F1222" s="623">
        <f t="shared" si="27"/>
        <v>907271</v>
      </c>
      <c r="G1222" s="388" t="s">
        <v>9567</v>
      </c>
    </row>
    <row r="1223" spans="1:7" x14ac:dyDescent="0.35">
      <c r="A1223" s="620">
        <v>45320</v>
      </c>
      <c r="B1223" s="621" t="s">
        <v>9895</v>
      </c>
      <c r="C1223" s="5" t="s">
        <v>13146</v>
      </c>
      <c r="D1223" s="622">
        <v>25000</v>
      </c>
      <c r="E1223" s="622"/>
      <c r="F1223" s="623">
        <f t="shared" si="27"/>
        <v>882271</v>
      </c>
      <c r="G1223" s="388" t="s">
        <v>9567</v>
      </c>
    </row>
    <row r="1224" spans="1:7" x14ac:dyDescent="0.35">
      <c r="A1224" s="620">
        <v>45320</v>
      </c>
      <c r="B1224" s="621" t="s">
        <v>13128</v>
      </c>
      <c r="C1224" s="5" t="s">
        <v>13147</v>
      </c>
      <c r="D1224" s="622">
        <v>10000</v>
      </c>
      <c r="E1224" s="622"/>
      <c r="F1224" s="623">
        <f t="shared" ref="F1224:F1287" si="28">F1223+E1224-D1224</f>
        <v>872271</v>
      </c>
      <c r="G1224" s="388" t="s">
        <v>9567</v>
      </c>
    </row>
    <row r="1225" spans="1:7" x14ac:dyDescent="0.35">
      <c r="A1225" s="620">
        <v>45320</v>
      </c>
      <c r="B1225" s="621" t="s">
        <v>13129</v>
      </c>
      <c r="C1225" s="5" t="s">
        <v>13130</v>
      </c>
      <c r="D1225" s="622">
        <v>62400</v>
      </c>
      <c r="E1225" s="622"/>
      <c r="F1225" s="623">
        <f t="shared" si="28"/>
        <v>809871</v>
      </c>
      <c r="G1225" s="388" t="s">
        <v>9567</v>
      </c>
    </row>
    <row r="1226" spans="1:7" x14ac:dyDescent="0.35">
      <c r="A1226" s="620">
        <v>45321</v>
      </c>
      <c r="B1226" s="621"/>
      <c r="C1226" s="5" t="s">
        <v>294</v>
      </c>
      <c r="D1226" s="622"/>
      <c r="E1226" s="622">
        <v>100000</v>
      </c>
      <c r="F1226" s="623">
        <f t="shared" si="28"/>
        <v>909871</v>
      </c>
      <c r="G1226" s="388" t="s">
        <v>9567</v>
      </c>
    </row>
    <row r="1227" spans="1:7" x14ac:dyDescent="0.35">
      <c r="A1227" s="620">
        <v>45321</v>
      </c>
      <c r="B1227" s="621" t="s">
        <v>13136</v>
      </c>
      <c r="C1227" s="5" t="s">
        <v>13135</v>
      </c>
      <c r="D1227" s="622">
        <v>27400</v>
      </c>
      <c r="E1227" s="622"/>
      <c r="F1227" s="623">
        <f t="shared" si="28"/>
        <v>882471</v>
      </c>
      <c r="G1227" s="388" t="s">
        <v>9567</v>
      </c>
    </row>
    <row r="1228" spans="1:7" x14ac:dyDescent="0.35">
      <c r="A1228" s="620">
        <v>45322</v>
      </c>
      <c r="B1228" s="621" t="s">
        <v>13140</v>
      </c>
      <c r="C1228" s="5" t="s">
        <v>4601</v>
      </c>
      <c r="D1228" s="622"/>
      <c r="E1228" s="622">
        <v>610</v>
      </c>
      <c r="F1228" s="623">
        <f t="shared" si="28"/>
        <v>883081</v>
      </c>
      <c r="G1228" s="388" t="s">
        <v>9567</v>
      </c>
    </row>
    <row r="1229" spans="1:7" x14ac:dyDescent="0.35">
      <c r="A1229" s="620">
        <v>45322</v>
      </c>
      <c r="B1229" s="621" t="s">
        <v>445</v>
      </c>
      <c r="C1229" s="570" t="s">
        <v>13144</v>
      </c>
      <c r="D1229" s="624">
        <v>5000</v>
      </c>
      <c r="E1229" s="622"/>
      <c r="F1229" s="623">
        <f t="shared" si="28"/>
        <v>878081</v>
      </c>
      <c r="G1229" s="388" t="s">
        <v>9567</v>
      </c>
    </row>
    <row r="1230" spans="1:7" x14ac:dyDescent="0.35">
      <c r="A1230" s="620">
        <v>45322</v>
      </c>
      <c r="B1230" s="621" t="s">
        <v>402</v>
      </c>
      <c r="C1230" s="570" t="s">
        <v>13143</v>
      </c>
      <c r="D1230" s="624">
        <v>5000</v>
      </c>
      <c r="E1230" s="622"/>
      <c r="F1230" s="623">
        <f t="shared" si="28"/>
        <v>873081</v>
      </c>
      <c r="G1230" s="388" t="s">
        <v>9567</v>
      </c>
    </row>
    <row r="1231" spans="1:7" x14ac:dyDescent="0.35">
      <c r="A1231" s="620">
        <v>45322</v>
      </c>
      <c r="B1231" s="621" t="s">
        <v>13141</v>
      </c>
      <c r="C1231" s="570" t="s">
        <v>13142</v>
      </c>
      <c r="D1231" s="624">
        <v>5000</v>
      </c>
      <c r="E1231" s="622"/>
      <c r="F1231" s="623">
        <f t="shared" si="28"/>
        <v>868081</v>
      </c>
      <c r="G1231" s="388" t="s">
        <v>9567</v>
      </c>
    </row>
    <row r="1232" spans="1:7" s="354" customFormat="1" x14ac:dyDescent="0.3">
      <c r="A1232" s="620">
        <v>45328</v>
      </c>
      <c r="B1232" s="319"/>
      <c r="C1232" s="44" t="s">
        <v>294</v>
      </c>
      <c r="D1232" s="48"/>
      <c r="E1232" s="48">
        <v>10000</v>
      </c>
      <c r="F1232" s="623">
        <f t="shared" si="28"/>
        <v>878081</v>
      </c>
      <c r="G1232" s="388" t="s">
        <v>9567</v>
      </c>
    </row>
    <row r="1233" spans="1:7" s="354" customFormat="1" x14ac:dyDescent="0.3">
      <c r="A1233" s="620">
        <v>45328</v>
      </c>
      <c r="B1233" s="319" t="s">
        <v>9895</v>
      </c>
      <c r="C1233" s="5" t="s">
        <v>13173</v>
      </c>
      <c r="D1233" s="48">
        <v>30000</v>
      </c>
      <c r="E1233" s="48"/>
      <c r="F1233" s="623">
        <f t="shared" si="28"/>
        <v>848081</v>
      </c>
      <c r="G1233" s="388" t="s">
        <v>9567</v>
      </c>
    </row>
    <row r="1234" spans="1:7" s="354" customFormat="1" x14ac:dyDescent="0.3">
      <c r="A1234" s="620">
        <v>45328</v>
      </c>
      <c r="B1234" s="319" t="s">
        <v>13175</v>
      </c>
      <c r="C1234" s="570" t="s">
        <v>13174</v>
      </c>
      <c r="D1234" s="48">
        <v>5000</v>
      </c>
      <c r="E1234" s="48"/>
      <c r="F1234" s="623">
        <f t="shared" si="28"/>
        <v>843081</v>
      </c>
      <c r="G1234" s="397" t="s">
        <v>9567</v>
      </c>
    </row>
    <row r="1235" spans="1:7" s="354" customFormat="1" x14ac:dyDescent="0.3">
      <c r="A1235" s="54">
        <v>45329</v>
      </c>
      <c r="B1235" s="319"/>
      <c r="C1235" s="44" t="s">
        <v>13184</v>
      </c>
      <c r="D1235" s="48">
        <v>50000</v>
      </c>
      <c r="E1235" s="48"/>
      <c r="F1235" s="623">
        <f t="shared" si="28"/>
        <v>793081</v>
      </c>
      <c r="G1235" s="397" t="s">
        <v>9567</v>
      </c>
    </row>
    <row r="1236" spans="1:7" s="354" customFormat="1" x14ac:dyDescent="0.3">
      <c r="A1236" s="54">
        <v>45329</v>
      </c>
      <c r="B1236" s="319"/>
      <c r="C1236" s="44" t="s">
        <v>13185</v>
      </c>
      <c r="D1236" s="48">
        <v>5000</v>
      </c>
      <c r="E1236" s="48"/>
      <c r="F1236" s="623">
        <f t="shared" si="28"/>
        <v>788081</v>
      </c>
      <c r="G1236" s="397" t="s">
        <v>9567</v>
      </c>
    </row>
    <row r="1237" spans="1:7" s="354" customFormat="1" x14ac:dyDescent="0.3">
      <c r="A1237" s="54">
        <v>45331</v>
      </c>
      <c r="B1237" s="319"/>
      <c r="C1237" s="44" t="s">
        <v>294</v>
      </c>
      <c r="D1237" s="48"/>
      <c r="E1237" s="48">
        <v>102000</v>
      </c>
      <c r="F1237" s="623">
        <f t="shared" si="28"/>
        <v>890081</v>
      </c>
      <c r="G1237" s="397" t="s">
        <v>9567</v>
      </c>
    </row>
    <row r="1238" spans="1:7" s="354" customFormat="1" x14ac:dyDescent="0.3">
      <c r="A1238" s="54">
        <v>45331</v>
      </c>
      <c r="B1238" s="319"/>
      <c r="C1238" s="44" t="s">
        <v>6235</v>
      </c>
      <c r="D1238" s="48"/>
      <c r="E1238" s="48">
        <v>9031</v>
      </c>
      <c r="F1238" s="623">
        <f t="shared" si="28"/>
        <v>899112</v>
      </c>
      <c r="G1238" s="397" t="s">
        <v>9567</v>
      </c>
    </row>
    <row r="1239" spans="1:7" s="354" customFormat="1" x14ac:dyDescent="0.3">
      <c r="A1239" s="54">
        <v>45331</v>
      </c>
      <c r="B1239" s="319"/>
      <c r="C1239" s="44" t="s">
        <v>13194</v>
      </c>
      <c r="D1239" s="48">
        <v>70000</v>
      </c>
      <c r="E1239" s="48"/>
      <c r="F1239" s="623">
        <f t="shared" si="28"/>
        <v>829112</v>
      </c>
      <c r="G1239" s="397" t="s">
        <v>9567</v>
      </c>
    </row>
    <row r="1240" spans="1:7" s="354" customFormat="1" x14ac:dyDescent="0.3">
      <c r="A1240" s="54">
        <v>45332</v>
      </c>
      <c r="B1240" s="319" t="s">
        <v>13223</v>
      </c>
      <c r="C1240" s="44" t="s">
        <v>13222</v>
      </c>
      <c r="D1240" s="48">
        <v>2000</v>
      </c>
      <c r="E1240" s="48"/>
      <c r="F1240" s="623">
        <f t="shared" si="28"/>
        <v>827112</v>
      </c>
      <c r="G1240" s="397" t="s">
        <v>9567</v>
      </c>
    </row>
    <row r="1241" spans="1:7" s="354" customFormat="1" x14ac:dyDescent="0.3">
      <c r="A1241" s="54">
        <v>45339</v>
      </c>
      <c r="B1241" s="319"/>
      <c r="C1241" s="44" t="s">
        <v>10499</v>
      </c>
      <c r="D1241" s="48"/>
      <c r="E1241" s="48">
        <v>100000</v>
      </c>
      <c r="F1241" s="623">
        <f t="shared" si="28"/>
        <v>927112</v>
      </c>
      <c r="G1241" s="397" t="s">
        <v>9567</v>
      </c>
    </row>
    <row r="1242" spans="1:7" s="354" customFormat="1" x14ac:dyDescent="0.3">
      <c r="A1242" s="54">
        <v>45339</v>
      </c>
      <c r="B1242" s="319" t="s">
        <v>9895</v>
      </c>
      <c r="C1242" s="5" t="s">
        <v>13173</v>
      </c>
      <c r="D1242" s="48">
        <v>40000</v>
      </c>
      <c r="E1242" s="48"/>
      <c r="F1242" s="623">
        <f t="shared" si="28"/>
        <v>887112</v>
      </c>
      <c r="G1242" s="397" t="s">
        <v>9567</v>
      </c>
    </row>
    <row r="1243" spans="1:7" s="354" customFormat="1" x14ac:dyDescent="0.3">
      <c r="A1243" s="54">
        <v>45342</v>
      </c>
      <c r="B1243" s="319" t="s">
        <v>13281</v>
      </c>
      <c r="C1243" s="570" t="s">
        <v>13280</v>
      </c>
      <c r="D1243" s="48">
        <v>5000</v>
      </c>
      <c r="E1243" s="48"/>
      <c r="F1243" s="623">
        <f t="shared" si="28"/>
        <v>882112</v>
      </c>
      <c r="G1243" s="397" t="s">
        <v>9567</v>
      </c>
    </row>
    <row r="1244" spans="1:7" s="354" customFormat="1" x14ac:dyDescent="0.3">
      <c r="A1244" s="54">
        <v>45342</v>
      </c>
      <c r="B1244" s="319" t="s">
        <v>11571</v>
      </c>
      <c r="C1244" s="44" t="s">
        <v>3910</v>
      </c>
      <c r="D1244" s="48">
        <v>1000</v>
      </c>
      <c r="E1244" s="48"/>
      <c r="F1244" s="623">
        <f t="shared" si="28"/>
        <v>881112</v>
      </c>
      <c r="G1244" s="397" t="s">
        <v>9567</v>
      </c>
    </row>
    <row r="1245" spans="1:7" x14ac:dyDescent="0.3">
      <c r="A1245" s="54">
        <v>45344</v>
      </c>
      <c r="B1245" s="319" t="s">
        <v>445</v>
      </c>
      <c r="C1245" s="44" t="s">
        <v>13286</v>
      </c>
      <c r="D1245" s="48">
        <v>40000</v>
      </c>
      <c r="E1245" s="48"/>
      <c r="F1245" s="623">
        <f t="shared" si="28"/>
        <v>841112</v>
      </c>
      <c r="G1245" s="397" t="s">
        <v>9567</v>
      </c>
    </row>
    <row r="1246" spans="1:7" x14ac:dyDescent="0.3">
      <c r="A1246" s="54">
        <v>45348</v>
      </c>
      <c r="C1246" s="44" t="s">
        <v>294</v>
      </c>
      <c r="D1246" s="48"/>
      <c r="E1246" s="48">
        <v>5000</v>
      </c>
      <c r="F1246" s="623">
        <f t="shared" si="28"/>
        <v>846112</v>
      </c>
      <c r="G1246" s="397" t="s">
        <v>9567</v>
      </c>
    </row>
    <row r="1247" spans="1:7" x14ac:dyDescent="0.3">
      <c r="A1247" s="54">
        <v>45350</v>
      </c>
      <c r="C1247" s="5" t="s">
        <v>12579</v>
      </c>
      <c r="D1247" s="65">
        <v>6000</v>
      </c>
      <c r="E1247" s="65"/>
      <c r="F1247" s="623">
        <f t="shared" si="28"/>
        <v>840112</v>
      </c>
      <c r="G1247" s="397" t="s">
        <v>9567</v>
      </c>
    </row>
    <row r="1248" spans="1:7" x14ac:dyDescent="0.3">
      <c r="A1248" s="54">
        <v>45350</v>
      </c>
      <c r="C1248" s="5" t="s">
        <v>5034</v>
      </c>
      <c r="D1248" s="65">
        <v>5000</v>
      </c>
      <c r="E1248" s="65"/>
      <c r="F1248" s="623">
        <f t="shared" si="28"/>
        <v>835112</v>
      </c>
      <c r="G1248" s="397" t="s">
        <v>9567</v>
      </c>
    </row>
    <row r="1249" spans="1:7" x14ac:dyDescent="0.3">
      <c r="A1249" s="54">
        <v>45350</v>
      </c>
      <c r="C1249" s="5" t="s">
        <v>13310</v>
      </c>
      <c r="D1249" s="65">
        <v>5000</v>
      </c>
      <c r="E1249" s="65"/>
      <c r="F1249" s="623">
        <f t="shared" si="28"/>
        <v>830112</v>
      </c>
      <c r="G1249" s="397" t="s">
        <v>9567</v>
      </c>
    </row>
    <row r="1250" spans="1:7" x14ac:dyDescent="0.3">
      <c r="A1250" s="54">
        <v>45350</v>
      </c>
      <c r="C1250" s="5" t="s">
        <v>4446</v>
      </c>
      <c r="D1250" s="65">
        <v>5500</v>
      </c>
      <c r="E1250" s="65"/>
      <c r="F1250" s="623">
        <f t="shared" si="28"/>
        <v>824612</v>
      </c>
      <c r="G1250" s="397" t="s">
        <v>9567</v>
      </c>
    </row>
    <row r="1251" spans="1:7" x14ac:dyDescent="0.3">
      <c r="A1251" s="54">
        <v>45350</v>
      </c>
      <c r="C1251" s="5" t="s">
        <v>12577</v>
      </c>
      <c r="D1251" s="65">
        <v>12000</v>
      </c>
      <c r="E1251" s="65"/>
      <c r="F1251" s="623">
        <f t="shared" si="28"/>
        <v>812612</v>
      </c>
      <c r="G1251" s="397" t="s">
        <v>9567</v>
      </c>
    </row>
    <row r="1252" spans="1:7" x14ac:dyDescent="0.3">
      <c r="A1252" s="54">
        <v>45350</v>
      </c>
      <c r="C1252" s="5" t="s">
        <v>8153</v>
      </c>
      <c r="D1252" s="65">
        <v>3150</v>
      </c>
      <c r="E1252" s="65"/>
      <c r="F1252" s="623">
        <f t="shared" si="28"/>
        <v>809462</v>
      </c>
      <c r="G1252" s="397" t="s">
        <v>9567</v>
      </c>
    </row>
    <row r="1253" spans="1:7" x14ac:dyDescent="0.3">
      <c r="A1253" s="54">
        <v>45350</v>
      </c>
      <c r="C1253" s="5" t="s">
        <v>13311</v>
      </c>
      <c r="D1253" s="65">
        <v>13000</v>
      </c>
      <c r="E1253" s="65"/>
      <c r="F1253" s="623">
        <f t="shared" si="28"/>
        <v>796462</v>
      </c>
      <c r="G1253" s="397" t="s">
        <v>9567</v>
      </c>
    </row>
    <row r="1254" spans="1:7" x14ac:dyDescent="0.3">
      <c r="A1254" s="54">
        <v>45353</v>
      </c>
      <c r="C1254" s="44" t="s">
        <v>294</v>
      </c>
      <c r="D1254" s="48"/>
      <c r="E1254" s="48">
        <v>10000</v>
      </c>
      <c r="F1254" s="623">
        <f t="shared" si="28"/>
        <v>806462</v>
      </c>
      <c r="G1254" s="397" t="s">
        <v>9567</v>
      </c>
    </row>
    <row r="1255" spans="1:7" x14ac:dyDescent="0.3">
      <c r="A1255" s="54">
        <v>45353</v>
      </c>
      <c r="C1255" s="5" t="s">
        <v>13330</v>
      </c>
      <c r="D1255" s="65">
        <v>5000</v>
      </c>
      <c r="E1255" s="65"/>
      <c r="F1255" s="623">
        <f t="shared" si="28"/>
        <v>801462</v>
      </c>
      <c r="G1255" s="397" t="s">
        <v>9567</v>
      </c>
    </row>
    <row r="1256" spans="1:7" x14ac:dyDescent="0.3">
      <c r="A1256" s="54">
        <v>45355</v>
      </c>
      <c r="C1256" s="5" t="s">
        <v>4601</v>
      </c>
      <c r="D1256" s="65"/>
      <c r="E1256" s="65">
        <v>675</v>
      </c>
      <c r="F1256" s="623">
        <f t="shared" si="28"/>
        <v>802137</v>
      </c>
      <c r="G1256" s="397" t="s">
        <v>9567</v>
      </c>
    </row>
    <row r="1257" spans="1:7" x14ac:dyDescent="0.3">
      <c r="A1257" s="54">
        <v>45355</v>
      </c>
      <c r="C1257" s="44" t="s">
        <v>294</v>
      </c>
      <c r="D1257" s="48"/>
      <c r="E1257" s="48">
        <v>5000</v>
      </c>
      <c r="F1257" s="623">
        <f t="shared" si="28"/>
        <v>807137</v>
      </c>
      <c r="G1257" s="397" t="s">
        <v>9567</v>
      </c>
    </row>
    <row r="1258" spans="1:7" x14ac:dyDescent="0.3">
      <c r="A1258" s="54">
        <v>45358</v>
      </c>
      <c r="C1258" s="5" t="s">
        <v>6235</v>
      </c>
      <c r="D1258" s="65"/>
      <c r="E1258" s="65">
        <v>675</v>
      </c>
      <c r="F1258" s="623">
        <f t="shared" si="28"/>
        <v>807812</v>
      </c>
      <c r="G1258" s="397" t="s">
        <v>9567</v>
      </c>
    </row>
    <row r="1259" spans="1:7" x14ac:dyDescent="0.3">
      <c r="A1259" s="54">
        <v>45360</v>
      </c>
      <c r="B1259" s="319" t="s">
        <v>402</v>
      </c>
      <c r="C1259" s="5" t="s">
        <v>13367</v>
      </c>
      <c r="D1259" s="65">
        <v>1500</v>
      </c>
      <c r="E1259" s="65"/>
      <c r="F1259" s="623">
        <f t="shared" si="28"/>
        <v>806312</v>
      </c>
      <c r="G1259" s="397" t="s">
        <v>9567</v>
      </c>
    </row>
    <row r="1260" spans="1:7" x14ac:dyDescent="0.3">
      <c r="A1260" s="54">
        <v>45361</v>
      </c>
      <c r="B1260" s="319" t="s">
        <v>13128</v>
      </c>
      <c r="C1260" s="5" t="s">
        <v>13147</v>
      </c>
      <c r="D1260" s="65">
        <v>10000</v>
      </c>
      <c r="E1260" s="65"/>
      <c r="F1260" s="623">
        <f t="shared" si="28"/>
        <v>796312</v>
      </c>
      <c r="G1260" s="397" t="s">
        <v>9567</v>
      </c>
    </row>
    <row r="1261" spans="1:7" x14ac:dyDescent="0.3">
      <c r="A1261" s="54">
        <v>45361</v>
      </c>
      <c r="C1261" s="44" t="s">
        <v>12872</v>
      </c>
      <c r="D1261" s="48"/>
      <c r="E1261" s="48">
        <v>200000</v>
      </c>
      <c r="F1261" s="623">
        <f t="shared" si="28"/>
        <v>996312</v>
      </c>
      <c r="G1261" s="388" t="s">
        <v>9567</v>
      </c>
    </row>
    <row r="1262" spans="1:7" x14ac:dyDescent="0.3">
      <c r="A1262" s="54">
        <v>45361</v>
      </c>
      <c r="C1262" s="44" t="s">
        <v>13381</v>
      </c>
      <c r="D1262" s="48">
        <v>50000</v>
      </c>
      <c r="E1262" s="65"/>
      <c r="F1262" s="623">
        <f t="shared" si="28"/>
        <v>946312</v>
      </c>
      <c r="G1262" s="388" t="s">
        <v>9567</v>
      </c>
    </row>
    <row r="1263" spans="1:7" x14ac:dyDescent="0.3">
      <c r="A1263" s="54">
        <v>45361</v>
      </c>
      <c r="C1263" s="44" t="s">
        <v>13382</v>
      </c>
      <c r="D1263" s="48">
        <v>5000</v>
      </c>
      <c r="E1263" s="65"/>
      <c r="F1263" s="623">
        <f t="shared" si="28"/>
        <v>941312</v>
      </c>
      <c r="G1263" s="388" t="s">
        <v>9567</v>
      </c>
    </row>
    <row r="1264" spans="1:7" x14ac:dyDescent="0.3">
      <c r="A1264" s="54">
        <v>45361</v>
      </c>
      <c r="C1264" s="5" t="s">
        <v>13383</v>
      </c>
      <c r="D1264" s="65">
        <v>76200</v>
      </c>
      <c r="E1264" s="65"/>
      <c r="F1264" s="623">
        <f t="shared" si="28"/>
        <v>865112</v>
      </c>
      <c r="G1264" s="388" t="s">
        <v>9567</v>
      </c>
    </row>
    <row r="1265" spans="1:7" x14ac:dyDescent="0.3">
      <c r="A1265" s="54">
        <v>45361</v>
      </c>
      <c r="B1265" s="319" t="s">
        <v>445</v>
      </c>
      <c r="C1265" s="5" t="s">
        <v>7784</v>
      </c>
      <c r="D1265" s="65">
        <v>113800</v>
      </c>
      <c r="E1265" s="65"/>
      <c r="F1265" s="623">
        <f t="shared" si="28"/>
        <v>751312</v>
      </c>
      <c r="G1265" s="388" t="s">
        <v>9567</v>
      </c>
    </row>
    <row r="1266" spans="1:7" x14ac:dyDescent="0.3">
      <c r="A1266" s="54">
        <v>45369</v>
      </c>
      <c r="C1266" s="5" t="s">
        <v>13415</v>
      </c>
      <c r="D1266" s="65">
        <v>5000</v>
      </c>
      <c r="E1266" s="65"/>
      <c r="F1266" s="623">
        <f t="shared" si="28"/>
        <v>746312</v>
      </c>
      <c r="G1266" s="388" t="s">
        <v>9567</v>
      </c>
    </row>
    <row r="1267" spans="1:7" x14ac:dyDescent="0.3">
      <c r="A1267" s="54">
        <v>45369</v>
      </c>
      <c r="C1267" s="5" t="s">
        <v>13311</v>
      </c>
      <c r="D1267" s="65">
        <v>6340</v>
      </c>
      <c r="E1267" s="65"/>
      <c r="F1267" s="623">
        <f t="shared" si="28"/>
        <v>739972</v>
      </c>
      <c r="G1267" s="388" t="s">
        <v>9567</v>
      </c>
    </row>
    <row r="1268" spans="1:7" x14ac:dyDescent="0.3">
      <c r="A1268" s="54">
        <v>45369</v>
      </c>
      <c r="C1268" s="5" t="s">
        <v>4446</v>
      </c>
      <c r="D1268" s="65">
        <v>2100</v>
      </c>
      <c r="E1268" s="65"/>
      <c r="F1268" s="623">
        <f t="shared" si="28"/>
        <v>737872</v>
      </c>
      <c r="G1268" s="388" t="s">
        <v>9567</v>
      </c>
    </row>
    <row r="1269" spans="1:7" x14ac:dyDescent="0.3">
      <c r="A1269" s="54">
        <v>45369</v>
      </c>
      <c r="C1269" s="5" t="s">
        <v>13416</v>
      </c>
      <c r="D1269" s="65">
        <v>3000</v>
      </c>
      <c r="E1269" s="65"/>
      <c r="F1269" s="623">
        <f t="shared" si="28"/>
        <v>734872</v>
      </c>
      <c r="G1269" s="388" t="s">
        <v>9567</v>
      </c>
    </row>
    <row r="1270" spans="1:7" x14ac:dyDescent="0.3">
      <c r="A1270" s="54">
        <v>45370</v>
      </c>
      <c r="C1270" s="5" t="s">
        <v>582</v>
      </c>
      <c r="D1270" s="65"/>
      <c r="E1270" s="65">
        <v>10000</v>
      </c>
      <c r="F1270" s="623">
        <f t="shared" si="28"/>
        <v>744872</v>
      </c>
      <c r="G1270" s="388" t="s">
        <v>9567</v>
      </c>
    </row>
    <row r="1271" spans="1:7" x14ac:dyDescent="0.3">
      <c r="A1271" s="54">
        <v>45377</v>
      </c>
      <c r="C1271" s="5" t="s">
        <v>13439</v>
      </c>
      <c r="D1271" s="65"/>
      <c r="E1271" s="65">
        <v>500000</v>
      </c>
      <c r="F1271" s="623">
        <f t="shared" si="28"/>
        <v>1244872</v>
      </c>
      <c r="G1271" s="388" t="s">
        <v>9567</v>
      </c>
    </row>
    <row r="1272" spans="1:7" x14ac:dyDescent="0.3">
      <c r="A1272" s="54">
        <v>45377</v>
      </c>
      <c r="B1272" s="319" t="s">
        <v>8899</v>
      </c>
      <c r="C1272" s="5" t="s">
        <v>13441</v>
      </c>
      <c r="D1272" s="65">
        <v>5000</v>
      </c>
      <c r="E1272" s="65"/>
      <c r="F1272" s="623">
        <f t="shared" si="28"/>
        <v>1239872</v>
      </c>
      <c r="G1272" s="388" t="s">
        <v>9566</v>
      </c>
    </row>
    <row r="1273" spans="1:7" x14ac:dyDescent="0.3">
      <c r="A1273" s="54">
        <v>45377</v>
      </c>
      <c r="B1273" s="319" t="s">
        <v>9895</v>
      </c>
      <c r="C1273" s="5" t="s">
        <v>13442</v>
      </c>
      <c r="D1273" s="65">
        <v>2000</v>
      </c>
      <c r="E1273" s="65"/>
      <c r="F1273" s="623">
        <f t="shared" si="28"/>
        <v>1237872</v>
      </c>
      <c r="G1273" s="388" t="s">
        <v>9566</v>
      </c>
    </row>
    <row r="1274" spans="1:7" x14ac:dyDescent="0.3">
      <c r="A1274" s="54">
        <v>45377</v>
      </c>
      <c r="C1274" s="5" t="s">
        <v>11035</v>
      </c>
      <c r="D1274" s="65">
        <v>200000</v>
      </c>
      <c r="E1274" s="65"/>
      <c r="F1274" s="623">
        <f t="shared" si="28"/>
        <v>1037872</v>
      </c>
      <c r="G1274" s="388" t="s">
        <v>9567</v>
      </c>
    </row>
    <row r="1275" spans="1:7" x14ac:dyDescent="0.3">
      <c r="A1275" s="54">
        <v>45377</v>
      </c>
      <c r="C1275" s="5" t="s">
        <v>13456</v>
      </c>
      <c r="D1275" s="65">
        <v>110000</v>
      </c>
      <c r="E1275" s="65"/>
      <c r="F1275" s="623">
        <f t="shared" si="28"/>
        <v>927872</v>
      </c>
      <c r="G1275" s="388" t="s">
        <v>9567</v>
      </c>
    </row>
    <row r="1276" spans="1:7" x14ac:dyDescent="0.3">
      <c r="A1276" s="54">
        <v>45377</v>
      </c>
      <c r="B1276" s="319" t="s">
        <v>11571</v>
      </c>
      <c r="C1276" s="5" t="s">
        <v>13443</v>
      </c>
      <c r="D1276" s="65">
        <v>2000</v>
      </c>
      <c r="E1276" s="65"/>
      <c r="F1276" s="623">
        <f t="shared" si="28"/>
        <v>925872</v>
      </c>
      <c r="G1276" s="388" t="s">
        <v>9567</v>
      </c>
    </row>
    <row r="1277" spans="1:7" x14ac:dyDescent="0.3">
      <c r="A1277" s="54">
        <v>45377</v>
      </c>
      <c r="B1277" s="319" t="s">
        <v>567</v>
      </c>
      <c r="C1277" s="5" t="s">
        <v>13444</v>
      </c>
      <c r="D1277" s="65">
        <v>2000</v>
      </c>
      <c r="E1277" s="65"/>
      <c r="F1277" s="623">
        <f t="shared" si="28"/>
        <v>923872</v>
      </c>
      <c r="G1277" s="388" t="s">
        <v>9567</v>
      </c>
    </row>
    <row r="1278" spans="1:7" x14ac:dyDescent="0.3">
      <c r="A1278" s="54">
        <v>45377</v>
      </c>
      <c r="B1278" s="319" t="s">
        <v>9895</v>
      </c>
      <c r="C1278" s="5" t="s">
        <v>13451</v>
      </c>
      <c r="D1278" s="65">
        <v>10000</v>
      </c>
      <c r="E1278" s="65"/>
      <c r="F1278" s="623">
        <f t="shared" si="28"/>
        <v>913872</v>
      </c>
      <c r="G1278" s="388" t="s">
        <v>9567</v>
      </c>
    </row>
    <row r="1279" spans="1:7" x14ac:dyDescent="0.3">
      <c r="A1279" s="54">
        <v>45377</v>
      </c>
      <c r="B1279" s="319" t="s">
        <v>13445</v>
      </c>
      <c r="C1279" s="5" t="s">
        <v>6</v>
      </c>
      <c r="D1279" s="65">
        <v>15000</v>
      </c>
      <c r="E1279" s="65"/>
      <c r="F1279" s="623">
        <f t="shared" si="28"/>
        <v>898872</v>
      </c>
      <c r="G1279" s="388" t="s">
        <v>9567</v>
      </c>
    </row>
    <row r="1280" spans="1:7" x14ac:dyDescent="0.3">
      <c r="A1280" s="54">
        <v>45377</v>
      </c>
      <c r="B1280" s="319" t="s">
        <v>25</v>
      </c>
      <c r="C1280" s="5" t="s">
        <v>13446</v>
      </c>
      <c r="D1280" s="65">
        <v>5000</v>
      </c>
      <c r="E1280" s="65"/>
      <c r="F1280" s="623">
        <f t="shared" si="28"/>
        <v>893872</v>
      </c>
      <c r="G1280" s="388" t="s">
        <v>9567</v>
      </c>
    </row>
    <row r="1281" spans="1:9" x14ac:dyDescent="0.3">
      <c r="A1281" s="54">
        <v>45377</v>
      </c>
      <c r="B1281" s="319" t="s">
        <v>1086</v>
      </c>
      <c r="C1281" s="5" t="s">
        <v>13457</v>
      </c>
      <c r="D1281" s="65">
        <v>100000</v>
      </c>
      <c r="E1281" s="65"/>
      <c r="F1281" s="623">
        <f t="shared" si="28"/>
        <v>793872</v>
      </c>
      <c r="G1281" s="388" t="s">
        <v>9567</v>
      </c>
    </row>
    <row r="1282" spans="1:9" x14ac:dyDescent="0.3">
      <c r="A1282" s="54">
        <v>45377</v>
      </c>
      <c r="B1282" s="319" t="s">
        <v>445</v>
      </c>
      <c r="C1282" s="5" t="s">
        <v>11933</v>
      </c>
      <c r="D1282" s="65">
        <v>25000</v>
      </c>
      <c r="E1282" s="65"/>
      <c r="F1282" s="623">
        <f t="shared" si="28"/>
        <v>768872</v>
      </c>
      <c r="G1282" s="388" t="s">
        <v>9567</v>
      </c>
    </row>
    <row r="1283" spans="1:9" x14ac:dyDescent="0.3">
      <c r="A1283" s="54">
        <v>45381</v>
      </c>
      <c r="C1283" s="5" t="s">
        <v>13447</v>
      </c>
      <c r="D1283" s="65">
        <v>25000</v>
      </c>
      <c r="E1283" s="65"/>
      <c r="F1283" s="623">
        <f t="shared" si="28"/>
        <v>743872</v>
      </c>
      <c r="G1283" s="388" t="s">
        <v>9567</v>
      </c>
      <c r="I1283" s="277" t="e">
        <f>D1281+D1280+#REF!+D1278+D1276+#REF!+D1273+D1272</f>
        <v>#REF!</v>
      </c>
    </row>
    <row r="1284" spans="1:9" x14ac:dyDescent="0.3">
      <c r="A1284" s="54">
        <v>45384</v>
      </c>
      <c r="C1284" s="5" t="s">
        <v>9894</v>
      </c>
      <c r="D1284" s="65">
        <v>13250</v>
      </c>
      <c r="E1284" s="65"/>
      <c r="F1284" s="623">
        <f t="shared" si="28"/>
        <v>730622</v>
      </c>
      <c r="G1284" s="388" t="s">
        <v>9567</v>
      </c>
    </row>
    <row r="1285" spans="1:9" x14ac:dyDescent="0.3">
      <c r="A1285" s="54">
        <v>45384</v>
      </c>
      <c r="C1285" s="5" t="s">
        <v>294</v>
      </c>
      <c r="D1285" s="65"/>
      <c r="E1285" s="65">
        <v>25000</v>
      </c>
      <c r="F1285" s="623">
        <f t="shared" si="28"/>
        <v>755622</v>
      </c>
      <c r="G1285" s="388" t="s">
        <v>9567</v>
      </c>
    </row>
    <row r="1286" spans="1:9" x14ac:dyDescent="0.3">
      <c r="A1286" s="54">
        <v>45384</v>
      </c>
      <c r="C1286" s="5" t="s">
        <v>4601</v>
      </c>
      <c r="D1286" s="65"/>
      <c r="E1286" s="65">
        <v>900</v>
      </c>
      <c r="F1286" s="623">
        <f t="shared" si="28"/>
        <v>756522</v>
      </c>
      <c r="G1286" s="388" t="s">
        <v>9567</v>
      </c>
    </row>
    <row r="1287" spans="1:9" x14ac:dyDescent="0.3">
      <c r="A1287" s="54">
        <v>45384</v>
      </c>
      <c r="C1287" s="44" t="s">
        <v>13470</v>
      </c>
      <c r="D1287" s="48">
        <v>50000</v>
      </c>
      <c r="E1287" s="65"/>
      <c r="F1287" s="623">
        <f t="shared" si="28"/>
        <v>706522</v>
      </c>
      <c r="G1287" s="388" t="s">
        <v>9567</v>
      </c>
    </row>
    <row r="1288" spans="1:9" x14ac:dyDescent="0.3">
      <c r="A1288" s="54">
        <v>45384</v>
      </c>
      <c r="C1288" s="44" t="s">
        <v>13469</v>
      </c>
      <c r="D1288" s="48">
        <v>5000</v>
      </c>
      <c r="E1288" s="65"/>
      <c r="F1288" s="623">
        <f t="shared" ref="F1288:F1351" si="29">F1287+E1288-D1288</f>
        <v>701522</v>
      </c>
      <c r="G1288" s="388" t="s">
        <v>9567</v>
      </c>
    </row>
    <row r="1289" spans="1:9" x14ac:dyDescent="0.3">
      <c r="A1289" s="54">
        <v>45387</v>
      </c>
      <c r="C1289" s="5" t="s">
        <v>6235</v>
      </c>
      <c r="D1289" s="65"/>
      <c r="E1289" s="43">
        <v>16900</v>
      </c>
      <c r="F1289" s="623">
        <f t="shared" si="29"/>
        <v>718422</v>
      </c>
      <c r="G1289" s="388" t="s">
        <v>9567</v>
      </c>
    </row>
    <row r="1290" spans="1:9" x14ac:dyDescent="0.3">
      <c r="A1290" s="54">
        <v>45387</v>
      </c>
      <c r="C1290" s="5" t="s">
        <v>13501</v>
      </c>
      <c r="D1290" s="65"/>
      <c r="E1290" s="65">
        <v>10000</v>
      </c>
      <c r="F1290" s="623">
        <f t="shared" si="29"/>
        <v>728422</v>
      </c>
      <c r="G1290" s="388" t="s">
        <v>9567</v>
      </c>
    </row>
    <row r="1291" spans="1:9" x14ac:dyDescent="0.3">
      <c r="A1291" s="54">
        <v>45387</v>
      </c>
      <c r="C1291" s="5" t="s">
        <v>13502</v>
      </c>
      <c r="D1291" s="65"/>
      <c r="E1291" s="65">
        <v>50000</v>
      </c>
      <c r="F1291" s="623">
        <f t="shared" si="29"/>
        <v>778422</v>
      </c>
      <c r="G1291" s="388" t="s">
        <v>9567</v>
      </c>
    </row>
    <row r="1292" spans="1:9" x14ac:dyDescent="0.3">
      <c r="A1292" s="54">
        <v>45387</v>
      </c>
      <c r="C1292" s="5" t="s">
        <v>13524</v>
      </c>
      <c r="D1292" s="65"/>
      <c r="E1292" s="65">
        <v>253000</v>
      </c>
      <c r="F1292" s="623">
        <f t="shared" si="29"/>
        <v>1031422</v>
      </c>
      <c r="G1292" s="388" t="s">
        <v>9567</v>
      </c>
    </row>
    <row r="1293" spans="1:9" x14ac:dyDescent="0.3">
      <c r="A1293" s="54">
        <v>45400</v>
      </c>
      <c r="C1293" s="5" t="s">
        <v>9453</v>
      </c>
      <c r="D1293" s="65">
        <v>1000</v>
      </c>
      <c r="E1293" s="65"/>
      <c r="F1293" s="623">
        <f t="shared" si="29"/>
        <v>1030422</v>
      </c>
      <c r="G1293" s="388" t="s">
        <v>9567</v>
      </c>
    </row>
    <row r="1294" spans="1:9" x14ac:dyDescent="0.3">
      <c r="A1294" s="54">
        <v>45400</v>
      </c>
      <c r="C1294" s="5" t="s">
        <v>13519</v>
      </c>
      <c r="D1294" s="65">
        <v>1000</v>
      </c>
      <c r="E1294" s="65"/>
      <c r="F1294" s="623">
        <f t="shared" si="29"/>
        <v>1029422</v>
      </c>
      <c r="G1294" s="388" t="s">
        <v>9567</v>
      </c>
    </row>
    <row r="1295" spans="1:9" x14ac:dyDescent="0.3">
      <c r="A1295" s="54">
        <v>45400</v>
      </c>
      <c r="C1295" s="5" t="s">
        <v>13519</v>
      </c>
      <c r="D1295" s="65">
        <v>30000</v>
      </c>
      <c r="E1295" s="65"/>
      <c r="F1295" s="623">
        <f t="shared" si="29"/>
        <v>999422</v>
      </c>
      <c r="G1295" s="388" t="s">
        <v>9567</v>
      </c>
    </row>
    <row r="1296" spans="1:9" x14ac:dyDescent="0.3">
      <c r="A1296" s="54">
        <v>45391</v>
      </c>
      <c r="C1296" s="5" t="s">
        <v>13525</v>
      </c>
      <c r="D1296" s="65">
        <v>25000</v>
      </c>
      <c r="E1296" s="65"/>
      <c r="F1296" s="623">
        <f t="shared" si="29"/>
        <v>974422</v>
      </c>
      <c r="G1296" s="388" t="s">
        <v>9567</v>
      </c>
    </row>
    <row r="1297" spans="1:7" x14ac:dyDescent="0.3">
      <c r="A1297" s="54">
        <v>45391</v>
      </c>
      <c r="C1297" s="5" t="s">
        <v>10293</v>
      </c>
      <c r="D1297" s="65">
        <v>15000</v>
      </c>
      <c r="E1297" s="65"/>
      <c r="F1297" s="623">
        <f t="shared" si="29"/>
        <v>959422</v>
      </c>
      <c r="G1297" s="388" t="s">
        <v>9567</v>
      </c>
    </row>
    <row r="1298" spans="1:7" x14ac:dyDescent="0.3">
      <c r="A1298" s="54">
        <v>45391</v>
      </c>
      <c r="C1298" s="5" t="s">
        <v>13526</v>
      </c>
      <c r="D1298" s="65">
        <v>25000</v>
      </c>
      <c r="E1298" s="65"/>
      <c r="F1298" s="623">
        <f t="shared" si="29"/>
        <v>934422</v>
      </c>
      <c r="G1298" s="388" t="s">
        <v>9567</v>
      </c>
    </row>
    <row r="1299" spans="1:7" x14ac:dyDescent="0.3">
      <c r="A1299" s="54">
        <v>45391</v>
      </c>
      <c r="C1299" s="5" t="s">
        <v>13120</v>
      </c>
      <c r="D1299" s="65">
        <v>22000</v>
      </c>
      <c r="E1299" s="65"/>
      <c r="F1299" s="623">
        <f t="shared" si="29"/>
        <v>912422</v>
      </c>
      <c r="G1299" s="388" t="s">
        <v>9567</v>
      </c>
    </row>
    <row r="1300" spans="1:7" x14ac:dyDescent="0.3">
      <c r="A1300" s="54">
        <v>45402</v>
      </c>
      <c r="C1300" s="5" t="s">
        <v>294</v>
      </c>
      <c r="D1300" s="65"/>
      <c r="E1300" s="65">
        <v>5000</v>
      </c>
      <c r="F1300" s="623">
        <f t="shared" si="29"/>
        <v>917422</v>
      </c>
      <c r="G1300" s="388" t="s">
        <v>9567</v>
      </c>
    </row>
    <row r="1301" spans="1:7" x14ac:dyDescent="0.3">
      <c r="A1301" s="54">
        <v>45404</v>
      </c>
      <c r="C1301" s="5" t="s">
        <v>13415</v>
      </c>
      <c r="D1301" s="65">
        <v>5000</v>
      </c>
      <c r="E1301" s="65"/>
      <c r="F1301" s="623">
        <f t="shared" si="29"/>
        <v>912422</v>
      </c>
      <c r="G1301" s="388" t="s">
        <v>9567</v>
      </c>
    </row>
    <row r="1302" spans="1:7" x14ac:dyDescent="0.3">
      <c r="A1302" s="54">
        <v>45404</v>
      </c>
      <c r="C1302" s="5" t="s">
        <v>11280</v>
      </c>
      <c r="D1302" s="65">
        <v>5000</v>
      </c>
      <c r="E1302" s="65"/>
      <c r="F1302" s="623">
        <f t="shared" si="29"/>
        <v>907422</v>
      </c>
      <c r="G1302" s="388" t="s">
        <v>9567</v>
      </c>
    </row>
    <row r="1303" spans="1:7" x14ac:dyDescent="0.3">
      <c r="A1303" s="54">
        <v>45404</v>
      </c>
      <c r="C1303" s="5" t="s">
        <v>4446</v>
      </c>
      <c r="D1303" s="65">
        <v>6000</v>
      </c>
      <c r="E1303" s="65"/>
      <c r="F1303" s="623">
        <f t="shared" si="29"/>
        <v>901422</v>
      </c>
      <c r="G1303" s="388" t="s">
        <v>9567</v>
      </c>
    </row>
    <row r="1304" spans="1:7" x14ac:dyDescent="0.3">
      <c r="A1304" s="54">
        <v>45404</v>
      </c>
      <c r="C1304" s="5" t="s">
        <v>13416</v>
      </c>
      <c r="D1304" s="65">
        <v>5300</v>
      </c>
      <c r="E1304" s="65"/>
      <c r="F1304" s="623">
        <f t="shared" si="29"/>
        <v>896122</v>
      </c>
      <c r="G1304" s="388" t="s">
        <v>9567</v>
      </c>
    </row>
    <row r="1305" spans="1:7" x14ac:dyDescent="0.3">
      <c r="A1305" s="54">
        <v>45404</v>
      </c>
      <c r="C1305" s="5" t="s">
        <v>13416</v>
      </c>
      <c r="D1305" s="65">
        <v>5000</v>
      </c>
      <c r="E1305" s="65"/>
      <c r="F1305" s="623">
        <f t="shared" si="29"/>
        <v>891122</v>
      </c>
      <c r="G1305" s="388" t="s">
        <v>9567</v>
      </c>
    </row>
    <row r="1306" spans="1:7" x14ac:dyDescent="0.3">
      <c r="A1306" s="54">
        <v>45407</v>
      </c>
      <c r="C1306" s="5" t="s">
        <v>13549</v>
      </c>
      <c r="D1306" s="65"/>
      <c r="E1306" s="65">
        <v>30000</v>
      </c>
      <c r="F1306" s="623">
        <f t="shared" si="29"/>
        <v>921122</v>
      </c>
      <c r="G1306" s="388" t="s">
        <v>9567</v>
      </c>
    </row>
    <row r="1307" spans="1:7" x14ac:dyDescent="0.3">
      <c r="A1307" s="54">
        <v>45407</v>
      </c>
      <c r="C1307" s="5" t="s">
        <v>9080</v>
      </c>
      <c r="D1307" s="65"/>
      <c r="E1307" s="65">
        <v>5000</v>
      </c>
      <c r="F1307" s="623">
        <f t="shared" si="29"/>
        <v>926122</v>
      </c>
      <c r="G1307" s="388" t="s">
        <v>9567</v>
      </c>
    </row>
    <row r="1308" spans="1:7" x14ac:dyDescent="0.3">
      <c r="A1308" s="54">
        <v>45409</v>
      </c>
      <c r="C1308" s="5" t="s">
        <v>10499</v>
      </c>
      <c r="D1308" s="65"/>
      <c r="E1308" s="65">
        <v>500000</v>
      </c>
      <c r="F1308" s="623">
        <f t="shared" si="29"/>
        <v>1426122</v>
      </c>
      <c r="G1308" s="388" t="s">
        <v>9567</v>
      </c>
    </row>
    <row r="1309" spans="1:7" x14ac:dyDescent="0.3">
      <c r="A1309" s="54">
        <v>45411</v>
      </c>
      <c r="C1309" s="5" t="s">
        <v>13566</v>
      </c>
      <c r="D1309" s="65">
        <v>6000</v>
      </c>
      <c r="E1309" s="65"/>
      <c r="F1309" s="623">
        <f t="shared" si="29"/>
        <v>1420122</v>
      </c>
      <c r="G1309" s="388" t="s">
        <v>9567</v>
      </c>
    </row>
    <row r="1310" spans="1:7" x14ac:dyDescent="0.3">
      <c r="A1310" s="54">
        <v>45411</v>
      </c>
      <c r="C1310" s="5" t="s">
        <v>11972</v>
      </c>
      <c r="D1310" s="65">
        <v>100000</v>
      </c>
      <c r="E1310" s="65"/>
      <c r="F1310" s="623">
        <f t="shared" si="29"/>
        <v>1320122</v>
      </c>
      <c r="G1310" s="388" t="s">
        <v>9567</v>
      </c>
    </row>
    <row r="1311" spans="1:7" x14ac:dyDescent="0.3">
      <c r="A1311" s="54">
        <v>45411</v>
      </c>
      <c r="C1311" s="5" t="s">
        <v>13567</v>
      </c>
      <c r="D1311" s="65">
        <v>20000</v>
      </c>
      <c r="E1311" s="65"/>
      <c r="F1311" s="623">
        <f t="shared" si="29"/>
        <v>1300122</v>
      </c>
      <c r="G1311" s="388" t="s">
        <v>9567</v>
      </c>
    </row>
    <row r="1312" spans="1:7" x14ac:dyDescent="0.3">
      <c r="A1312" s="54">
        <v>45414</v>
      </c>
      <c r="C1312" s="5" t="s">
        <v>11972</v>
      </c>
      <c r="D1312" s="65">
        <v>240000</v>
      </c>
      <c r="E1312" s="65"/>
      <c r="F1312" s="623">
        <f t="shared" si="29"/>
        <v>1060122</v>
      </c>
      <c r="G1312" s="388" t="s">
        <v>9567</v>
      </c>
    </row>
    <row r="1313" spans="1:7" x14ac:dyDescent="0.3">
      <c r="A1313" s="54">
        <v>45414</v>
      </c>
      <c r="C1313" s="5" t="s">
        <v>13579</v>
      </c>
      <c r="D1313" s="65">
        <v>25000</v>
      </c>
      <c r="E1313" s="65"/>
      <c r="F1313" s="623">
        <f t="shared" si="29"/>
        <v>1035122</v>
      </c>
      <c r="G1313" s="388" t="s">
        <v>9567</v>
      </c>
    </row>
    <row r="1314" spans="1:7" x14ac:dyDescent="0.3">
      <c r="A1314" s="54">
        <v>45414</v>
      </c>
      <c r="C1314" s="5" t="s">
        <v>8583</v>
      </c>
      <c r="D1314" s="65">
        <v>25000</v>
      </c>
      <c r="E1314" s="65"/>
      <c r="F1314" s="623">
        <f t="shared" si="29"/>
        <v>1010122</v>
      </c>
      <c r="G1314" s="388" t="s">
        <v>9567</v>
      </c>
    </row>
    <row r="1315" spans="1:7" x14ac:dyDescent="0.3">
      <c r="A1315" s="54">
        <v>45416</v>
      </c>
      <c r="C1315" s="5" t="s">
        <v>13593</v>
      </c>
      <c r="D1315" s="65">
        <v>20000</v>
      </c>
      <c r="E1315" s="65"/>
      <c r="F1315" s="623">
        <f t="shared" si="29"/>
        <v>990122</v>
      </c>
      <c r="G1315" s="388" t="s">
        <v>9567</v>
      </c>
    </row>
    <row r="1316" spans="1:7" x14ac:dyDescent="0.3">
      <c r="A1316" s="54">
        <v>45420</v>
      </c>
      <c r="C1316" s="5" t="s">
        <v>4601</v>
      </c>
      <c r="D1316" s="43">
        <v>695</v>
      </c>
      <c r="E1316" s="65"/>
      <c r="F1316" s="623">
        <f t="shared" si="29"/>
        <v>989427</v>
      </c>
      <c r="G1316" s="388" t="s">
        <v>9567</v>
      </c>
    </row>
    <row r="1317" spans="1:7" x14ac:dyDescent="0.3">
      <c r="A1317" s="54">
        <v>45420</v>
      </c>
      <c r="C1317" s="5" t="s">
        <v>9080</v>
      </c>
      <c r="D1317" s="65"/>
      <c r="E1317" s="65">
        <v>10000</v>
      </c>
      <c r="F1317" s="623">
        <f t="shared" si="29"/>
        <v>999427</v>
      </c>
      <c r="G1317" s="388" t="s">
        <v>9567</v>
      </c>
    </row>
    <row r="1318" spans="1:7" x14ac:dyDescent="0.3">
      <c r="A1318" s="54">
        <v>45420</v>
      </c>
      <c r="C1318" s="44" t="s">
        <v>13622</v>
      </c>
      <c r="D1318" s="48">
        <v>50000</v>
      </c>
      <c r="E1318" s="65"/>
      <c r="F1318" s="623">
        <f t="shared" si="29"/>
        <v>949427</v>
      </c>
      <c r="G1318" s="388" t="s">
        <v>9567</v>
      </c>
    </row>
    <row r="1319" spans="1:7" x14ac:dyDescent="0.3">
      <c r="A1319" s="54">
        <v>45420</v>
      </c>
      <c r="C1319" s="44" t="s">
        <v>13623</v>
      </c>
      <c r="D1319" s="48">
        <v>5000</v>
      </c>
      <c r="E1319" s="65"/>
      <c r="F1319" s="623">
        <f t="shared" si="29"/>
        <v>944427</v>
      </c>
      <c r="G1319" s="388" t="s">
        <v>9567</v>
      </c>
    </row>
    <row r="1320" spans="1:7" x14ac:dyDescent="0.3">
      <c r="A1320" s="54">
        <v>45425</v>
      </c>
      <c r="C1320" s="5" t="s">
        <v>12215</v>
      </c>
      <c r="D1320" s="65"/>
      <c r="E1320" s="65">
        <v>19682</v>
      </c>
      <c r="F1320" s="623">
        <f t="shared" si="29"/>
        <v>964109</v>
      </c>
      <c r="G1320" s="388" t="s">
        <v>9567</v>
      </c>
    </row>
    <row r="1321" spans="1:7" x14ac:dyDescent="0.3">
      <c r="A1321" s="54">
        <v>45427</v>
      </c>
      <c r="C1321" s="5" t="s">
        <v>294</v>
      </c>
      <c r="D1321" s="65"/>
      <c r="E1321" s="65">
        <v>1000</v>
      </c>
      <c r="F1321" s="623">
        <f t="shared" si="29"/>
        <v>965109</v>
      </c>
      <c r="G1321" s="388" t="s">
        <v>9567</v>
      </c>
    </row>
    <row r="1322" spans="1:7" x14ac:dyDescent="0.3">
      <c r="A1322" s="54">
        <v>45427</v>
      </c>
      <c r="C1322" s="5" t="s">
        <v>10499</v>
      </c>
      <c r="D1322" s="65"/>
      <c r="E1322" s="65">
        <v>500000</v>
      </c>
      <c r="F1322" s="623">
        <f t="shared" si="29"/>
        <v>1465109</v>
      </c>
      <c r="G1322" s="388" t="s">
        <v>9567</v>
      </c>
    </row>
    <row r="1323" spans="1:7" x14ac:dyDescent="0.3">
      <c r="A1323" s="54">
        <v>45427</v>
      </c>
      <c r="C1323" s="5" t="s">
        <v>13670</v>
      </c>
      <c r="D1323" s="65">
        <v>200000</v>
      </c>
      <c r="E1323" s="65"/>
      <c r="F1323" s="623">
        <f t="shared" si="29"/>
        <v>1265109</v>
      </c>
      <c r="G1323" s="388" t="s">
        <v>9567</v>
      </c>
    </row>
    <row r="1324" spans="1:7" x14ac:dyDescent="0.3">
      <c r="A1324" s="54">
        <v>45427</v>
      </c>
      <c r="C1324" s="5" t="s">
        <v>13671</v>
      </c>
      <c r="D1324" s="65">
        <v>300000</v>
      </c>
      <c r="E1324" s="65"/>
      <c r="F1324" s="623">
        <f t="shared" si="29"/>
        <v>965109</v>
      </c>
      <c r="G1324" s="388" t="s">
        <v>9567</v>
      </c>
    </row>
    <row r="1325" spans="1:7" x14ac:dyDescent="0.3">
      <c r="A1325" s="54">
        <v>45432</v>
      </c>
      <c r="C1325" s="5" t="s">
        <v>294</v>
      </c>
      <c r="D1325" s="65"/>
      <c r="E1325" s="65">
        <v>15000</v>
      </c>
      <c r="F1325" s="623">
        <f t="shared" si="29"/>
        <v>980109</v>
      </c>
      <c r="G1325" s="388" t="s">
        <v>9567</v>
      </c>
    </row>
    <row r="1326" spans="1:7" x14ac:dyDescent="0.3">
      <c r="A1326" s="54">
        <v>45432</v>
      </c>
      <c r="C1326" s="5" t="s">
        <v>13693</v>
      </c>
      <c r="D1326" s="65">
        <v>15000</v>
      </c>
      <c r="E1326" s="65"/>
      <c r="F1326" s="623">
        <f t="shared" si="29"/>
        <v>965109</v>
      </c>
      <c r="G1326" s="388" t="s">
        <v>9567</v>
      </c>
    </row>
    <row r="1327" spans="1:7" x14ac:dyDescent="0.3">
      <c r="A1327" s="54">
        <v>45433</v>
      </c>
      <c r="C1327" s="5" t="s">
        <v>13703</v>
      </c>
      <c r="D1327" s="65">
        <v>23500</v>
      </c>
      <c r="E1327" s="65"/>
      <c r="F1327" s="623">
        <f t="shared" si="29"/>
        <v>941609</v>
      </c>
      <c r="G1327" s="388" t="s">
        <v>9567</v>
      </c>
    </row>
    <row r="1328" spans="1:7" x14ac:dyDescent="0.3">
      <c r="A1328" s="54">
        <v>45433</v>
      </c>
      <c r="C1328" s="5" t="s">
        <v>13698</v>
      </c>
      <c r="D1328" s="65">
        <v>6000</v>
      </c>
      <c r="E1328" s="65"/>
      <c r="F1328" s="623">
        <f t="shared" si="29"/>
        <v>935609</v>
      </c>
      <c r="G1328" s="388" t="s">
        <v>9567</v>
      </c>
    </row>
    <row r="1329" spans="1:7" x14ac:dyDescent="0.3">
      <c r="A1329" s="54">
        <v>45433</v>
      </c>
      <c r="C1329" s="5" t="s">
        <v>13699</v>
      </c>
      <c r="D1329" s="65">
        <v>7500</v>
      </c>
      <c r="E1329" s="65"/>
      <c r="F1329" s="623">
        <f t="shared" si="29"/>
        <v>928109</v>
      </c>
      <c r="G1329" s="388" t="s">
        <v>9567</v>
      </c>
    </row>
    <row r="1330" spans="1:7" x14ac:dyDescent="0.3">
      <c r="A1330" s="54">
        <v>45433</v>
      </c>
      <c r="C1330" s="5" t="s">
        <v>13700</v>
      </c>
      <c r="D1330" s="65">
        <v>2000</v>
      </c>
      <c r="E1330" s="65"/>
      <c r="F1330" s="623">
        <f t="shared" si="29"/>
        <v>926109</v>
      </c>
      <c r="G1330" s="388" t="s">
        <v>9567</v>
      </c>
    </row>
    <row r="1331" spans="1:7" x14ac:dyDescent="0.3">
      <c r="A1331" s="54">
        <v>45433</v>
      </c>
      <c r="C1331" s="5" t="s">
        <v>13701</v>
      </c>
      <c r="D1331" s="65">
        <v>2500</v>
      </c>
      <c r="E1331" s="65"/>
      <c r="F1331" s="623">
        <f t="shared" si="29"/>
        <v>923609</v>
      </c>
      <c r="G1331" s="388" t="s">
        <v>9567</v>
      </c>
    </row>
    <row r="1332" spans="1:7" x14ac:dyDescent="0.3">
      <c r="A1332" s="54">
        <v>45433</v>
      </c>
      <c r="C1332" s="5" t="s">
        <v>294</v>
      </c>
      <c r="D1332" s="65"/>
      <c r="E1332" s="65">
        <v>25000</v>
      </c>
      <c r="F1332" s="623">
        <f t="shared" si="29"/>
        <v>948609</v>
      </c>
      <c r="G1332" s="388" t="s">
        <v>9567</v>
      </c>
    </row>
    <row r="1333" spans="1:7" x14ac:dyDescent="0.3">
      <c r="A1333" s="54">
        <v>45435</v>
      </c>
      <c r="C1333" s="5" t="s">
        <v>13714</v>
      </c>
      <c r="D1333" s="65">
        <v>15000</v>
      </c>
      <c r="E1333" s="65"/>
      <c r="F1333" s="623">
        <f t="shared" si="29"/>
        <v>933609</v>
      </c>
      <c r="G1333" s="388" t="s">
        <v>9567</v>
      </c>
    </row>
    <row r="1334" spans="1:7" x14ac:dyDescent="0.3">
      <c r="A1334" s="54">
        <v>45435</v>
      </c>
      <c r="C1334" s="5" t="s">
        <v>13724</v>
      </c>
      <c r="D1334" s="65">
        <v>21215</v>
      </c>
      <c r="E1334" s="65"/>
      <c r="F1334" s="623">
        <f t="shared" si="29"/>
        <v>912394</v>
      </c>
      <c r="G1334" s="388" t="s">
        <v>9567</v>
      </c>
    </row>
    <row r="1335" spans="1:7" x14ac:dyDescent="0.3">
      <c r="A1335" s="54">
        <v>45439</v>
      </c>
      <c r="C1335" s="5" t="s">
        <v>13733</v>
      </c>
      <c r="D1335" s="65">
        <v>5000</v>
      </c>
      <c r="E1335" s="65"/>
      <c r="F1335" s="623">
        <f t="shared" si="29"/>
        <v>907394</v>
      </c>
      <c r="G1335" s="388" t="s">
        <v>9567</v>
      </c>
    </row>
    <row r="1336" spans="1:7" x14ac:dyDescent="0.3">
      <c r="A1336" s="54">
        <v>45439</v>
      </c>
      <c r="C1336" s="5" t="s">
        <v>9108</v>
      </c>
      <c r="D1336" s="65">
        <v>2000</v>
      </c>
      <c r="E1336" s="65"/>
      <c r="F1336" s="623">
        <f t="shared" si="29"/>
        <v>905394</v>
      </c>
      <c r="G1336" s="388" t="s">
        <v>9567</v>
      </c>
    </row>
    <row r="1337" spans="1:7" x14ac:dyDescent="0.3">
      <c r="A1337" s="54">
        <v>45439</v>
      </c>
      <c r="C1337" s="5" t="s">
        <v>13734</v>
      </c>
      <c r="D1337" s="65">
        <v>50000</v>
      </c>
      <c r="E1337" s="65"/>
      <c r="F1337" s="623">
        <f t="shared" si="29"/>
        <v>855394</v>
      </c>
      <c r="G1337" s="388" t="s">
        <v>9567</v>
      </c>
    </row>
    <row r="1338" spans="1:7" x14ac:dyDescent="0.3">
      <c r="A1338" s="54">
        <v>45443</v>
      </c>
      <c r="C1338" s="5" t="s">
        <v>4601</v>
      </c>
      <c r="D1338" s="65"/>
      <c r="E1338" s="65">
        <v>760</v>
      </c>
      <c r="F1338" s="623">
        <f t="shared" si="29"/>
        <v>856154</v>
      </c>
      <c r="G1338" s="388" t="s">
        <v>9567</v>
      </c>
    </row>
    <row r="1339" spans="1:7" x14ac:dyDescent="0.3">
      <c r="A1339" s="54">
        <v>45448</v>
      </c>
      <c r="C1339" s="44" t="s">
        <v>13795</v>
      </c>
      <c r="D1339" s="48">
        <v>50000</v>
      </c>
      <c r="E1339" s="65"/>
      <c r="F1339" s="623">
        <f t="shared" si="29"/>
        <v>806154</v>
      </c>
      <c r="G1339" s="388" t="s">
        <v>9567</v>
      </c>
    </row>
    <row r="1340" spans="1:7" x14ac:dyDescent="0.3">
      <c r="A1340" s="54">
        <v>45448</v>
      </c>
      <c r="C1340" s="44" t="s">
        <v>13796</v>
      </c>
      <c r="D1340" s="48">
        <v>5000</v>
      </c>
      <c r="E1340" s="65"/>
      <c r="F1340" s="623">
        <f t="shared" si="29"/>
        <v>801154</v>
      </c>
      <c r="G1340" s="388" t="s">
        <v>9567</v>
      </c>
    </row>
    <row r="1341" spans="1:7" x14ac:dyDescent="0.3">
      <c r="A1341" s="54">
        <v>45451</v>
      </c>
      <c r="C1341" s="5" t="s">
        <v>294</v>
      </c>
      <c r="D1341" s="65"/>
      <c r="E1341" s="65">
        <v>200000</v>
      </c>
      <c r="F1341" s="623">
        <f t="shared" si="29"/>
        <v>1001154</v>
      </c>
      <c r="G1341" s="388" t="s">
        <v>9567</v>
      </c>
    </row>
    <row r="1342" spans="1:7" x14ac:dyDescent="0.3">
      <c r="A1342" s="54">
        <v>45454</v>
      </c>
      <c r="C1342" s="5" t="s">
        <v>12215</v>
      </c>
      <c r="D1342" s="65"/>
      <c r="E1342" s="65">
        <v>29584</v>
      </c>
      <c r="F1342" s="623">
        <f t="shared" si="29"/>
        <v>1030738</v>
      </c>
      <c r="G1342" s="388" t="s">
        <v>9567</v>
      </c>
    </row>
    <row r="1343" spans="1:7" x14ac:dyDescent="0.3">
      <c r="A1343" s="54">
        <v>45458</v>
      </c>
      <c r="C1343" s="5" t="s">
        <v>294</v>
      </c>
      <c r="D1343" s="65"/>
      <c r="E1343" s="65">
        <v>500000</v>
      </c>
      <c r="F1343" s="623">
        <f t="shared" si="29"/>
        <v>1530738</v>
      </c>
      <c r="G1343" s="388" t="s">
        <v>9567</v>
      </c>
    </row>
    <row r="1344" spans="1:7" x14ac:dyDescent="0.3">
      <c r="A1344" s="54">
        <v>45465</v>
      </c>
      <c r="C1344" s="5" t="s">
        <v>294</v>
      </c>
      <c r="D1344" s="65"/>
      <c r="E1344" s="65">
        <v>5000</v>
      </c>
      <c r="F1344" s="623">
        <f t="shared" si="29"/>
        <v>1535738</v>
      </c>
      <c r="G1344" s="388" t="s">
        <v>9567</v>
      </c>
    </row>
    <row r="1345" spans="1:7" x14ac:dyDescent="0.3">
      <c r="A1345" s="54">
        <v>45465</v>
      </c>
      <c r="C1345" s="5" t="s">
        <v>13884</v>
      </c>
      <c r="D1345" s="65"/>
      <c r="E1345" s="65">
        <v>100000</v>
      </c>
      <c r="F1345" s="623">
        <f t="shared" si="29"/>
        <v>1635738</v>
      </c>
      <c r="G1345" s="388" t="s">
        <v>9567</v>
      </c>
    </row>
    <row r="1346" spans="1:7" x14ac:dyDescent="0.3">
      <c r="A1346" s="54">
        <v>45471</v>
      </c>
      <c r="C1346" s="5" t="s">
        <v>294</v>
      </c>
      <c r="D1346" s="65"/>
      <c r="E1346" s="65">
        <v>5000</v>
      </c>
      <c r="F1346" s="623">
        <f t="shared" si="29"/>
        <v>1640738</v>
      </c>
      <c r="G1346" s="388" t="s">
        <v>9567</v>
      </c>
    </row>
    <row r="1347" spans="1:7" x14ac:dyDescent="0.3">
      <c r="A1347" s="54">
        <v>45472</v>
      </c>
      <c r="C1347" s="5" t="s">
        <v>11664</v>
      </c>
      <c r="D1347" s="65">
        <v>54000</v>
      </c>
      <c r="E1347" s="65"/>
      <c r="F1347" s="623">
        <f t="shared" si="29"/>
        <v>1586738</v>
      </c>
      <c r="G1347" s="388" t="s">
        <v>9567</v>
      </c>
    </row>
    <row r="1348" spans="1:7" x14ac:dyDescent="0.3">
      <c r="A1348" s="54">
        <v>45474</v>
      </c>
      <c r="C1348" s="5" t="s">
        <v>294</v>
      </c>
      <c r="D1348" s="65"/>
      <c r="E1348" s="65">
        <v>2000</v>
      </c>
      <c r="F1348" s="623">
        <f t="shared" si="29"/>
        <v>1588738</v>
      </c>
      <c r="G1348" s="388" t="s">
        <v>9567</v>
      </c>
    </row>
    <row r="1349" spans="1:7" x14ac:dyDescent="0.3">
      <c r="A1349" s="54">
        <v>45475</v>
      </c>
      <c r="C1349" s="5" t="s">
        <v>294</v>
      </c>
      <c r="D1349" s="65"/>
      <c r="E1349" s="65">
        <v>2000</v>
      </c>
      <c r="F1349" s="623">
        <f t="shared" si="29"/>
        <v>1590738</v>
      </c>
      <c r="G1349" s="388" t="s">
        <v>9567</v>
      </c>
    </row>
    <row r="1350" spans="1:7" x14ac:dyDescent="0.3">
      <c r="A1350" s="54">
        <v>45475</v>
      </c>
      <c r="C1350" s="5" t="s">
        <v>4601</v>
      </c>
      <c r="D1350" s="65"/>
      <c r="E1350" s="65">
        <v>710</v>
      </c>
      <c r="F1350" s="623">
        <f t="shared" si="29"/>
        <v>1591448</v>
      </c>
      <c r="G1350" s="388" t="s">
        <v>9567</v>
      </c>
    </row>
    <row r="1351" spans="1:7" x14ac:dyDescent="0.3">
      <c r="A1351" s="54">
        <v>45475</v>
      </c>
      <c r="C1351" s="5" t="s">
        <v>6397</v>
      </c>
      <c r="D1351" s="65">
        <v>10000</v>
      </c>
      <c r="E1351" s="65"/>
      <c r="F1351" s="623">
        <f t="shared" si="29"/>
        <v>1581448</v>
      </c>
      <c r="G1351" s="388" t="s">
        <v>9567</v>
      </c>
    </row>
    <row r="1352" spans="1:7" x14ac:dyDescent="0.3">
      <c r="A1352" s="54">
        <v>45475</v>
      </c>
      <c r="C1352" s="5" t="s">
        <v>13939</v>
      </c>
      <c r="D1352" s="65">
        <v>15000</v>
      </c>
      <c r="E1352" s="65"/>
      <c r="F1352" s="623">
        <f t="shared" ref="F1352:F1363" si="30">F1351+E1352-D1352</f>
        <v>1566448</v>
      </c>
      <c r="G1352" s="388" t="s">
        <v>9567</v>
      </c>
    </row>
    <row r="1353" spans="1:7" x14ac:dyDescent="0.3">
      <c r="A1353" s="54">
        <v>45475</v>
      </c>
      <c r="C1353" s="5" t="s">
        <v>13765</v>
      </c>
      <c r="D1353" s="65">
        <v>300000</v>
      </c>
      <c r="E1353" s="65"/>
      <c r="F1353" s="623">
        <f t="shared" si="30"/>
        <v>1266448</v>
      </c>
      <c r="G1353" s="388" t="s">
        <v>9567</v>
      </c>
    </row>
    <row r="1354" spans="1:7" x14ac:dyDescent="0.3">
      <c r="A1354" s="54">
        <v>45475</v>
      </c>
      <c r="C1354" s="5" t="s">
        <v>13940</v>
      </c>
      <c r="D1354" s="65">
        <v>150000</v>
      </c>
      <c r="E1354" s="65"/>
      <c r="F1354" s="623">
        <f t="shared" si="30"/>
        <v>1116448</v>
      </c>
      <c r="G1354" s="388" t="s">
        <v>9567</v>
      </c>
    </row>
    <row r="1355" spans="1:7" x14ac:dyDescent="0.3">
      <c r="A1355" s="54">
        <v>45475</v>
      </c>
      <c r="C1355" s="44" t="s">
        <v>13929</v>
      </c>
      <c r="D1355" s="48">
        <v>50000</v>
      </c>
      <c r="E1355" s="65"/>
      <c r="F1355" s="623">
        <f t="shared" si="30"/>
        <v>1066448</v>
      </c>
      <c r="G1355" s="388" t="s">
        <v>9567</v>
      </c>
    </row>
    <row r="1356" spans="1:7" x14ac:dyDescent="0.3">
      <c r="A1356" s="54">
        <v>45475</v>
      </c>
      <c r="C1356" s="44" t="s">
        <v>13930</v>
      </c>
      <c r="D1356" s="48">
        <v>5000</v>
      </c>
      <c r="E1356" s="65"/>
      <c r="F1356" s="623">
        <f t="shared" si="30"/>
        <v>1061448</v>
      </c>
      <c r="G1356" s="388" t="s">
        <v>9567</v>
      </c>
    </row>
    <row r="1357" spans="1:7" x14ac:dyDescent="0.3">
      <c r="A1357" s="54">
        <v>45476</v>
      </c>
      <c r="C1357" s="5" t="s">
        <v>294</v>
      </c>
      <c r="D1357" s="65"/>
      <c r="E1357" s="65">
        <v>5000</v>
      </c>
      <c r="F1357" s="623">
        <f t="shared" si="30"/>
        <v>1066448</v>
      </c>
      <c r="G1357" s="388" t="s">
        <v>9567</v>
      </c>
    </row>
    <row r="1358" spans="1:7" x14ac:dyDescent="0.3">
      <c r="A1358" s="54">
        <v>45477</v>
      </c>
      <c r="C1358" s="5" t="s">
        <v>8153</v>
      </c>
      <c r="D1358" s="65">
        <v>3550</v>
      </c>
      <c r="E1358" s="65"/>
      <c r="F1358" s="623">
        <f t="shared" si="30"/>
        <v>1062898</v>
      </c>
      <c r="G1358" s="388" t="s">
        <v>9567</v>
      </c>
    </row>
    <row r="1359" spans="1:7" x14ac:dyDescent="0.3">
      <c r="A1359" s="54">
        <v>45477</v>
      </c>
      <c r="C1359" s="5" t="s">
        <v>13951</v>
      </c>
      <c r="D1359" s="65">
        <v>3000</v>
      </c>
      <c r="E1359" s="65"/>
      <c r="F1359" s="623">
        <f t="shared" si="30"/>
        <v>1059898</v>
      </c>
      <c r="G1359" s="388" t="s">
        <v>9567</v>
      </c>
    </row>
    <row r="1360" spans="1:7" x14ac:dyDescent="0.3">
      <c r="A1360" s="54">
        <v>45477</v>
      </c>
      <c r="C1360" s="5" t="s">
        <v>5034</v>
      </c>
      <c r="D1360" s="65">
        <v>6040</v>
      </c>
      <c r="E1360" s="65"/>
      <c r="F1360" s="623">
        <f t="shared" si="30"/>
        <v>1053858</v>
      </c>
      <c r="G1360" s="388" t="s">
        <v>9567</v>
      </c>
    </row>
    <row r="1361" spans="1:7" x14ac:dyDescent="0.3">
      <c r="A1361" s="54">
        <v>45477</v>
      </c>
      <c r="C1361" s="5" t="s">
        <v>13952</v>
      </c>
      <c r="D1361" s="65">
        <v>4500</v>
      </c>
      <c r="E1361" s="65"/>
      <c r="F1361" s="623">
        <f t="shared" si="30"/>
        <v>1049358</v>
      </c>
      <c r="G1361" s="388" t="s">
        <v>9567</v>
      </c>
    </row>
    <row r="1362" spans="1:7" x14ac:dyDescent="0.3">
      <c r="A1362" s="54">
        <v>45477</v>
      </c>
      <c r="C1362" s="5" t="s">
        <v>13416</v>
      </c>
      <c r="D1362" s="65">
        <v>6650</v>
      </c>
      <c r="E1362" s="65"/>
      <c r="F1362" s="623">
        <f t="shared" si="30"/>
        <v>1042708</v>
      </c>
      <c r="G1362" s="388" t="s">
        <v>9567</v>
      </c>
    </row>
    <row r="1363" spans="1:7" x14ac:dyDescent="0.3">
      <c r="A1363" s="54">
        <v>45481</v>
      </c>
      <c r="C1363" s="5" t="s">
        <v>12215</v>
      </c>
      <c r="D1363" s="65"/>
      <c r="E1363" s="65">
        <v>55131</v>
      </c>
      <c r="F1363" s="623">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14048</v>
      </c>
      <c r="D1367" s="65">
        <v>5000</v>
      </c>
      <c r="E1367" s="65"/>
      <c r="F1367" s="46">
        <f t="shared" si="31"/>
        <v>1118839</v>
      </c>
      <c r="G1367" s="388" t="s">
        <v>9567</v>
      </c>
    </row>
    <row r="1368" spans="1:7" x14ac:dyDescent="0.3">
      <c r="A1368" s="54">
        <v>45495</v>
      </c>
      <c r="C1368" s="5" t="s">
        <v>14049</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13952</v>
      </c>
      <c r="D1371" s="65">
        <v>4000</v>
      </c>
      <c r="E1371" s="65"/>
      <c r="F1371" s="46">
        <f t="shared" si="31"/>
        <v>1100719</v>
      </c>
      <c r="G1371" s="388" t="s">
        <v>9567</v>
      </c>
    </row>
    <row r="1372" spans="1:7" x14ac:dyDescent="0.3">
      <c r="A1372" s="54">
        <v>45495</v>
      </c>
      <c r="C1372" s="5" t="s">
        <v>12577</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14111</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11972</v>
      </c>
      <c r="D1378" s="65">
        <v>70000</v>
      </c>
      <c r="E1378" s="65"/>
      <c r="F1378" s="46">
        <f t="shared" si="31"/>
        <v>1156899</v>
      </c>
      <c r="G1378" s="388" t="s">
        <v>9567</v>
      </c>
    </row>
    <row r="1379" spans="1:7" x14ac:dyDescent="0.3">
      <c r="A1379" s="54">
        <v>45507</v>
      </c>
      <c r="C1379" s="44" t="s">
        <v>14138</v>
      </c>
      <c r="D1379" s="65">
        <v>50000</v>
      </c>
      <c r="E1379" s="65"/>
      <c r="F1379" s="46">
        <f t="shared" si="31"/>
        <v>1106899</v>
      </c>
      <c r="G1379" s="388" t="s">
        <v>9567</v>
      </c>
    </row>
    <row r="1380" spans="1:7" x14ac:dyDescent="0.3">
      <c r="A1380" s="54">
        <v>45507</v>
      </c>
      <c r="C1380" s="44" t="s">
        <v>14139</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12215</v>
      </c>
      <c r="D1382" s="65"/>
      <c r="E1382" s="43">
        <v>52562</v>
      </c>
      <c r="F1382" s="46">
        <f t="shared" si="31"/>
        <v>1254461</v>
      </c>
      <c r="G1382" s="388" t="s">
        <v>9567</v>
      </c>
    </row>
    <row r="1383" spans="1:7" x14ac:dyDescent="0.3">
      <c r="A1383" s="54">
        <v>45517</v>
      </c>
      <c r="C1383" s="5" t="s">
        <v>14207</v>
      </c>
      <c r="D1383" s="65">
        <v>25000</v>
      </c>
      <c r="E1383" s="65"/>
      <c r="F1383" s="46">
        <f t="shared" si="31"/>
        <v>1229461</v>
      </c>
      <c r="G1383" s="388" t="s">
        <v>9567</v>
      </c>
    </row>
    <row r="1384" spans="1:7" x14ac:dyDescent="0.3">
      <c r="A1384" s="54">
        <v>45517</v>
      </c>
      <c r="C1384" s="5" t="s">
        <v>14209</v>
      </c>
      <c r="D1384" s="65">
        <v>15000</v>
      </c>
      <c r="E1384" s="65"/>
      <c r="F1384" s="46">
        <f t="shared" si="31"/>
        <v>1214461</v>
      </c>
      <c r="G1384" s="388" t="s">
        <v>9567</v>
      </c>
    </row>
    <row r="1385" spans="1:7" x14ac:dyDescent="0.3">
      <c r="A1385" s="54">
        <v>45517</v>
      </c>
      <c r="C1385" s="5" t="s">
        <v>14210</v>
      </c>
      <c r="D1385" s="65">
        <v>5000</v>
      </c>
      <c r="E1385" s="65"/>
      <c r="F1385" s="46">
        <f t="shared" si="31"/>
        <v>1209461</v>
      </c>
      <c r="G1385" s="388" t="s">
        <v>9567</v>
      </c>
    </row>
    <row r="1386" spans="1:7" x14ac:dyDescent="0.3">
      <c r="A1386" s="54">
        <v>45517</v>
      </c>
      <c r="C1386" s="5" t="s">
        <v>14211</v>
      </c>
      <c r="D1386" s="65">
        <v>2000</v>
      </c>
      <c r="E1386" s="65"/>
      <c r="F1386" s="46">
        <f t="shared" si="31"/>
        <v>1207461</v>
      </c>
      <c r="G1386" s="388" t="s">
        <v>9567</v>
      </c>
    </row>
    <row r="1387" spans="1:7" x14ac:dyDescent="0.3">
      <c r="A1387" s="54">
        <v>45528</v>
      </c>
      <c r="C1387" s="5" t="s">
        <v>11664</v>
      </c>
      <c r="D1387" s="65">
        <v>5000</v>
      </c>
      <c r="E1387" s="65"/>
      <c r="F1387" s="46">
        <f t="shared" si="31"/>
        <v>1202461</v>
      </c>
      <c r="G1387" s="388" t="s">
        <v>9567</v>
      </c>
    </row>
    <row r="1388" spans="1:7" x14ac:dyDescent="0.3">
      <c r="A1388" s="54">
        <v>45528</v>
      </c>
      <c r="C1388" s="5" t="s">
        <v>14288</v>
      </c>
      <c r="D1388" s="65">
        <v>1000</v>
      </c>
      <c r="E1388" s="65"/>
      <c r="F1388" s="46">
        <f t="shared" si="31"/>
        <v>1201461</v>
      </c>
      <c r="G1388" s="388" t="s">
        <v>9567</v>
      </c>
    </row>
    <row r="1389" spans="1:7" x14ac:dyDescent="0.3">
      <c r="A1389" s="54">
        <v>45528</v>
      </c>
      <c r="C1389" s="5" t="s">
        <v>14289</v>
      </c>
      <c r="D1389" s="65">
        <v>15000</v>
      </c>
      <c r="E1389" s="65"/>
      <c r="F1389" s="46">
        <f t="shared" si="31"/>
        <v>1186461</v>
      </c>
      <c r="G1389" s="388" t="s">
        <v>9567</v>
      </c>
    </row>
    <row r="1390" spans="1:7" x14ac:dyDescent="0.3">
      <c r="A1390" s="54">
        <v>45528</v>
      </c>
      <c r="C1390" s="5" t="s">
        <v>14290</v>
      </c>
      <c r="D1390" s="65">
        <v>15000</v>
      </c>
      <c r="E1390" s="65"/>
      <c r="F1390" s="46">
        <f t="shared" si="31"/>
        <v>1171461</v>
      </c>
      <c r="G1390" s="388" t="s">
        <v>9567</v>
      </c>
    </row>
    <row r="1391" spans="1:7" x14ac:dyDescent="0.3">
      <c r="A1391" s="54">
        <v>45528</v>
      </c>
      <c r="C1391" s="5" t="s">
        <v>14291</v>
      </c>
      <c r="D1391" s="65">
        <v>17000</v>
      </c>
      <c r="E1391" s="65"/>
      <c r="F1391" s="46">
        <f t="shared" si="31"/>
        <v>1154461</v>
      </c>
      <c r="G1391" s="388" t="s">
        <v>9567</v>
      </c>
    </row>
    <row r="1392" spans="1:7" x14ac:dyDescent="0.3">
      <c r="A1392" s="54">
        <v>45528</v>
      </c>
      <c r="C1392" s="5" t="s">
        <v>11972</v>
      </c>
      <c r="D1392" s="65">
        <v>11000</v>
      </c>
      <c r="E1392" s="65"/>
      <c r="F1392" s="46">
        <f t="shared" si="31"/>
        <v>1143461</v>
      </c>
      <c r="G1392" s="388" t="s">
        <v>9567</v>
      </c>
    </row>
    <row r="1393" spans="1:10" x14ac:dyDescent="0.3">
      <c r="A1393" s="54">
        <v>45533</v>
      </c>
      <c r="C1393" s="5" t="s">
        <v>14299</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14319</v>
      </c>
      <c r="D1395" s="65">
        <v>2000</v>
      </c>
      <c r="E1395" s="65"/>
      <c r="F1395" s="46">
        <f t="shared" si="31"/>
        <v>1438461</v>
      </c>
      <c r="G1395" s="388" t="s">
        <v>9567</v>
      </c>
    </row>
    <row r="1396" spans="1:10" x14ac:dyDescent="0.3">
      <c r="A1396" s="54">
        <v>45535</v>
      </c>
      <c r="C1396" s="5" t="s">
        <v>14330</v>
      </c>
      <c r="D1396" s="65">
        <v>70000</v>
      </c>
      <c r="E1396" s="65"/>
      <c r="F1396" s="46">
        <f t="shared" si="31"/>
        <v>1368461</v>
      </c>
      <c r="G1396" s="388" t="s">
        <v>9567</v>
      </c>
    </row>
    <row r="1397" spans="1:10" x14ac:dyDescent="0.3">
      <c r="A1397" s="54">
        <v>45535</v>
      </c>
      <c r="C1397" s="5" t="s">
        <v>14344</v>
      </c>
      <c r="D1397" s="65">
        <v>10000</v>
      </c>
      <c r="E1397" s="65"/>
      <c r="F1397" s="46">
        <f t="shared" si="31"/>
        <v>1358461</v>
      </c>
      <c r="G1397" s="388" t="s">
        <v>9567</v>
      </c>
    </row>
    <row r="1398" spans="1:10" x14ac:dyDescent="0.3">
      <c r="A1398" s="54">
        <v>45535</v>
      </c>
      <c r="C1398" s="5" t="s">
        <v>14340</v>
      </c>
      <c r="D1398" s="65">
        <v>1000</v>
      </c>
      <c r="E1398" s="65"/>
      <c r="F1398" s="46">
        <f t="shared" si="31"/>
        <v>1357461</v>
      </c>
      <c r="G1398" s="388" t="s">
        <v>9567</v>
      </c>
    </row>
    <row r="1399" spans="1:10" x14ac:dyDescent="0.3">
      <c r="A1399" s="54">
        <v>45535</v>
      </c>
      <c r="C1399" s="5" t="s">
        <v>14341</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14333</v>
      </c>
      <c r="D1401" s="65">
        <v>10000</v>
      </c>
      <c r="E1401" s="65"/>
      <c r="F1401" s="46">
        <f t="shared" si="31"/>
        <v>1343141</v>
      </c>
      <c r="G1401" s="388" t="s">
        <v>9567</v>
      </c>
    </row>
    <row r="1402" spans="1:10" x14ac:dyDescent="0.3">
      <c r="A1402" s="54">
        <v>45537</v>
      </c>
      <c r="C1402" s="5" t="s">
        <v>14334</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14342</v>
      </c>
      <c r="D1404" s="65">
        <v>50000</v>
      </c>
      <c r="E1404" s="65"/>
      <c r="F1404" s="46">
        <f t="shared" si="31"/>
        <v>1328141</v>
      </c>
      <c r="G1404" s="388" t="s">
        <v>9567</v>
      </c>
    </row>
    <row r="1405" spans="1:10" x14ac:dyDescent="0.3">
      <c r="A1405" s="54">
        <v>45538</v>
      </c>
      <c r="C1405" s="44" t="s">
        <v>14343</v>
      </c>
      <c r="D1405" s="65">
        <v>5000</v>
      </c>
      <c r="E1405" s="65"/>
      <c r="F1405" s="46">
        <f t="shared" si="31"/>
        <v>1323141</v>
      </c>
      <c r="G1405" s="388" t="s">
        <v>9567</v>
      </c>
    </row>
    <row r="1406" spans="1:10" x14ac:dyDescent="0.3">
      <c r="A1406" s="54">
        <v>45538</v>
      </c>
      <c r="C1406" s="5" t="s">
        <v>14351</v>
      </c>
      <c r="D1406" s="65">
        <v>20000</v>
      </c>
      <c r="E1406" s="65"/>
      <c r="F1406" s="46">
        <f t="shared" si="31"/>
        <v>1303141</v>
      </c>
      <c r="G1406" s="388" t="s">
        <v>9567</v>
      </c>
    </row>
    <row r="1407" spans="1:10" x14ac:dyDescent="0.3">
      <c r="A1407" s="54">
        <v>45538</v>
      </c>
      <c r="C1407" s="5" t="s">
        <v>14354</v>
      </c>
      <c r="D1407" s="65">
        <v>30000</v>
      </c>
      <c r="E1407" s="65"/>
      <c r="F1407" s="46">
        <f t="shared" si="31"/>
        <v>1273141</v>
      </c>
      <c r="G1407" s="388" t="s">
        <v>9567</v>
      </c>
    </row>
    <row r="1408" spans="1:10" x14ac:dyDescent="0.3">
      <c r="A1408" s="54">
        <v>45538</v>
      </c>
      <c r="C1408" s="5" t="s">
        <v>14352</v>
      </c>
      <c r="D1408" s="65">
        <v>11180</v>
      </c>
      <c r="E1408" s="65"/>
      <c r="F1408" s="46">
        <f t="shared" si="31"/>
        <v>1261961</v>
      </c>
      <c r="G1408" s="388" t="s">
        <v>9567</v>
      </c>
      <c r="J1408" s="2"/>
    </row>
    <row r="1409" spans="1:10" x14ac:dyDescent="0.3">
      <c r="A1409" s="54">
        <v>45538</v>
      </c>
      <c r="C1409" s="5" t="s">
        <v>14353</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14408</v>
      </c>
      <c r="D1411" s="65">
        <v>10000</v>
      </c>
      <c r="E1411" s="65"/>
      <c r="F1411" s="46">
        <f t="shared" si="31"/>
        <v>1258351</v>
      </c>
      <c r="G1411" s="388" t="s">
        <v>9567</v>
      </c>
      <c r="J1411" s="2">
        <f>J1410+J1409</f>
        <v>163886.66</v>
      </c>
    </row>
    <row r="1412" spans="1:10" x14ac:dyDescent="0.3">
      <c r="A1412" s="54">
        <v>45546</v>
      </c>
      <c r="C1412" s="5" t="s">
        <v>14409</v>
      </c>
      <c r="D1412" s="65">
        <v>2500</v>
      </c>
      <c r="E1412" s="65"/>
      <c r="F1412" s="46">
        <f t="shared" si="31"/>
        <v>1255851</v>
      </c>
      <c r="G1412" s="388" t="s">
        <v>9567</v>
      </c>
      <c r="J1412" s="2"/>
    </row>
    <row r="1413" spans="1:10" x14ac:dyDescent="0.3">
      <c r="A1413" s="54">
        <v>45546</v>
      </c>
      <c r="C1413" s="5" t="s">
        <v>14410</v>
      </c>
      <c r="D1413" s="65">
        <v>2500</v>
      </c>
      <c r="E1413" s="65"/>
      <c r="F1413" s="46">
        <f t="shared" si="31"/>
        <v>1253351</v>
      </c>
      <c r="G1413" s="388" t="s">
        <v>9567</v>
      </c>
      <c r="J1413" s="2"/>
    </row>
    <row r="1414" spans="1:10" x14ac:dyDescent="0.3">
      <c r="A1414" s="54">
        <v>45546</v>
      </c>
      <c r="C1414" s="5" t="s">
        <v>14411</v>
      </c>
      <c r="D1414" s="65">
        <v>15000</v>
      </c>
      <c r="E1414" s="65"/>
      <c r="F1414" s="46">
        <f t="shared" si="31"/>
        <v>1238351</v>
      </c>
      <c r="G1414" s="388" t="s">
        <v>9567</v>
      </c>
    </row>
    <row r="1415" spans="1:10" x14ac:dyDescent="0.3">
      <c r="A1415" s="54">
        <v>45546</v>
      </c>
      <c r="C1415" s="5" t="s">
        <v>14423</v>
      </c>
      <c r="D1415" s="65">
        <v>10000</v>
      </c>
      <c r="E1415" s="65"/>
      <c r="F1415" s="46">
        <f t="shared" si="31"/>
        <v>1228351</v>
      </c>
      <c r="G1415" s="388" t="s">
        <v>9567</v>
      </c>
    </row>
    <row r="1416" spans="1:10" x14ac:dyDescent="0.3">
      <c r="A1416" s="54">
        <v>45548</v>
      </c>
      <c r="C1416" s="5" t="s">
        <v>11972</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12215</v>
      </c>
      <c r="D1418" s="65"/>
      <c r="E1418" s="65">
        <v>40750</v>
      </c>
      <c r="F1418" s="46">
        <f t="shared" si="31"/>
        <v>1269101</v>
      </c>
      <c r="G1418" s="388" t="s">
        <v>9567</v>
      </c>
    </row>
    <row r="1419" spans="1:10" x14ac:dyDescent="0.3">
      <c r="A1419" s="54">
        <v>45567</v>
      </c>
      <c r="C1419" s="5" t="s">
        <v>14593</v>
      </c>
      <c r="D1419" s="65">
        <v>50000</v>
      </c>
      <c r="E1419" s="65"/>
      <c r="F1419" s="46">
        <f t="shared" si="31"/>
        <v>1219101</v>
      </c>
      <c r="G1419" s="388" t="s">
        <v>9567</v>
      </c>
    </row>
    <row r="1420" spans="1:10" x14ac:dyDescent="0.3">
      <c r="A1420" s="54">
        <v>45567</v>
      </c>
      <c r="C1420" s="44" t="s">
        <v>14598</v>
      </c>
      <c r="D1420" s="65">
        <v>50000</v>
      </c>
      <c r="E1420" s="65"/>
      <c r="F1420" s="46">
        <f t="shared" si="31"/>
        <v>1169101</v>
      </c>
      <c r="G1420" s="388" t="s">
        <v>9567</v>
      </c>
    </row>
    <row r="1421" spans="1:10" x14ac:dyDescent="0.3">
      <c r="A1421" s="54">
        <v>45567</v>
      </c>
      <c r="C1421" s="44" t="s">
        <v>14599</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11972</v>
      </c>
      <c r="D1424" s="65">
        <v>10000</v>
      </c>
      <c r="E1424" s="65"/>
      <c r="F1424" s="46">
        <f t="shared" si="32"/>
        <v>1164801</v>
      </c>
      <c r="G1424" s="388" t="s">
        <v>9567</v>
      </c>
    </row>
    <row r="1425" spans="1:7" x14ac:dyDescent="0.3">
      <c r="A1425" s="54">
        <v>45588</v>
      </c>
      <c r="C1425" s="5" t="s">
        <v>14760</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14791</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14823</v>
      </c>
      <c r="D1429" s="65">
        <v>2000</v>
      </c>
      <c r="E1429" s="65"/>
      <c r="F1429" s="46">
        <f t="shared" si="32"/>
        <v>1175801</v>
      </c>
      <c r="G1429" s="388" t="s">
        <v>9567</v>
      </c>
    </row>
    <row r="1430" spans="1:7" x14ac:dyDescent="0.3">
      <c r="A1430" s="54">
        <v>45598</v>
      </c>
      <c r="C1430" s="5" t="s">
        <v>14824</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14889</v>
      </c>
      <c r="D1433" s="65">
        <v>50000</v>
      </c>
      <c r="E1433" s="65"/>
      <c r="F1433" s="46">
        <f t="shared" si="32"/>
        <v>1126501</v>
      </c>
      <c r="G1433" s="388" t="s">
        <v>9567</v>
      </c>
    </row>
    <row r="1434" spans="1:7" x14ac:dyDescent="0.3">
      <c r="A1434" s="54">
        <v>45604</v>
      </c>
      <c r="C1434" s="44" t="s">
        <v>14890</v>
      </c>
      <c r="D1434" s="65">
        <v>5000</v>
      </c>
      <c r="E1434" s="65"/>
      <c r="F1434" s="46">
        <f t="shared" si="32"/>
        <v>1121501</v>
      </c>
      <c r="G1434" s="388" t="s">
        <v>9567</v>
      </c>
    </row>
    <row r="1435" spans="1:7" x14ac:dyDescent="0.3">
      <c r="A1435" s="54">
        <v>45604</v>
      </c>
      <c r="C1435" s="5" t="s">
        <v>14891</v>
      </c>
      <c r="D1435" s="65">
        <v>8600</v>
      </c>
      <c r="E1435" s="65"/>
      <c r="F1435" s="46">
        <f t="shared" si="32"/>
        <v>1112901</v>
      </c>
      <c r="G1435" s="388" t="s">
        <v>9567</v>
      </c>
    </row>
    <row r="1436" spans="1:7" x14ac:dyDescent="0.3">
      <c r="A1436" s="54">
        <v>45604</v>
      </c>
      <c r="C1436" s="5" t="s">
        <v>14892</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14900</v>
      </c>
      <c r="D1438" s="65">
        <v>10000</v>
      </c>
      <c r="E1438" s="65"/>
      <c r="F1438" s="46">
        <f t="shared" si="32"/>
        <v>1105801</v>
      </c>
      <c r="G1438" s="388" t="s">
        <v>9567</v>
      </c>
    </row>
    <row r="1439" spans="1:7" x14ac:dyDescent="0.3">
      <c r="A1439" s="54">
        <v>45607</v>
      </c>
      <c r="C1439" s="5" t="s">
        <v>14901</v>
      </c>
      <c r="D1439" s="65">
        <v>7500</v>
      </c>
      <c r="E1439" s="65"/>
      <c r="F1439" s="46">
        <f t="shared" si="32"/>
        <v>1098301</v>
      </c>
      <c r="G1439" s="388" t="s">
        <v>9567</v>
      </c>
    </row>
    <row r="1440" spans="1:7" x14ac:dyDescent="0.3">
      <c r="A1440" s="54">
        <v>45607</v>
      </c>
      <c r="C1440" s="5" t="s">
        <v>14902</v>
      </c>
      <c r="D1440" s="65">
        <v>9200</v>
      </c>
      <c r="E1440" s="65"/>
      <c r="F1440" s="46">
        <f t="shared" si="32"/>
        <v>1089101</v>
      </c>
      <c r="G1440" s="388" t="s">
        <v>9567</v>
      </c>
    </row>
    <row r="1441" spans="1:7" x14ac:dyDescent="0.3">
      <c r="A1441" s="54">
        <v>45607</v>
      </c>
      <c r="C1441" s="5" t="s">
        <v>14903</v>
      </c>
      <c r="D1441" s="65">
        <v>7500</v>
      </c>
      <c r="E1441" s="65"/>
      <c r="F1441" s="46">
        <f t="shared" si="32"/>
        <v>1081601</v>
      </c>
      <c r="G1441" s="388" t="s">
        <v>9567</v>
      </c>
    </row>
    <row r="1442" spans="1:7" x14ac:dyDescent="0.3">
      <c r="A1442" s="54">
        <v>45607</v>
      </c>
      <c r="C1442" s="5" t="s">
        <v>14904</v>
      </c>
      <c r="D1442" s="65">
        <v>5000</v>
      </c>
      <c r="E1442" s="65"/>
      <c r="F1442" s="46">
        <f t="shared" si="32"/>
        <v>1076601</v>
      </c>
      <c r="G1442" s="388" t="s">
        <v>9567</v>
      </c>
    </row>
    <row r="1443" spans="1:7" x14ac:dyDescent="0.3">
      <c r="A1443" s="54">
        <v>45607</v>
      </c>
      <c r="C1443" s="5" t="s">
        <v>14905</v>
      </c>
      <c r="D1443" s="65">
        <v>12000</v>
      </c>
      <c r="E1443" s="65"/>
      <c r="F1443" s="46">
        <f t="shared" si="32"/>
        <v>1064601</v>
      </c>
      <c r="G1443" s="388" t="s">
        <v>9567</v>
      </c>
    </row>
    <row r="1444" spans="1:7" x14ac:dyDescent="0.3">
      <c r="A1444" s="54">
        <v>45608</v>
      </c>
      <c r="C1444" s="5" t="s">
        <v>14918</v>
      </c>
      <c r="D1444" s="65">
        <v>150000</v>
      </c>
      <c r="E1444" s="65"/>
      <c r="F1444" s="46">
        <f t="shared" si="32"/>
        <v>914601</v>
      </c>
      <c r="G1444" s="388" t="s">
        <v>9567</v>
      </c>
    </row>
    <row r="1445" spans="1:7" x14ac:dyDescent="0.3">
      <c r="A1445" s="54">
        <v>45608</v>
      </c>
      <c r="C1445" s="5" t="s">
        <v>12215</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14983</v>
      </c>
      <c r="D1448" s="65">
        <v>10000</v>
      </c>
      <c r="E1448" s="65"/>
      <c r="F1448" s="46">
        <f t="shared" si="32"/>
        <v>1140127</v>
      </c>
      <c r="G1448" s="388" t="s">
        <v>9567</v>
      </c>
    </row>
    <row r="1449" spans="1:7" x14ac:dyDescent="0.3">
      <c r="A1449" s="54">
        <v>45617</v>
      </c>
      <c r="C1449" s="5" t="s">
        <v>14984</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14985</v>
      </c>
      <c r="D1451" s="65">
        <v>5100</v>
      </c>
      <c r="E1451" s="65"/>
      <c r="F1451" s="46">
        <f t="shared" si="32"/>
        <v>1126627</v>
      </c>
      <c r="G1451" s="388" t="s">
        <v>9567</v>
      </c>
    </row>
    <row r="1452" spans="1:7" x14ac:dyDescent="0.3">
      <c r="A1452" s="54">
        <v>45619</v>
      </c>
      <c r="C1452" s="5" t="s">
        <v>14993</v>
      </c>
      <c r="D1452" s="65"/>
      <c r="E1452" s="65">
        <v>20000</v>
      </c>
      <c r="F1452" s="46">
        <f t="shared" si="32"/>
        <v>1146627</v>
      </c>
      <c r="G1452" s="388" t="s">
        <v>9567</v>
      </c>
    </row>
    <row r="1453" spans="1:7" x14ac:dyDescent="0.3">
      <c r="A1453" s="54">
        <v>45619</v>
      </c>
      <c r="C1453" s="5" t="s">
        <v>14994</v>
      </c>
      <c r="D1453" s="65">
        <v>3000</v>
      </c>
      <c r="E1453" s="65"/>
      <c r="F1453" s="46">
        <f t="shared" si="32"/>
        <v>1143627</v>
      </c>
      <c r="G1453" s="388" t="s">
        <v>9567</v>
      </c>
    </row>
    <row r="1454" spans="1:7" x14ac:dyDescent="0.3">
      <c r="A1454" s="54">
        <v>45619</v>
      </c>
      <c r="C1454" s="5" t="s">
        <v>14983</v>
      </c>
      <c r="D1454" s="65">
        <v>10000</v>
      </c>
      <c r="E1454" s="65"/>
      <c r="F1454" s="46">
        <f t="shared" si="32"/>
        <v>1133627</v>
      </c>
      <c r="G1454" s="388" t="s">
        <v>9567</v>
      </c>
    </row>
    <row r="1455" spans="1:7" x14ac:dyDescent="0.3">
      <c r="A1455" s="54">
        <v>45624</v>
      </c>
      <c r="C1455" s="5" t="s">
        <v>15024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14334</v>
      </c>
      <c r="D1457" s="65">
        <v>5000</v>
      </c>
      <c r="E1457" s="65"/>
      <c r="F1457" s="46">
        <f t="shared" si="32"/>
        <v>1398627</v>
      </c>
      <c r="G1457" s="388" t="s">
        <v>9567</v>
      </c>
    </row>
    <row r="1458" spans="1:7" x14ac:dyDescent="0.3">
      <c r="A1458" s="54">
        <v>45628</v>
      </c>
      <c r="C1458" s="5" t="s">
        <v>11972</v>
      </c>
      <c r="D1458" s="65">
        <v>20000</v>
      </c>
      <c r="E1458" s="65"/>
      <c r="F1458" s="46">
        <f t="shared" si="32"/>
        <v>1378627</v>
      </c>
      <c r="G1458" s="388" t="s">
        <v>9567</v>
      </c>
    </row>
    <row r="1459" spans="1:7" x14ac:dyDescent="0.3">
      <c r="A1459" s="54">
        <v>45628</v>
      </c>
      <c r="C1459" s="5" t="s">
        <v>13457</v>
      </c>
      <c r="D1459" s="65">
        <v>150000</v>
      </c>
      <c r="E1459" s="65"/>
      <c r="F1459" s="46">
        <f t="shared" si="32"/>
        <v>1228627</v>
      </c>
      <c r="G1459" s="388" t="s">
        <v>9567</v>
      </c>
    </row>
    <row r="1460" spans="1:7" x14ac:dyDescent="0.3">
      <c r="A1460" s="54">
        <v>45628</v>
      </c>
      <c r="C1460" s="5" t="s">
        <v>14994</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15092</v>
      </c>
      <c r="D1464" s="65">
        <v>50000</v>
      </c>
      <c r="E1464" s="65"/>
      <c r="F1464" s="46">
        <f t="shared" si="32"/>
        <v>1194287</v>
      </c>
      <c r="G1464" s="388" t="s">
        <v>9567</v>
      </c>
    </row>
    <row r="1465" spans="1:7" x14ac:dyDescent="0.3">
      <c r="A1465" s="54">
        <v>45632</v>
      </c>
      <c r="C1465" s="44" t="s">
        <v>15093</v>
      </c>
      <c r="D1465" s="65">
        <v>5000</v>
      </c>
      <c r="E1465" s="65"/>
      <c r="F1465" s="46">
        <f t="shared" si="32"/>
        <v>1189287</v>
      </c>
      <c r="G1465" s="388" t="s">
        <v>9567</v>
      </c>
    </row>
    <row r="1466" spans="1:7" x14ac:dyDescent="0.3">
      <c r="A1466" s="54">
        <v>45635</v>
      </c>
      <c r="C1466" s="5" t="s">
        <v>15095</v>
      </c>
      <c r="D1466" s="65">
        <v>50000</v>
      </c>
      <c r="E1466" s="65"/>
      <c r="F1466" s="46">
        <f t="shared" si="32"/>
        <v>1139287</v>
      </c>
      <c r="G1466" s="388" t="s">
        <v>9567</v>
      </c>
    </row>
    <row r="1467" spans="1:7" x14ac:dyDescent="0.3">
      <c r="A1467" s="54">
        <v>45635</v>
      </c>
      <c r="C1467" s="5" t="s">
        <v>15139</v>
      </c>
      <c r="D1467" s="65"/>
      <c r="E1467" s="65">
        <v>1100000</v>
      </c>
      <c r="F1467" s="46">
        <f t="shared" si="32"/>
        <v>2239287</v>
      </c>
      <c r="G1467" s="388" t="s">
        <v>9567</v>
      </c>
    </row>
    <row r="1468" spans="1:7" x14ac:dyDescent="0.3">
      <c r="A1468" s="54">
        <v>45637</v>
      </c>
      <c r="C1468" s="5" t="s">
        <v>11972</v>
      </c>
      <c r="D1468" s="65">
        <v>150000</v>
      </c>
      <c r="E1468" s="65"/>
      <c r="F1468" s="46">
        <f t="shared" si="32"/>
        <v>2089287</v>
      </c>
      <c r="G1468" s="388" t="s">
        <v>9567</v>
      </c>
    </row>
    <row r="1469" spans="1:7" x14ac:dyDescent="0.3">
      <c r="A1469" s="54">
        <v>45637</v>
      </c>
      <c r="C1469" s="5" t="s">
        <v>15115</v>
      </c>
      <c r="D1469" s="65">
        <v>100000</v>
      </c>
      <c r="E1469" s="65"/>
      <c r="F1469" s="46">
        <f t="shared" si="32"/>
        <v>1989287</v>
      </c>
      <c r="G1469" s="388" t="s">
        <v>9567</v>
      </c>
    </row>
    <row r="1470" spans="1:7" x14ac:dyDescent="0.3">
      <c r="A1470" s="54">
        <v>45639</v>
      </c>
      <c r="C1470" s="5" t="s">
        <v>15131</v>
      </c>
      <c r="D1470" s="65">
        <v>15000</v>
      </c>
      <c r="E1470" s="65"/>
      <c r="F1470" s="46">
        <f t="shared" si="32"/>
        <v>1974287</v>
      </c>
      <c r="G1470" s="388" t="s">
        <v>9567</v>
      </c>
    </row>
    <row r="1471" spans="1:7" x14ac:dyDescent="0.3">
      <c r="A1471" s="54">
        <v>45639</v>
      </c>
      <c r="C1471" s="5" t="s">
        <v>15140</v>
      </c>
      <c r="D1471" s="65">
        <v>850000</v>
      </c>
      <c r="E1471" s="65"/>
      <c r="F1471" s="46">
        <f t="shared" si="32"/>
        <v>1124287</v>
      </c>
      <c r="G1471" s="388" t="s">
        <v>9567</v>
      </c>
    </row>
    <row r="1472" spans="1:7" x14ac:dyDescent="0.3">
      <c r="A1472" s="54">
        <v>45642</v>
      </c>
      <c r="C1472" s="5" t="s">
        <v>14918</v>
      </c>
      <c r="D1472" s="65">
        <v>100000</v>
      </c>
      <c r="E1472" s="65"/>
      <c r="F1472" s="46">
        <f t="shared" si="32"/>
        <v>1024287</v>
      </c>
      <c r="G1472" s="388" t="s">
        <v>9567</v>
      </c>
    </row>
    <row r="1473" spans="1:7" x14ac:dyDescent="0.3">
      <c r="A1473" s="54">
        <v>45643</v>
      </c>
      <c r="C1473" s="5" t="s">
        <v>12215</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15201</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15220</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15279</v>
      </c>
      <c r="D1486" s="65">
        <v>50000</v>
      </c>
      <c r="E1486" s="65"/>
      <c r="F1486" s="46">
        <f t="shared" ref="F1486:F1553" si="33">F1485+E1486-D1486</f>
        <v>1027852</v>
      </c>
      <c r="G1486" s="388" t="s">
        <v>9567</v>
      </c>
    </row>
    <row r="1487" spans="1:7" x14ac:dyDescent="0.3">
      <c r="A1487" s="54">
        <v>45663</v>
      </c>
      <c r="C1487" s="44" t="s">
        <v>15280</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15340</v>
      </c>
      <c r="D1491" s="65">
        <v>8200</v>
      </c>
      <c r="E1491" s="65"/>
      <c r="F1491" s="46">
        <f t="shared" si="33"/>
        <v>1024652</v>
      </c>
      <c r="G1491" s="388" t="s">
        <v>9567</v>
      </c>
    </row>
    <row r="1492" spans="1:7" x14ac:dyDescent="0.3">
      <c r="A1492" s="54">
        <v>45672</v>
      </c>
      <c r="C1492" s="5" t="s">
        <v>14985</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15388</v>
      </c>
      <c r="D1497" s="65"/>
      <c r="E1497" s="65">
        <v>5000</v>
      </c>
      <c r="F1497" s="46">
        <f t="shared" si="33"/>
        <v>1042442</v>
      </c>
      <c r="G1497" s="388" t="s">
        <v>9567</v>
      </c>
    </row>
    <row r="1498" spans="1:7" x14ac:dyDescent="0.3">
      <c r="A1498" s="54">
        <v>45678</v>
      </c>
      <c r="C1498" s="5" t="s">
        <v>15372</v>
      </c>
      <c r="D1498" s="65"/>
      <c r="E1498" s="65">
        <v>5000</v>
      </c>
      <c r="F1498" s="46">
        <f t="shared" si="33"/>
        <v>1047442</v>
      </c>
      <c r="G1498" s="388" t="s">
        <v>9567</v>
      </c>
    </row>
    <row r="1499" spans="1:7" x14ac:dyDescent="0.3">
      <c r="A1499" s="54">
        <v>45678</v>
      </c>
      <c r="C1499" s="5" t="s">
        <v>15383</v>
      </c>
      <c r="D1499" s="65"/>
      <c r="E1499" s="65">
        <v>20000</v>
      </c>
      <c r="F1499" s="46">
        <f t="shared" si="33"/>
        <v>1067442</v>
      </c>
      <c r="G1499" s="388" t="s">
        <v>9567</v>
      </c>
    </row>
    <row r="1500" spans="1:7" x14ac:dyDescent="0.3">
      <c r="A1500" s="54">
        <v>45686</v>
      </c>
      <c r="C1500" s="5" t="s">
        <v>294</v>
      </c>
      <c r="D1500" s="65"/>
      <c r="E1500" s="65">
        <v>10000</v>
      </c>
      <c r="F1500" s="46">
        <f t="shared" si="33"/>
        <v>1077442</v>
      </c>
      <c r="G1500" s="388" t="s">
        <v>9567</v>
      </c>
    </row>
    <row r="1501" spans="1:7" x14ac:dyDescent="0.3">
      <c r="A1501" s="54">
        <v>45687</v>
      </c>
      <c r="C1501" s="5" t="s">
        <v>294</v>
      </c>
      <c r="D1501" s="65"/>
      <c r="E1501" s="65">
        <v>5000</v>
      </c>
      <c r="F1501" s="46">
        <f t="shared" si="33"/>
        <v>1082442</v>
      </c>
      <c r="G1501" s="388" t="s">
        <v>9567</v>
      </c>
    </row>
    <row r="1502" spans="1:7" x14ac:dyDescent="0.3">
      <c r="A1502" s="54">
        <v>45691</v>
      </c>
      <c r="C1502" s="5" t="s">
        <v>294</v>
      </c>
      <c r="D1502" s="65"/>
      <c r="E1502" s="65">
        <v>10000</v>
      </c>
      <c r="F1502" s="46">
        <f t="shared" si="33"/>
        <v>1092442</v>
      </c>
      <c r="G1502" s="388" t="s">
        <v>9567</v>
      </c>
    </row>
    <row r="1503" spans="1:7" x14ac:dyDescent="0.3">
      <c r="A1503" s="54">
        <v>45692</v>
      </c>
      <c r="C1503" s="44" t="s">
        <v>15473</v>
      </c>
      <c r="D1503" s="65">
        <v>50000</v>
      </c>
      <c r="E1503" s="65"/>
      <c r="F1503" s="46">
        <f t="shared" si="33"/>
        <v>1042442</v>
      </c>
      <c r="G1503" s="388" t="s">
        <v>9567</v>
      </c>
    </row>
    <row r="1504" spans="1:7" x14ac:dyDescent="0.3">
      <c r="A1504" s="54">
        <v>45692</v>
      </c>
      <c r="C1504" s="44" t="s">
        <v>15474</v>
      </c>
      <c r="D1504" s="65">
        <v>5000</v>
      </c>
      <c r="E1504" s="65"/>
      <c r="F1504" s="46">
        <f t="shared" si="33"/>
        <v>1037442</v>
      </c>
      <c r="G1504" s="388" t="s">
        <v>9567</v>
      </c>
    </row>
    <row r="1505" spans="1:7" x14ac:dyDescent="0.3">
      <c r="A1505" s="54">
        <v>45695</v>
      </c>
      <c r="C1505" s="5" t="s">
        <v>294</v>
      </c>
      <c r="D1505" s="65"/>
      <c r="E1505" s="65">
        <v>10000</v>
      </c>
      <c r="F1505" s="46">
        <f t="shared" si="33"/>
        <v>1047442</v>
      </c>
      <c r="G1505" s="388" t="s">
        <v>9567</v>
      </c>
    </row>
    <row r="1506" spans="1:7" x14ac:dyDescent="0.3">
      <c r="A1506" s="54">
        <v>45701</v>
      </c>
      <c r="C1506" s="5" t="s">
        <v>15523</v>
      </c>
      <c r="D1506" s="65"/>
      <c r="E1506" s="65">
        <v>23925</v>
      </c>
      <c r="F1506" s="46">
        <f t="shared" si="33"/>
        <v>1071367</v>
      </c>
      <c r="G1506" s="388" t="s">
        <v>9567</v>
      </c>
    </row>
    <row r="1507" spans="1:7" x14ac:dyDescent="0.3">
      <c r="A1507" s="54">
        <v>45705</v>
      </c>
      <c r="C1507" s="5" t="s">
        <v>15551</v>
      </c>
      <c r="D1507" s="65"/>
      <c r="E1507" s="65">
        <v>5000</v>
      </c>
      <c r="F1507" s="46">
        <f t="shared" si="33"/>
        <v>1076367</v>
      </c>
      <c r="G1507" s="388" t="s">
        <v>9567</v>
      </c>
    </row>
    <row r="1508" spans="1:7" x14ac:dyDescent="0.3">
      <c r="A1508" s="54">
        <v>45706</v>
      </c>
      <c r="C1508" s="5" t="s">
        <v>294</v>
      </c>
      <c r="D1508" s="65"/>
      <c r="E1508" s="65">
        <v>3000</v>
      </c>
      <c r="F1508" s="46">
        <f t="shared" si="33"/>
        <v>1079367</v>
      </c>
      <c r="G1508" s="388" t="s">
        <v>9567</v>
      </c>
    </row>
    <row r="1509" spans="1:7" x14ac:dyDescent="0.3">
      <c r="A1509" s="54">
        <v>45709</v>
      </c>
      <c r="C1509" s="5" t="s">
        <v>294</v>
      </c>
      <c r="D1509" s="65"/>
      <c r="E1509" s="65">
        <v>2500</v>
      </c>
      <c r="F1509" s="46">
        <f t="shared" si="33"/>
        <v>1081867</v>
      </c>
      <c r="G1509" s="388" t="s">
        <v>9567</v>
      </c>
    </row>
    <row r="1510" spans="1:7" x14ac:dyDescent="0.3">
      <c r="A1510" s="54">
        <v>45716</v>
      </c>
      <c r="C1510" s="5" t="s">
        <v>294</v>
      </c>
      <c r="D1510" s="65"/>
      <c r="E1510" s="65">
        <v>5000</v>
      </c>
      <c r="F1510" s="46">
        <f t="shared" si="33"/>
        <v>1086867</v>
      </c>
      <c r="G1510" s="388" t="s">
        <v>9567</v>
      </c>
    </row>
    <row r="1511" spans="1:7" x14ac:dyDescent="0.3">
      <c r="A1511" s="54">
        <v>45721</v>
      </c>
      <c r="C1511" s="5" t="s">
        <v>294</v>
      </c>
      <c r="D1511" s="65"/>
      <c r="E1511" s="65">
        <v>58000</v>
      </c>
      <c r="F1511" s="46">
        <f t="shared" si="33"/>
        <v>1144867</v>
      </c>
      <c r="G1511" s="388" t="s">
        <v>9567</v>
      </c>
    </row>
    <row r="1512" spans="1:7" x14ac:dyDescent="0.3">
      <c r="A1512" s="54">
        <v>45724</v>
      </c>
      <c r="C1512" s="5" t="s">
        <v>4601</v>
      </c>
      <c r="D1512" s="65"/>
      <c r="E1512" s="65">
        <v>790</v>
      </c>
      <c r="F1512" s="46">
        <f t="shared" si="33"/>
        <v>1145657</v>
      </c>
      <c r="G1512" s="388" t="s">
        <v>9567</v>
      </c>
    </row>
    <row r="1513" spans="1:7" x14ac:dyDescent="0.3">
      <c r="A1513" s="54">
        <v>45724</v>
      </c>
      <c r="C1513" s="44" t="s">
        <v>15686</v>
      </c>
      <c r="D1513" s="65">
        <v>50000</v>
      </c>
      <c r="E1513" s="65"/>
      <c r="F1513" s="46">
        <f t="shared" si="33"/>
        <v>1095657</v>
      </c>
      <c r="G1513" s="388" t="s">
        <v>9567</v>
      </c>
    </row>
    <row r="1514" spans="1:7" x14ac:dyDescent="0.3">
      <c r="A1514" s="54">
        <v>45724</v>
      </c>
      <c r="C1514" s="44" t="s">
        <v>15687</v>
      </c>
      <c r="D1514" s="65">
        <v>5000</v>
      </c>
      <c r="E1514" s="65"/>
      <c r="F1514" s="46">
        <f t="shared" si="33"/>
        <v>1090657</v>
      </c>
      <c r="G1514" s="388" t="s">
        <v>9567</v>
      </c>
    </row>
    <row r="1515" spans="1:7" x14ac:dyDescent="0.3">
      <c r="A1515" s="54">
        <v>45729</v>
      </c>
      <c r="C1515" s="5" t="s">
        <v>12215</v>
      </c>
      <c r="D1515" s="65"/>
      <c r="E1515" s="65">
        <v>7111</v>
      </c>
      <c r="F1515" s="46">
        <f t="shared" si="33"/>
        <v>1097768</v>
      </c>
      <c r="G1515" s="388" t="s">
        <v>9567</v>
      </c>
    </row>
    <row r="1516" spans="1:7" x14ac:dyDescent="0.3">
      <c r="A1516" s="54">
        <v>45742</v>
      </c>
      <c r="C1516" s="5" t="s">
        <v>9163</v>
      </c>
      <c r="D1516" s="65">
        <v>400000</v>
      </c>
      <c r="E1516" s="65"/>
      <c r="F1516" s="46">
        <f t="shared" si="33"/>
        <v>697768</v>
      </c>
      <c r="G1516" s="388" t="s">
        <v>9567</v>
      </c>
    </row>
    <row r="1517" spans="1:7" x14ac:dyDescent="0.3">
      <c r="A1517" s="54">
        <v>45744</v>
      </c>
      <c r="C1517" s="5" t="s">
        <v>11014</v>
      </c>
      <c r="D1517" s="65"/>
      <c r="E1517" s="65">
        <v>100000</v>
      </c>
      <c r="F1517" s="46">
        <f t="shared" si="33"/>
        <v>797768</v>
      </c>
      <c r="G1517" s="388" t="s">
        <v>9567</v>
      </c>
    </row>
    <row r="1518" spans="1:7" x14ac:dyDescent="0.3">
      <c r="A1518" s="54">
        <v>45744</v>
      </c>
      <c r="C1518" s="5" t="s">
        <v>13670</v>
      </c>
      <c r="D1518" s="28">
        <v>100000</v>
      </c>
      <c r="E1518" s="65"/>
      <c r="F1518" s="46">
        <f t="shared" si="33"/>
        <v>697768</v>
      </c>
      <c r="G1518" s="388" t="s">
        <v>9567</v>
      </c>
    </row>
    <row r="1519" spans="1:7" x14ac:dyDescent="0.3">
      <c r="A1519" s="54">
        <v>45745</v>
      </c>
      <c r="C1519" s="5" t="s">
        <v>294</v>
      </c>
      <c r="D1519" s="65"/>
      <c r="E1519" s="65">
        <v>3000</v>
      </c>
      <c r="F1519" s="46">
        <f t="shared" si="33"/>
        <v>700768</v>
      </c>
      <c r="G1519" s="388" t="s">
        <v>9567</v>
      </c>
    </row>
    <row r="1520" spans="1:7" x14ac:dyDescent="0.3">
      <c r="A1520" s="54">
        <v>45752</v>
      </c>
      <c r="C1520" s="44" t="s">
        <v>15841</v>
      </c>
      <c r="D1520" s="65">
        <v>50000</v>
      </c>
      <c r="E1520" s="65"/>
      <c r="F1520" s="46">
        <f t="shared" si="33"/>
        <v>650768</v>
      </c>
      <c r="G1520" s="388" t="s">
        <v>9567</v>
      </c>
    </row>
    <row r="1521" spans="1:7" x14ac:dyDescent="0.3">
      <c r="A1521" s="54">
        <v>45752</v>
      </c>
      <c r="C1521" s="44" t="s">
        <v>15842</v>
      </c>
      <c r="D1521" s="65">
        <v>5000</v>
      </c>
      <c r="E1521" s="65"/>
      <c r="F1521" s="46">
        <f t="shared" si="33"/>
        <v>645768</v>
      </c>
      <c r="G1521" s="388" t="s">
        <v>9567</v>
      </c>
    </row>
    <row r="1522" spans="1:7" x14ac:dyDescent="0.3">
      <c r="A1522" s="54">
        <v>45756</v>
      </c>
      <c r="C1522" s="5" t="s">
        <v>15855</v>
      </c>
      <c r="D1522" s="65">
        <v>7400</v>
      </c>
      <c r="E1522" s="65"/>
      <c r="F1522" s="46">
        <f t="shared" si="33"/>
        <v>638368</v>
      </c>
      <c r="G1522" s="388" t="s">
        <v>9567</v>
      </c>
    </row>
    <row r="1523" spans="1:7" x14ac:dyDescent="0.3">
      <c r="A1523" s="54">
        <v>45756</v>
      </c>
      <c r="C1523" s="5" t="s">
        <v>15856</v>
      </c>
      <c r="D1523" s="65">
        <v>9700</v>
      </c>
      <c r="E1523" s="65"/>
      <c r="F1523" s="46">
        <f t="shared" si="33"/>
        <v>628668</v>
      </c>
      <c r="G1523" s="388" t="s">
        <v>9567</v>
      </c>
    </row>
    <row r="1524" spans="1:7" x14ac:dyDescent="0.3">
      <c r="A1524" s="54">
        <v>45756</v>
      </c>
      <c r="C1524" s="5" t="s">
        <v>15857</v>
      </c>
      <c r="D1524" s="65">
        <v>3500</v>
      </c>
      <c r="E1524" s="65"/>
      <c r="F1524" s="46">
        <f t="shared" si="33"/>
        <v>625168</v>
      </c>
      <c r="G1524" s="388" t="s">
        <v>9567</v>
      </c>
    </row>
    <row r="1525" spans="1:7" x14ac:dyDescent="0.3">
      <c r="A1525" s="54">
        <v>45756</v>
      </c>
      <c r="C1525" s="5" t="s">
        <v>15858</v>
      </c>
      <c r="D1525" s="65">
        <v>18000</v>
      </c>
      <c r="E1525" s="65"/>
      <c r="F1525" s="46">
        <f t="shared" si="33"/>
        <v>607168</v>
      </c>
      <c r="G1525" s="388" t="s">
        <v>9567</v>
      </c>
    </row>
    <row r="1526" spans="1:7" x14ac:dyDescent="0.3">
      <c r="A1526" s="54">
        <v>45756</v>
      </c>
      <c r="C1526" s="5" t="s">
        <v>15859</v>
      </c>
      <c r="D1526" s="65">
        <v>9200</v>
      </c>
      <c r="E1526" s="65"/>
      <c r="F1526" s="46">
        <f t="shared" si="33"/>
        <v>597968</v>
      </c>
      <c r="G1526" s="388" t="s">
        <v>9567</v>
      </c>
    </row>
    <row r="1527" spans="1:7" x14ac:dyDescent="0.3">
      <c r="A1527" s="54">
        <v>45756</v>
      </c>
      <c r="C1527" s="5" t="s">
        <v>15860</v>
      </c>
      <c r="D1527" s="65">
        <v>7500</v>
      </c>
      <c r="E1527" s="65"/>
      <c r="F1527" s="46">
        <f t="shared" si="33"/>
        <v>590468</v>
      </c>
      <c r="G1527" s="388" t="s">
        <v>9567</v>
      </c>
    </row>
    <row r="1528" spans="1:7" x14ac:dyDescent="0.3">
      <c r="A1528" s="54">
        <v>45756</v>
      </c>
      <c r="C1528" s="5" t="s">
        <v>15862</v>
      </c>
      <c r="D1528" s="65">
        <v>12000</v>
      </c>
      <c r="E1528" s="65"/>
      <c r="F1528" s="46">
        <f t="shared" si="33"/>
        <v>578468</v>
      </c>
      <c r="G1528" s="388" t="s">
        <v>9567</v>
      </c>
    </row>
    <row r="1529" spans="1:7" x14ac:dyDescent="0.3">
      <c r="A1529" s="54">
        <v>45756</v>
      </c>
      <c r="C1529" s="5" t="s">
        <v>294</v>
      </c>
      <c r="D1529" s="65"/>
      <c r="E1529" s="65">
        <v>5000</v>
      </c>
      <c r="F1529" s="46">
        <f t="shared" si="33"/>
        <v>583468</v>
      </c>
      <c r="G1529" s="388" t="s">
        <v>9567</v>
      </c>
    </row>
    <row r="1530" spans="1:7" x14ac:dyDescent="0.3">
      <c r="A1530" s="54">
        <v>45757</v>
      </c>
      <c r="C1530" s="5" t="s">
        <v>15868</v>
      </c>
      <c r="D1530" s="65"/>
      <c r="E1530" s="65">
        <v>7963</v>
      </c>
      <c r="F1530" s="46">
        <f t="shared" si="33"/>
        <v>591431</v>
      </c>
      <c r="G1530" s="388" t="s">
        <v>9567</v>
      </c>
    </row>
    <row r="1531" spans="1:7" x14ac:dyDescent="0.3">
      <c r="A1531" s="54">
        <v>45757</v>
      </c>
      <c r="C1531" s="5" t="s">
        <v>294</v>
      </c>
      <c r="D1531" s="65"/>
      <c r="E1531" s="65">
        <v>5000</v>
      </c>
      <c r="F1531" s="46">
        <f t="shared" si="33"/>
        <v>596431</v>
      </c>
      <c r="G1531" s="388" t="s">
        <v>9567</v>
      </c>
    </row>
    <row r="1532" spans="1:7" x14ac:dyDescent="0.3">
      <c r="A1532" s="54">
        <v>45761</v>
      </c>
      <c r="C1532" s="5" t="s">
        <v>15902</v>
      </c>
      <c r="D1532" s="65">
        <v>3100</v>
      </c>
      <c r="E1532" s="65"/>
      <c r="F1532" s="46">
        <f t="shared" si="33"/>
        <v>593331</v>
      </c>
      <c r="G1532" s="388" t="s">
        <v>9567</v>
      </c>
    </row>
    <row r="1533" spans="1:7" x14ac:dyDescent="0.3">
      <c r="A1533" s="54">
        <v>45761</v>
      </c>
      <c r="C1533" s="5" t="s">
        <v>15903</v>
      </c>
      <c r="D1533" s="65">
        <v>2000</v>
      </c>
      <c r="E1533" s="65"/>
      <c r="F1533" s="46">
        <f t="shared" si="33"/>
        <v>591331</v>
      </c>
      <c r="G1533" s="388" t="s">
        <v>9567</v>
      </c>
    </row>
    <row r="1534" spans="1:7" x14ac:dyDescent="0.3">
      <c r="A1534" s="54">
        <v>45766</v>
      </c>
      <c r="C1534" s="5" t="s">
        <v>15372</v>
      </c>
      <c r="D1534" s="65"/>
      <c r="E1534" s="65">
        <v>5000</v>
      </c>
      <c r="F1534" s="46">
        <f t="shared" si="33"/>
        <v>596331</v>
      </c>
      <c r="G1534" s="388" t="s">
        <v>9567</v>
      </c>
    </row>
    <row r="1535" spans="1:7" x14ac:dyDescent="0.3">
      <c r="A1535" s="54">
        <v>45768</v>
      </c>
      <c r="C1535" s="5" t="s">
        <v>294</v>
      </c>
      <c r="D1535" s="65"/>
      <c r="E1535" s="65">
        <v>10000</v>
      </c>
      <c r="F1535" s="46">
        <f t="shared" si="33"/>
        <v>606331</v>
      </c>
      <c r="G1535" s="388" t="s">
        <v>9567</v>
      </c>
    </row>
    <row r="1536" spans="1:7" x14ac:dyDescent="0.3">
      <c r="A1536" s="54">
        <v>45768</v>
      </c>
      <c r="C1536" s="5" t="s">
        <v>15976</v>
      </c>
      <c r="D1536" s="65">
        <v>7000</v>
      </c>
      <c r="E1536" s="65"/>
      <c r="F1536" s="46">
        <f t="shared" si="33"/>
        <v>599331</v>
      </c>
      <c r="G1536" s="388" t="s">
        <v>9567</v>
      </c>
    </row>
    <row r="1537" spans="1:7" x14ac:dyDescent="0.3">
      <c r="A1537" s="54">
        <v>45773</v>
      </c>
      <c r="C1537" s="5" t="s">
        <v>294</v>
      </c>
      <c r="D1537" s="65"/>
      <c r="E1537" s="65">
        <v>25000</v>
      </c>
      <c r="F1537" s="46">
        <f t="shared" si="33"/>
        <v>624331</v>
      </c>
      <c r="G1537" s="388" t="s">
        <v>9567</v>
      </c>
    </row>
    <row r="1538" spans="1:7" x14ac:dyDescent="0.3">
      <c r="A1538" s="54">
        <v>45773</v>
      </c>
      <c r="C1538" s="5" t="s">
        <v>16008</v>
      </c>
      <c r="D1538" s="65">
        <v>5000</v>
      </c>
      <c r="E1538" s="65"/>
      <c r="F1538" s="46">
        <f t="shared" si="33"/>
        <v>619331</v>
      </c>
      <c r="G1538" s="388" t="s">
        <v>9567</v>
      </c>
    </row>
    <row r="1539" spans="1:7" x14ac:dyDescent="0.3">
      <c r="A1539" s="54">
        <v>45782</v>
      </c>
      <c r="C1539" s="5" t="s">
        <v>16065</v>
      </c>
      <c r="D1539" s="65">
        <v>1000</v>
      </c>
      <c r="E1539" s="65"/>
      <c r="F1539" s="46">
        <f t="shared" si="33"/>
        <v>618331</v>
      </c>
      <c r="G1539" s="388" t="s">
        <v>9567</v>
      </c>
    </row>
    <row r="1540" spans="1:7" x14ac:dyDescent="0.3">
      <c r="A1540" s="54">
        <v>45783</v>
      </c>
      <c r="C1540" s="5" t="s">
        <v>15868</v>
      </c>
      <c r="D1540" s="65"/>
      <c r="E1540" s="65">
        <v>9338</v>
      </c>
      <c r="F1540" s="46">
        <f t="shared" si="33"/>
        <v>627669</v>
      </c>
      <c r="G1540" s="388" t="s">
        <v>9567</v>
      </c>
    </row>
    <row r="1541" spans="1:7" x14ac:dyDescent="0.3">
      <c r="A1541" s="54">
        <v>45787</v>
      </c>
      <c r="C1541" s="5" t="s">
        <v>16144</v>
      </c>
      <c r="D1541" s="65"/>
      <c r="E1541" s="65">
        <v>200000</v>
      </c>
      <c r="F1541" s="46">
        <f t="shared" si="33"/>
        <v>827669</v>
      </c>
      <c r="G1541" s="388" t="s">
        <v>9567</v>
      </c>
    </row>
    <row r="1542" spans="1:7" x14ac:dyDescent="0.3">
      <c r="A1542" s="54">
        <v>45794</v>
      </c>
      <c r="C1542" s="5" t="s">
        <v>16238</v>
      </c>
      <c r="D1542" s="65">
        <v>10000</v>
      </c>
      <c r="E1542" s="65"/>
      <c r="F1542" s="46">
        <f t="shared" si="33"/>
        <v>817669</v>
      </c>
      <c r="G1542" s="388" t="s">
        <v>9567</v>
      </c>
    </row>
    <row r="1543" spans="1:7" x14ac:dyDescent="0.3">
      <c r="A1543" s="54">
        <v>45794</v>
      </c>
      <c r="C1543" s="5" t="s">
        <v>16239</v>
      </c>
      <c r="D1543" s="65">
        <v>100000</v>
      </c>
      <c r="E1543" s="65"/>
      <c r="F1543" s="46">
        <f t="shared" si="33"/>
        <v>717669</v>
      </c>
      <c r="G1543" s="388" t="s">
        <v>9567</v>
      </c>
    </row>
    <row r="1544" spans="1:7" x14ac:dyDescent="0.3">
      <c r="A1544" s="54">
        <v>45794</v>
      </c>
      <c r="C1544" s="5" t="s">
        <v>16240</v>
      </c>
      <c r="D1544" s="65">
        <v>3000</v>
      </c>
      <c r="E1544" s="65"/>
      <c r="F1544" s="46">
        <f t="shared" si="33"/>
        <v>714669</v>
      </c>
      <c r="G1544" s="388" t="s">
        <v>9567</v>
      </c>
    </row>
    <row r="1545" spans="1:7" x14ac:dyDescent="0.3">
      <c r="A1545" s="54">
        <v>45794</v>
      </c>
      <c r="C1545" s="5" t="s">
        <v>16241</v>
      </c>
      <c r="D1545" s="65">
        <v>2000</v>
      </c>
      <c r="E1545" s="65"/>
      <c r="F1545" s="46">
        <f t="shared" si="33"/>
        <v>712669</v>
      </c>
      <c r="G1545" s="388" t="s">
        <v>9567</v>
      </c>
    </row>
    <row r="1546" spans="1:7" x14ac:dyDescent="0.3">
      <c r="A1546" s="54">
        <v>45797</v>
      </c>
      <c r="C1546" s="5" t="s">
        <v>582</v>
      </c>
      <c r="D1546" s="65"/>
      <c r="E1546" s="65">
        <v>50000</v>
      </c>
      <c r="F1546" s="46">
        <f t="shared" si="33"/>
        <v>762669</v>
      </c>
      <c r="G1546" s="388" t="s">
        <v>9567</v>
      </c>
    </row>
    <row r="1547" spans="1:7" x14ac:dyDescent="0.3">
      <c r="A1547" s="54">
        <v>45798</v>
      </c>
      <c r="C1547" s="5" t="s">
        <v>16291</v>
      </c>
      <c r="D1547" s="65">
        <v>10000</v>
      </c>
      <c r="E1547" s="65"/>
      <c r="F1547" s="46">
        <f t="shared" si="33"/>
        <v>752669</v>
      </c>
      <c r="G1547" s="388" t="s">
        <v>9567</v>
      </c>
    </row>
    <row r="1548" spans="1:7" x14ac:dyDescent="0.3">
      <c r="A1548" s="54">
        <v>45798</v>
      </c>
      <c r="C1548" s="5" t="s">
        <v>16292</v>
      </c>
      <c r="D1548" s="65">
        <v>10000</v>
      </c>
      <c r="E1548" s="65"/>
      <c r="F1548" s="46">
        <f t="shared" si="33"/>
        <v>742669</v>
      </c>
      <c r="G1548" s="388" t="s">
        <v>9567</v>
      </c>
    </row>
    <row r="1549" spans="1:7" x14ac:dyDescent="0.3">
      <c r="A1549" s="54">
        <v>45798</v>
      </c>
      <c r="C1549" s="5" t="s">
        <v>16293</v>
      </c>
      <c r="D1549" s="65">
        <v>7000</v>
      </c>
      <c r="E1549" s="65"/>
      <c r="F1549" s="46">
        <f t="shared" si="33"/>
        <v>735669</v>
      </c>
      <c r="G1549" s="388" t="s">
        <v>9567</v>
      </c>
    </row>
    <row r="1550" spans="1:7" x14ac:dyDescent="0.3">
      <c r="A1550" s="54">
        <v>45798</v>
      </c>
      <c r="C1550" s="5" t="s">
        <v>16294</v>
      </c>
      <c r="D1550" s="65">
        <v>5000</v>
      </c>
      <c r="E1550" s="65"/>
      <c r="F1550" s="46">
        <f t="shared" si="33"/>
        <v>730669</v>
      </c>
      <c r="G1550" s="388" t="s">
        <v>9567</v>
      </c>
    </row>
    <row r="1551" spans="1:7" x14ac:dyDescent="0.3">
      <c r="A1551" s="54">
        <v>45798</v>
      </c>
      <c r="C1551" s="5" t="s">
        <v>16295</v>
      </c>
      <c r="D1551" s="65">
        <v>6100</v>
      </c>
      <c r="E1551" s="65"/>
      <c r="F1551" s="46">
        <f t="shared" si="33"/>
        <v>724569</v>
      </c>
      <c r="G1551" s="388" t="s">
        <v>9567</v>
      </c>
    </row>
    <row r="1552" spans="1:7" x14ac:dyDescent="0.3">
      <c r="A1552" s="54">
        <v>45800</v>
      </c>
      <c r="C1552" s="5" t="s">
        <v>582</v>
      </c>
      <c r="D1552" s="65"/>
      <c r="E1552" s="28">
        <f>58000-15000-40000+5000</f>
        <v>8000</v>
      </c>
      <c r="F1552" s="46">
        <f t="shared" si="33"/>
        <v>732569</v>
      </c>
      <c r="G1552" s="388" t="s">
        <v>9567</v>
      </c>
    </row>
    <row r="1553" spans="1:7" x14ac:dyDescent="0.3">
      <c r="A1553" s="54">
        <v>45800</v>
      </c>
      <c r="C1553" s="5" t="s">
        <v>16314</v>
      </c>
      <c r="D1553" s="911">
        <v>5000</v>
      </c>
      <c r="E1553" s="65"/>
      <c r="F1553" s="46">
        <f t="shared" si="33"/>
        <v>727569</v>
      </c>
      <c r="G1553" s="388" t="s">
        <v>9567</v>
      </c>
    </row>
    <row r="1554" spans="1:7" x14ac:dyDescent="0.3">
      <c r="A1554" s="54">
        <v>45800</v>
      </c>
      <c r="C1554" s="5" t="s">
        <v>12423</v>
      </c>
      <c r="D1554" s="911">
        <v>5000</v>
      </c>
      <c r="E1554" s="65"/>
      <c r="F1554" s="46">
        <f t="shared" ref="F1554:F1617" si="34">F1553+E1554-D1554</f>
        <v>722569</v>
      </c>
      <c r="G1554" s="388" t="s">
        <v>9566</v>
      </c>
    </row>
    <row r="1555" spans="1:7" x14ac:dyDescent="0.3">
      <c r="A1555" s="54">
        <v>45800</v>
      </c>
      <c r="C1555" s="5" t="s">
        <v>14341</v>
      </c>
      <c r="D1555" s="911">
        <v>2000</v>
      </c>
      <c r="E1555" s="65"/>
      <c r="F1555" s="46">
        <f t="shared" si="34"/>
        <v>720569</v>
      </c>
      <c r="G1555" s="388" t="s">
        <v>9566</v>
      </c>
    </row>
    <row r="1556" spans="1:7" x14ac:dyDescent="0.3">
      <c r="A1556" s="54">
        <v>45800</v>
      </c>
      <c r="C1556" s="5" t="s">
        <v>15220</v>
      </c>
      <c r="D1556" s="911">
        <v>2500</v>
      </c>
      <c r="E1556" s="65"/>
      <c r="F1556" s="46">
        <f t="shared" si="34"/>
        <v>718069</v>
      </c>
      <c r="G1556" s="388" t="s">
        <v>9567</v>
      </c>
    </row>
    <row r="1557" spans="1:7" x14ac:dyDescent="0.3">
      <c r="A1557" s="54">
        <v>45800</v>
      </c>
      <c r="C1557" s="5" t="s">
        <v>16315</v>
      </c>
      <c r="D1557" s="911">
        <v>2500</v>
      </c>
      <c r="E1557" s="65"/>
      <c r="F1557" s="46">
        <f t="shared" si="34"/>
        <v>715569</v>
      </c>
      <c r="G1557" s="388" t="s">
        <v>9567</v>
      </c>
    </row>
    <row r="1558" spans="1:7" x14ac:dyDescent="0.3">
      <c r="A1558" s="54">
        <v>45800</v>
      </c>
      <c r="C1558" s="5" t="s">
        <v>16316</v>
      </c>
      <c r="D1558" s="911">
        <v>1000</v>
      </c>
      <c r="E1558" s="65"/>
      <c r="F1558" s="46">
        <f t="shared" si="34"/>
        <v>714569</v>
      </c>
      <c r="G1558" s="388" t="s">
        <v>9567</v>
      </c>
    </row>
    <row r="1559" spans="1:7" x14ac:dyDescent="0.3">
      <c r="A1559" s="54">
        <v>45800</v>
      </c>
      <c r="C1559" s="5" t="s">
        <v>16317</v>
      </c>
      <c r="D1559" s="911">
        <v>2000</v>
      </c>
      <c r="E1559" s="65"/>
      <c r="F1559" s="46">
        <f t="shared" si="34"/>
        <v>712569</v>
      </c>
      <c r="G1559" s="388" t="s">
        <v>9567</v>
      </c>
    </row>
    <row r="1560" spans="1:7" x14ac:dyDescent="0.3">
      <c r="A1560" s="54">
        <v>45800</v>
      </c>
      <c r="C1560" s="5" t="s">
        <v>16318</v>
      </c>
      <c r="D1560" s="911">
        <v>80000</v>
      </c>
      <c r="E1560" s="65"/>
      <c r="F1560" s="46">
        <f t="shared" si="34"/>
        <v>632569</v>
      </c>
      <c r="G1560" s="388" t="s">
        <v>9567</v>
      </c>
    </row>
    <row r="1561" spans="1:7" x14ac:dyDescent="0.3">
      <c r="A1561" s="54">
        <v>45800</v>
      </c>
      <c r="C1561" s="5" t="s">
        <v>16315</v>
      </c>
      <c r="D1561" s="911">
        <v>5000</v>
      </c>
      <c r="E1561" s="65"/>
      <c r="F1561" s="46">
        <f t="shared" si="34"/>
        <v>627569</v>
      </c>
      <c r="G1561" s="388" t="s">
        <v>9567</v>
      </c>
    </row>
    <row r="1562" spans="1:7" x14ac:dyDescent="0.3">
      <c r="A1562" s="54">
        <v>45800</v>
      </c>
      <c r="C1562" s="5" t="s">
        <v>16319</v>
      </c>
      <c r="D1562" s="911">
        <v>500</v>
      </c>
      <c r="E1562" s="65"/>
      <c r="F1562" s="46">
        <f t="shared" si="34"/>
        <v>627069</v>
      </c>
      <c r="G1562" s="388" t="s">
        <v>9567</v>
      </c>
    </row>
    <row r="1563" spans="1:7" x14ac:dyDescent="0.3">
      <c r="A1563" s="54">
        <v>45800</v>
      </c>
      <c r="C1563" s="5" t="s">
        <v>16320</v>
      </c>
      <c r="D1563" s="911">
        <v>2000</v>
      </c>
      <c r="E1563" s="65"/>
      <c r="F1563" s="46">
        <f t="shared" si="34"/>
        <v>625069</v>
      </c>
      <c r="G1563" s="388" t="s">
        <v>9567</v>
      </c>
    </row>
    <row r="1564" spans="1:7" x14ac:dyDescent="0.3">
      <c r="A1564" s="54">
        <v>45800</v>
      </c>
      <c r="C1564" s="5" t="s">
        <v>16321</v>
      </c>
      <c r="D1564" s="911">
        <v>5000</v>
      </c>
      <c r="E1564" s="65"/>
      <c r="F1564" s="46">
        <f t="shared" si="34"/>
        <v>620069</v>
      </c>
      <c r="G1564" s="388" t="s">
        <v>9567</v>
      </c>
    </row>
    <row r="1565" spans="1:7" x14ac:dyDescent="0.3">
      <c r="A1565" s="54">
        <v>45804</v>
      </c>
      <c r="C1565" s="5" t="s">
        <v>16332</v>
      </c>
      <c r="D1565" s="911">
        <v>5000</v>
      </c>
      <c r="E1565" s="65"/>
      <c r="F1565" s="46">
        <f t="shared" si="34"/>
        <v>615069</v>
      </c>
      <c r="G1565" s="388" t="s">
        <v>9566</v>
      </c>
    </row>
    <row r="1566" spans="1:7" x14ac:dyDescent="0.3">
      <c r="A1566" s="54"/>
      <c r="C1566" s="5"/>
      <c r="D1566" s="65"/>
      <c r="E1566" s="65"/>
      <c r="F1566" s="46">
        <f t="shared" si="34"/>
        <v>615069</v>
      </c>
      <c r="G1566" s="388" t="s">
        <v>9566</v>
      </c>
    </row>
    <row r="1567" spans="1:7" x14ac:dyDescent="0.3">
      <c r="A1567" s="54"/>
      <c r="C1567" s="5"/>
      <c r="D1567" s="65"/>
      <c r="E1567" s="65"/>
      <c r="F1567" s="46">
        <f t="shared" si="34"/>
        <v>615069</v>
      </c>
      <c r="G1567" s="388" t="s">
        <v>9566</v>
      </c>
    </row>
    <row r="1568" spans="1:7" x14ac:dyDescent="0.3">
      <c r="A1568" s="54"/>
      <c r="C1568" s="5"/>
      <c r="D1568" s="65"/>
      <c r="E1568" s="65"/>
      <c r="F1568" s="46">
        <f t="shared" si="34"/>
        <v>615069</v>
      </c>
      <c r="G1568" s="388" t="s">
        <v>9566</v>
      </c>
    </row>
    <row r="1569" spans="1:7" x14ac:dyDescent="0.3">
      <c r="A1569" s="54"/>
      <c r="C1569" s="5"/>
      <c r="D1569" s="65"/>
      <c r="E1569" s="65"/>
      <c r="F1569" s="46">
        <f t="shared" si="34"/>
        <v>615069</v>
      </c>
      <c r="G1569" s="388" t="s">
        <v>9566</v>
      </c>
    </row>
    <row r="1570" spans="1:7" x14ac:dyDescent="0.3">
      <c r="A1570" s="54"/>
      <c r="C1570" s="5"/>
      <c r="D1570" s="65"/>
      <c r="E1570" s="65"/>
      <c r="F1570" s="46">
        <f t="shared" si="34"/>
        <v>615069</v>
      </c>
      <c r="G1570" s="388" t="s">
        <v>9566</v>
      </c>
    </row>
    <row r="1571" spans="1:7" x14ac:dyDescent="0.3">
      <c r="A1571" s="54"/>
      <c r="C1571" s="5"/>
      <c r="D1571" s="65"/>
      <c r="E1571" s="65"/>
      <c r="F1571" s="46">
        <f t="shared" si="34"/>
        <v>615069</v>
      </c>
      <c r="G1571" s="388" t="s">
        <v>9566</v>
      </c>
    </row>
    <row r="1572" spans="1:7" x14ac:dyDescent="0.3">
      <c r="A1572" s="54"/>
      <c r="C1572" s="5"/>
      <c r="D1572" s="65"/>
      <c r="E1572" s="65"/>
      <c r="F1572" s="46">
        <f t="shared" si="34"/>
        <v>615069</v>
      </c>
      <c r="G1572" s="388" t="s">
        <v>9566</v>
      </c>
    </row>
    <row r="1573" spans="1:7" x14ac:dyDescent="0.3">
      <c r="A1573" s="54"/>
      <c r="C1573" s="5"/>
      <c r="D1573" s="65"/>
      <c r="E1573" s="65"/>
      <c r="F1573" s="46">
        <f t="shared" si="34"/>
        <v>615069</v>
      </c>
      <c r="G1573" s="388" t="s">
        <v>9566</v>
      </c>
    </row>
    <row r="1574" spans="1:7" x14ac:dyDescent="0.3">
      <c r="A1574" s="54"/>
      <c r="C1574" s="5"/>
      <c r="D1574" s="65"/>
      <c r="E1574" s="65"/>
      <c r="F1574" s="46">
        <f t="shared" si="34"/>
        <v>615069</v>
      </c>
      <c r="G1574" s="388" t="s">
        <v>9566</v>
      </c>
    </row>
    <row r="1575" spans="1:7" x14ac:dyDescent="0.3">
      <c r="A1575" s="54"/>
      <c r="C1575" s="5"/>
      <c r="D1575" s="65"/>
      <c r="E1575" s="65"/>
      <c r="F1575" s="46">
        <f t="shared" si="34"/>
        <v>615069</v>
      </c>
      <c r="G1575" s="388" t="s">
        <v>9566</v>
      </c>
    </row>
    <row r="1576" spans="1:7" x14ac:dyDescent="0.3">
      <c r="A1576" s="54"/>
      <c r="C1576" s="5"/>
      <c r="D1576" s="65"/>
      <c r="E1576" s="65"/>
      <c r="F1576" s="46">
        <f t="shared" si="34"/>
        <v>615069</v>
      </c>
      <c r="G1576" s="388" t="s">
        <v>9566</v>
      </c>
    </row>
    <row r="1577" spans="1:7" x14ac:dyDescent="0.3">
      <c r="A1577" s="54"/>
      <c r="C1577" s="5"/>
      <c r="D1577" s="65"/>
      <c r="E1577" s="65"/>
      <c r="F1577" s="46">
        <f t="shared" si="34"/>
        <v>615069</v>
      </c>
      <c r="G1577" s="388" t="s">
        <v>9566</v>
      </c>
    </row>
    <row r="1578" spans="1:7" x14ac:dyDescent="0.3">
      <c r="A1578" s="54"/>
      <c r="C1578" s="5"/>
      <c r="D1578" s="65"/>
      <c r="E1578" s="65"/>
      <c r="F1578" s="46">
        <f t="shared" si="34"/>
        <v>615069</v>
      </c>
      <c r="G1578" s="388" t="s">
        <v>9566</v>
      </c>
    </row>
    <row r="1579" spans="1:7" x14ac:dyDescent="0.3">
      <c r="A1579" s="54"/>
      <c r="C1579" s="5"/>
      <c r="D1579" s="65"/>
      <c r="E1579" s="65"/>
      <c r="F1579" s="46">
        <f t="shared" si="34"/>
        <v>615069</v>
      </c>
      <c r="G1579" s="388" t="s">
        <v>9566</v>
      </c>
    </row>
    <row r="1580" spans="1:7" x14ac:dyDescent="0.3">
      <c r="A1580" s="54"/>
      <c r="C1580" s="5"/>
      <c r="D1580" s="65"/>
      <c r="E1580" s="65"/>
      <c r="F1580" s="46">
        <f t="shared" si="34"/>
        <v>615069</v>
      </c>
      <c r="G1580" s="388" t="s">
        <v>9566</v>
      </c>
    </row>
    <row r="1581" spans="1:7" x14ac:dyDescent="0.3">
      <c r="A1581" s="54"/>
      <c r="C1581" s="5"/>
      <c r="D1581" s="65"/>
      <c r="E1581" s="65"/>
      <c r="F1581" s="46">
        <f t="shared" si="34"/>
        <v>615069</v>
      </c>
      <c r="G1581" s="388" t="s">
        <v>9566</v>
      </c>
    </row>
    <row r="1582" spans="1:7" x14ac:dyDescent="0.3">
      <c r="A1582" s="54"/>
      <c r="C1582" s="5"/>
      <c r="D1582" s="65"/>
      <c r="E1582" s="65"/>
      <c r="F1582" s="46">
        <f t="shared" si="34"/>
        <v>615069</v>
      </c>
      <c r="G1582" s="388" t="s">
        <v>9566</v>
      </c>
    </row>
    <row r="1583" spans="1:7" x14ac:dyDescent="0.3">
      <c r="A1583" s="54"/>
      <c r="C1583" s="5"/>
      <c r="D1583" s="65"/>
      <c r="E1583" s="65"/>
      <c r="F1583" s="46">
        <f t="shared" si="34"/>
        <v>615069</v>
      </c>
      <c r="G1583" s="388" t="s">
        <v>9566</v>
      </c>
    </row>
    <row r="1584" spans="1:7" x14ac:dyDescent="0.3">
      <c r="A1584" s="54"/>
      <c r="C1584" s="5"/>
      <c r="D1584" s="65"/>
      <c r="E1584" s="65"/>
      <c r="F1584" s="46">
        <f t="shared" si="34"/>
        <v>615069</v>
      </c>
      <c r="G1584" s="388" t="s">
        <v>9566</v>
      </c>
    </row>
    <row r="1585" spans="1:7" x14ac:dyDescent="0.3">
      <c r="A1585" s="54"/>
      <c r="C1585" s="5"/>
      <c r="D1585" s="65"/>
      <c r="E1585" s="65"/>
      <c r="F1585" s="46">
        <f t="shared" si="34"/>
        <v>615069</v>
      </c>
      <c r="G1585" s="388" t="s">
        <v>9566</v>
      </c>
    </row>
    <row r="1586" spans="1:7" x14ac:dyDescent="0.3">
      <c r="A1586" s="54"/>
      <c r="C1586" s="5"/>
      <c r="D1586" s="65"/>
      <c r="E1586" s="65"/>
      <c r="F1586" s="46">
        <f t="shared" si="34"/>
        <v>615069</v>
      </c>
      <c r="G1586" s="388" t="s">
        <v>9566</v>
      </c>
    </row>
    <row r="1587" spans="1:7" x14ac:dyDescent="0.3">
      <c r="A1587" s="54"/>
      <c r="C1587" s="5"/>
      <c r="D1587" s="65"/>
      <c r="E1587" s="65"/>
      <c r="F1587" s="46">
        <f t="shared" si="34"/>
        <v>615069</v>
      </c>
      <c r="G1587" s="388" t="s">
        <v>9566</v>
      </c>
    </row>
    <row r="1588" spans="1:7" x14ac:dyDescent="0.3">
      <c r="A1588" s="54"/>
      <c r="C1588" s="5"/>
      <c r="D1588" s="65"/>
      <c r="E1588" s="65"/>
      <c r="F1588" s="46">
        <f t="shared" si="34"/>
        <v>615069</v>
      </c>
      <c r="G1588" s="388" t="s">
        <v>9566</v>
      </c>
    </row>
    <row r="1589" spans="1:7" x14ac:dyDescent="0.3">
      <c r="A1589" s="54"/>
      <c r="C1589" s="5"/>
      <c r="D1589" s="65"/>
      <c r="E1589" s="65"/>
      <c r="F1589" s="46">
        <f t="shared" si="34"/>
        <v>615069</v>
      </c>
      <c r="G1589" s="388" t="s">
        <v>9566</v>
      </c>
    </row>
    <row r="1590" spans="1:7" x14ac:dyDescent="0.3">
      <c r="A1590" s="54"/>
      <c r="C1590" s="5"/>
      <c r="D1590" s="65"/>
      <c r="E1590" s="65"/>
      <c r="F1590" s="46">
        <f t="shared" si="34"/>
        <v>615069</v>
      </c>
      <c r="G1590" s="388" t="s">
        <v>9566</v>
      </c>
    </row>
    <row r="1591" spans="1:7" x14ac:dyDescent="0.3">
      <c r="A1591" s="54"/>
      <c r="C1591" s="5"/>
      <c r="D1591" s="65"/>
      <c r="E1591" s="65"/>
      <c r="F1591" s="46">
        <f t="shared" si="34"/>
        <v>615069</v>
      </c>
      <c r="G1591" s="388" t="s">
        <v>9566</v>
      </c>
    </row>
    <row r="1592" spans="1:7" x14ac:dyDescent="0.3">
      <c r="A1592" s="54"/>
      <c r="C1592" s="5"/>
      <c r="D1592" s="65"/>
      <c r="E1592" s="65"/>
      <c r="F1592" s="46">
        <f t="shared" si="34"/>
        <v>615069</v>
      </c>
      <c r="G1592" s="388" t="s">
        <v>9566</v>
      </c>
    </row>
    <row r="1593" spans="1:7" x14ac:dyDescent="0.3">
      <c r="A1593" s="54"/>
      <c r="C1593" s="5"/>
      <c r="D1593" s="65"/>
      <c r="E1593" s="65"/>
      <c r="F1593" s="46">
        <f t="shared" si="34"/>
        <v>615069</v>
      </c>
      <c r="G1593" s="388" t="s">
        <v>9566</v>
      </c>
    </row>
    <row r="1594" spans="1:7" x14ac:dyDescent="0.3">
      <c r="A1594" s="54"/>
      <c r="C1594" s="5"/>
      <c r="D1594" s="65"/>
      <c r="E1594" s="65"/>
      <c r="F1594" s="46">
        <f t="shared" si="34"/>
        <v>615069</v>
      </c>
      <c r="G1594" s="388" t="s">
        <v>9566</v>
      </c>
    </row>
    <row r="1595" spans="1:7" x14ac:dyDescent="0.3">
      <c r="A1595" s="54"/>
      <c r="C1595" s="5"/>
      <c r="D1595" s="65"/>
      <c r="E1595" s="65"/>
      <c r="F1595" s="46">
        <f t="shared" si="34"/>
        <v>615069</v>
      </c>
      <c r="G1595" s="388" t="s">
        <v>9566</v>
      </c>
    </row>
    <row r="1596" spans="1:7" x14ac:dyDescent="0.3">
      <c r="A1596" s="54"/>
      <c r="C1596" s="5"/>
      <c r="D1596" s="65"/>
      <c r="E1596" s="65"/>
      <c r="F1596" s="46">
        <f t="shared" si="34"/>
        <v>615069</v>
      </c>
      <c r="G1596" s="388" t="s">
        <v>9566</v>
      </c>
    </row>
    <row r="1597" spans="1:7" x14ac:dyDescent="0.3">
      <c r="A1597" s="54"/>
      <c r="C1597" s="5"/>
      <c r="D1597" s="65"/>
      <c r="E1597" s="65"/>
      <c r="F1597" s="46">
        <f t="shared" si="34"/>
        <v>615069</v>
      </c>
      <c r="G1597" s="388" t="s">
        <v>9566</v>
      </c>
    </row>
    <row r="1598" spans="1:7" x14ac:dyDescent="0.3">
      <c r="A1598" s="54"/>
      <c r="C1598" s="5"/>
      <c r="D1598" s="65"/>
      <c r="E1598" s="65"/>
      <c r="F1598" s="46">
        <f t="shared" si="34"/>
        <v>615069</v>
      </c>
      <c r="G1598" s="388" t="s">
        <v>9566</v>
      </c>
    </row>
    <row r="1599" spans="1:7" x14ac:dyDescent="0.3">
      <c r="A1599" s="54"/>
      <c r="C1599" s="5"/>
      <c r="D1599" s="65"/>
      <c r="E1599" s="65"/>
      <c r="F1599" s="46">
        <f t="shared" si="34"/>
        <v>615069</v>
      </c>
      <c r="G1599" s="388" t="s">
        <v>9566</v>
      </c>
    </row>
    <row r="1600" spans="1:7" x14ac:dyDescent="0.3">
      <c r="A1600" s="54"/>
      <c r="C1600" s="5"/>
      <c r="D1600" s="65"/>
      <c r="E1600" s="65"/>
      <c r="F1600" s="46">
        <f t="shared" si="34"/>
        <v>615069</v>
      </c>
      <c r="G1600" s="388" t="s">
        <v>9566</v>
      </c>
    </row>
    <row r="1601" spans="1:7" x14ac:dyDescent="0.3">
      <c r="A1601" s="54"/>
      <c r="C1601" s="5"/>
      <c r="D1601" s="65"/>
      <c r="E1601" s="65"/>
      <c r="F1601" s="46">
        <f t="shared" si="34"/>
        <v>615069</v>
      </c>
      <c r="G1601" s="388" t="s">
        <v>9566</v>
      </c>
    </row>
    <row r="1602" spans="1:7" x14ac:dyDescent="0.3">
      <c r="A1602" s="54"/>
      <c r="C1602" s="5"/>
      <c r="D1602" s="65"/>
      <c r="E1602" s="65"/>
      <c r="F1602" s="46">
        <f t="shared" si="34"/>
        <v>615069</v>
      </c>
      <c r="G1602" s="388" t="s">
        <v>9566</v>
      </c>
    </row>
    <row r="1603" spans="1:7" x14ac:dyDescent="0.3">
      <c r="A1603" s="54"/>
      <c r="C1603" s="5"/>
      <c r="D1603" s="65"/>
      <c r="E1603" s="65"/>
      <c r="F1603" s="46">
        <f t="shared" si="34"/>
        <v>615069</v>
      </c>
      <c r="G1603" s="388" t="s">
        <v>9566</v>
      </c>
    </row>
    <row r="1604" spans="1:7" x14ac:dyDescent="0.3">
      <c r="A1604" s="54"/>
      <c r="C1604" s="5"/>
      <c r="D1604" s="65"/>
      <c r="E1604" s="65"/>
      <c r="F1604" s="46">
        <f t="shared" si="34"/>
        <v>615069</v>
      </c>
      <c r="G1604" s="388" t="s">
        <v>9566</v>
      </c>
    </row>
    <row r="1605" spans="1:7" x14ac:dyDescent="0.3">
      <c r="A1605" s="54"/>
      <c r="C1605" s="5"/>
      <c r="D1605" s="65"/>
      <c r="E1605" s="65"/>
      <c r="F1605" s="46">
        <f t="shared" si="34"/>
        <v>615069</v>
      </c>
      <c r="G1605" s="388" t="s">
        <v>9566</v>
      </c>
    </row>
    <row r="1606" spans="1:7" x14ac:dyDescent="0.3">
      <c r="A1606" s="54"/>
      <c r="C1606" s="5"/>
      <c r="D1606" s="65"/>
      <c r="E1606" s="65"/>
      <c r="F1606" s="46">
        <f t="shared" si="34"/>
        <v>615069</v>
      </c>
      <c r="G1606" s="388" t="s">
        <v>9566</v>
      </c>
    </row>
    <row r="1607" spans="1:7" x14ac:dyDescent="0.3">
      <c r="A1607" s="54"/>
      <c r="C1607" s="5"/>
      <c r="D1607" s="65"/>
      <c r="E1607" s="65"/>
      <c r="F1607" s="46">
        <f t="shared" si="34"/>
        <v>615069</v>
      </c>
      <c r="G1607" s="388" t="s">
        <v>9566</v>
      </c>
    </row>
    <row r="1608" spans="1:7" x14ac:dyDescent="0.3">
      <c r="A1608" s="54"/>
      <c r="C1608" s="5"/>
      <c r="D1608" s="65"/>
      <c r="E1608" s="65"/>
      <c r="F1608" s="46">
        <f t="shared" si="34"/>
        <v>615069</v>
      </c>
      <c r="G1608" s="388" t="s">
        <v>9566</v>
      </c>
    </row>
    <row r="1609" spans="1:7" x14ac:dyDescent="0.3">
      <c r="A1609" s="54"/>
      <c r="C1609" s="5"/>
      <c r="D1609" s="65"/>
      <c r="E1609" s="65"/>
      <c r="F1609" s="46">
        <f t="shared" si="34"/>
        <v>615069</v>
      </c>
      <c r="G1609" s="388" t="s">
        <v>9566</v>
      </c>
    </row>
    <row r="1610" spans="1:7" x14ac:dyDescent="0.3">
      <c r="A1610" s="54"/>
      <c r="C1610" s="5"/>
      <c r="D1610" s="65"/>
      <c r="E1610" s="65"/>
      <c r="F1610" s="46">
        <f t="shared" si="34"/>
        <v>615069</v>
      </c>
      <c r="G1610" s="388" t="s">
        <v>9566</v>
      </c>
    </row>
    <row r="1611" spans="1:7" x14ac:dyDescent="0.3">
      <c r="A1611" s="54"/>
      <c r="C1611" s="5"/>
      <c r="D1611" s="65"/>
      <c r="E1611" s="65"/>
      <c r="F1611" s="46">
        <f t="shared" si="34"/>
        <v>615069</v>
      </c>
      <c r="G1611" s="388" t="s">
        <v>9566</v>
      </c>
    </row>
    <row r="1612" spans="1:7" x14ac:dyDescent="0.3">
      <c r="A1612" s="54"/>
      <c r="C1612" s="5"/>
      <c r="D1612" s="65"/>
      <c r="E1612" s="65"/>
      <c r="F1612" s="46">
        <f t="shared" si="34"/>
        <v>615069</v>
      </c>
      <c r="G1612" s="388" t="s">
        <v>9566</v>
      </c>
    </row>
    <row r="1613" spans="1:7" x14ac:dyDescent="0.3">
      <c r="A1613" s="54"/>
      <c r="C1613" s="5"/>
      <c r="D1613" s="65"/>
      <c r="E1613" s="65"/>
      <c r="F1613" s="46">
        <f t="shared" si="34"/>
        <v>615069</v>
      </c>
      <c r="G1613" s="388" t="s">
        <v>9566</v>
      </c>
    </row>
    <row r="1614" spans="1:7" x14ac:dyDescent="0.3">
      <c r="A1614" s="54"/>
      <c r="C1614" s="5"/>
      <c r="D1614" s="65"/>
      <c r="E1614" s="65"/>
      <c r="F1614" s="46">
        <f t="shared" si="34"/>
        <v>615069</v>
      </c>
      <c r="G1614" s="388" t="s">
        <v>9566</v>
      </c>
    </row>
    <row r="1615" spans="1:7" x14ac:dyDescent="0.3">
      <c r="A1615" s="54"/>
      <c r="C1615" s="5"/>
      <c r="D1615" s="65"/>
      <c r="E1615" s="65"/>
      <c r="F1615" s="46">
        <f t="shared" si="34"/>
        <v>615069</v>
      </c>
      <c r="G1615" s="388" t="s">
        <v>9566</v>
      </c>
    </row>
    <row r="1616" spans="1:7" x14ac:dyDescent="0.3">
      <c r="A1616" s="54"/>
      <c r="C1616" s="5"/>
      <c r="D1616" s="65"/>
      <c r="E1616" s="65"/>
      <c r="F1616" s="46">
        <f t="shared" si="34"/>
        <v>615069</v>
      </c>
      <c r="G1616" s="388" t="s">
        <v>9566</v>
      </c>
    </row>
    <row r="1617" spans="1:7" x14ac:dyDescent="0.3">
      <c r="A1617" s="54"/>
      <c r="C1617" s="5"/>
      <c r="D1617" s="65"/>
      <c r="E1617" s="65"/>
      <c r="F1617" s="46">
        <f t="shared" si="34"/>
        <v>615069</v>
      </c>
      <c r="G1617" s="388" t="s">
        <v>9566</v>
      </c>
    </row>
    <row r="1618" spans="1:7" x14ac:dyDescent="0.3">
      <c r="A1618" s="54"/>
      <c r="C1618" s="5"/>
      <c r="D1618" s="65"/>
      <c r="E1618" s="65"/>
      <c r="F1618" s="46">
        <f t="shared" ref="F1618:F1681" si="35">F1617+E1618-D1618</f>
        <v>615069</v>
      </c>
      <c r="G1618" s="388" t="s">
        <v>9566</v>
      </c>
    </row>
    <row r="1619" spans="1:7" x14ac:dyDescent="0.3">
      <c r="A1619" s="54"/>
      <c r="C1619" s="5"/>
      <c r="D1619" s="65"/>
      <c r="E1619" s="65"/>
      <c r="F1619" s="46">
        <f t="shared" si="35"/>
        <v>615069</v>
      </c>
      <c r="G1619" s="388" t="s">
        <v>9566</v>
      </c>
    </row>
    <row r="1620" spans="1:7" x14ac:dyDescent="0.3">
      <c r="A1620" s="54"/>
      <c r="C1620" s="5"/>
      <c r="D1620" s="65"/>
      <c r="E1620" s="65"/>
      <c r="F1620" s="46">
        <f t="shared" si="35"/>
        <v>615069</v>
      </c>
      <c r="G1620" s="388" t="s">
        <v>9566</v>
      </c>
    </row>
    <row r="1621" spans="1:7" x14ac:dyDescent="0.3">
      <c r="A1621" s="54"/>
      <c r="C1621" s="5"/>
      <c r="D1621" s="65"/>
      <c r="E1621" s="65"/>
      <c r="F1621" s="46">
        <f t="shared" si="35"/>
        <v>615069</v>
      </c>
      <c r="G1621" s="388" t="s">
        <v>9566</v>
      </c>
    </row>
    <row r="1622" spans="1:7" x14ac:dyDescent="0.3">
      <c r="A1622" s="54"/>
      <c r="C1622" s="5"/>
      <c r="D1622" s="65"/>
      <c r="E1622" s="65"/>
      <c r="F1622" s="46">
        <f t="shared" si="35"/>
        <v>615069</v>
      </c>
      <c r="G1622" s="388" t="s">
        <v>9566</v>
      </c>
    </row>
    <row r="1623" spans="1:7" x14ac:dyDescent="0.3">
      <c r="A1623" s="54"/>
      <c r="C1623" s="5"/>
      <c r="D1623" s="65"/>
      <c r="E1623" s="65"/>
      <c r="F1623" s="46">
        <f t="shared" si="35"/>
        <v>615069</v>
      </c>
      <c r="G1623" s="388" t="s">
        <v>9566</v>
      </c>
    </row>
    <row r="1624" spans="1:7" x14ac:dyDescent="0.3">
      <c r="A1624" s="54"/>
      <c r="C1624" s="5"/>
      <c r="D1624" s="65"/>
      <c r="E1624" s="65"/>
      <c r="F1624" s="46">
        <f t="shared" si="35"/>
        <v>615069</v>
      </c>
      <c r="G1624" s="388" t="s">
        <v>9566</v>
      </c>
    </row>
    <row r="1625" spans="1:7" x14ac:dyDescent="0.3">
      <c r="A1625" s="54"/>
      <c r="C1625" s="5"/>
      <c r="D1625" s="65"/>
      <c r="E1625" s="65"/>
      <c r="F1625" s="46">
        <f t="shared" si="35"/>
        <v>615069</v>
      </c>
      <c r="G1625" s="388" t="s">
        <v>9566</v>
      </c>
    </row>
    <row r="1626" spans="1:7" x14ac:dyDescent="0.3">
      <c r="A1626" s="54"/>
      <c r="C1626" s="5"/>
      <c r="D1626" s="65"/>
      <c r="E1626" s="65"/>
      <c r="F1626" s="46">
        <f t="shared" si="35"/>
        <v>615069</v>
      </c>
      <c r="G1626" s="388" t="s">
        <v>9566</v>
      </c>
    </row>
    <row r="1627" spans="1:7" x14ac:dyDescent="0.3">
      <c r="A1627" s="54"/>
      <c r="C1627" s="5"/>
      <c r="D1627" s="65"/>
      <c r="E1627" s="65"/>
      <c r="F1627" s="46">
        <f t="shared" si="35"/>
        <v>615069</v>
      </c>
      <c r="G1627" s="388" t="s">
        <v>9566</v>
      </c>
    </row>
    <row r="1628" spans="1:7" x14ac:dyDescent="0.3">
      <c r="A1628" s="54"/>
      <c r="C1628" s="5"/>
      <c r="D1628" s="65"/>
      <c r="E1628" s="65"/>
      <c r="F1628" s="46">
        <f t="shared" si="35"/>
        <v>615069</v>
      </c>
      <c r="G1628" s="388" t="s">
        <v>9566</v>
      </c>
    </row>
    <row r="1629" spans="1:7" x14ac:dyDescent="0.3">
      <c r="A1629" s="54"/>
      <c r="C1629" s="5"/>
      <c r="D1629" s="65"/>
      <c r="E1629" s="65"/>
      <c r="F1629" s="46">
        <f t="shared" si="35"/>
        <v>615069</v>
      </c>
      <c r="G1629" s="388" t="s">
        <v>9566</v>
      </c>
    </row>
    <row r="1630" spans="1:7" x14ac:dyDescent="0.3">
      <c r="A1630" s="54"/>
      <c r="C1630" s="5"/>
      <c r="D1630" s="65"/>
      <c r="E1630" s="65"/>
      <c r="F1630" s="46">
        <f t="shared" si="35"/>
        <v>615069</v>
      </c>
      <c r="G1630" s="388" t="s">
        <v>9566</v>
      </c>
    </row>
    <row r="1631" spans="1:7" x14ac:dyDescent="0.3">
      <c r="A1631" s="54"/>
      <c r="C1631" s="5"/>
      <c r="D1631" s="65"/>
      <c r="E1631" s="65"/>
      <c r="F1631" s="46">
        <f t="shared" si="35"/>
        <v>615069</v>
      </c>
      <c r="G1631" s="388" t="s">
        <v>9566</v>
      </c>
    </row>
    <row r="1632" spans="1:7" x14ac:dyDescent="0.3">
      <c r="A1632" s="54"/>
      <c r="C1632" s="5"/>
      <c r="D1632" s="65"/>
      <c r="E1632" s="65"/>
      <c r="F1632" s="46">
        <f t="shared" si="35"/>
        <v>615069</v>
      </c>
      <c r="G1632" s="388" t="s">
        <v>9566</v>
      </c>
    </row>
    <row r="1633" spans="1:7" x14ac:dyDescent="0.3">
      <c r="A1633" s="54"/>
      <c r="C1633" s="5"/>
      <c r="D1633" s="65"/>
      <c r="E1633" s="65"/>
      <c r="F1633" s="46">
        <f t="shared" si="35"/>
        <v>615069</v>
      </c>
      <c r="G1633" s="388" t="s">
        <v>9566</v>
      </c>
    </row>
    <row r="1634" spans="1:7" x14ac:dyDescent="0.3">
      <c r="A1634" s="54"/>
      <c r="C1634" s="5"/>
      <c r="D1634" s="65"/>
      <c r="E1634" s="65"/>
      <c r="F1634" s="46">
        <f t="shared" si="35"/>
        <v>615069</v>
      </c>
      <c r="G1634" s="388" t="s">
        <v>9566</v>
      </c>
    </row>
    <row r="1635" spans="1:7" x14ac:dyDescent="0.3">
      <c r="A1635" s="54"/>
      <c r="C1635" s="5"/>
      <c r="D1635" s="65"/>
      <c r="E1635" s="65"/>
      <c r="F1635" s="46">
        <f t="shared" si="35"/>
        <v>615069</v>
      </c>
      <c r="G1635" s="388" t="s">
        <v>9566</v>
      </c>
    </row>
    <row r="1636" spans="1:7" x14ac:dyDescent="0.3">
      <c r="A1636" s="54"/>
      <c r="C1636" s="5"/>
      <c r="D1636" s="65"/>
      <c r="E1636" s="65"/>
      <c r="F1636" s="46">
        <f t="shared" si="35"/>
        <v>615069</v>
      </c>
      <c r="G1636" s="388" t="s">
        <v>9566</v>
      </c>
    </row>
    <row r="1637" spans="1:7" x14ac:dyDescent="0.3">
      <c r="A1637" s="54"/>
      <c r="C1637" s="5"/>
      <c r="D1637" s="65"/>
      <c r="E1637" s="65"/>
      <c r="F1637" s="46">
        <f t="shared" si="35"/>
        <v>615069</v>
      </c>
      <c r="G1637" s="388" t="s">
        <v>9566</v>
      </c>
    </row>
    <row r="1638" spans="1:7" x14ac:dyDescent="0.3">
      <c r="A1638" s="54"/>
      <c r="C1638" s="5"/>
      <c r="D1638" s="65"/>
      <c r="E1638" s="65"/>
      <c r="F1638" s="46">
        <f t="shared" si="35"/>
        <v>615069</v>
      </c>
      <c r="G1638" s="388" t="s">
        <v>9566</v>
      </c>
    </row>
    <row r="1639" spans="1:7" x14ac:dyDescent="0.3">
      <c r="A1639" s="54"/>
      <c r="C1639" s="5"/>
      <c r="D1639" s="65"/>
      <c r="E1639" s="65"/>
      <c r="F1639" s="46">
        <f t="shared" si="35"/>
        <v>615069</v>
      </c>
      <c r="G1639" s="388" t="s">
        <v>9566</v>
      </c>
    </row>
    <row r="1640" spans="1:7" x14ac:dyDescent="0.3">
      <c r="A1640" s="54"/>
      <c r="C1640" s="5"/>
      <c r="D1640" s="65"/>
      <c r="E1640" s="65"/>
      <c r="F1640" s="46">
        <f t="shared" si="35"/>
        <v>615069</v>
      </c>
      <c r="G1640" s="388" t="s">
        <v>9566</v>
      </c>
    </row>
    <row r="1641" spans="1:7" x14ac:dyDescent="0.3">
      <c r="A1641" s="54"/>
      <c r="C1641" s="5"/>
      <c r="D1641" s="65"/>
      <c r="E1641" s="65"/>
      <c r="F1641" s="46">
        <f t="shared" si="35"/>
        <v>615069</v>
      </c>
      <c r="G1641" s="388" t="s">
        <v>9566</v>
      </c>
    </row>
    <row r="1642" spans="1:7" x14ac:dyDescent="0.3">
      <c r="A1642" s="54"/>
      <c r="C1642" s="5"/>
      <c r="D1642" s="65"/>
      <c r="E1642" s="65"/>
      <c r="F1642" s="46">
        <f t="shared" si="35"/>
        <v>615069</v>
      </c>
      <c r="G1642" s="388" t="s">
        <v>9566</v>
      </c>
    </row>
    <row r="1643" spans="1:7" x14ac:dyDescent="0.3">
      <c r="A1643" s="54"/>
      <c r="C1643" s="5"/>
      <c r="D1643" s="65"/>
      <c r="E1643" s="65"/>
      <c r="F1643" s="46">
        <f t="shared" si="35"/>
        <v>615069</v>
      </c>
      <c r="G1643" s="388" t="s">
        <v>9566</v>
      </c>
    </row>
    <row r="1644" spans="1:7" x14ac:dyDescent="0.3">
      <c r="A1644" s="54"/>
      <c r="C1644" s="5"/>
      <c r="D1644" s="65"/>
      <c r="E1644" s="65"/>
      <c r="F1644" s="46">
        <f t="shared" si="35"/>
        <v>615069</v>
      </c>
      <c r="G1644" s="388" t="s">
        <v>9566</v>
      </c>
    </row>
    <row r="1645" spans="1:7" x14ac:dyDescent="0.3">
      <c r="A1645" s="54"/>
      <c r="C1645" s="5"/>
      <c r="D1645" s="65"/>
      <c r="E1645" s="65"/>
      <c r="F1645" s="46">
        <f t="shared" si="35"/>
        <v>615069</v>
      </c>
      <c r="G1645" s="388" t="s">
        <v>9566</v>
      </c>
    </row>
    <row r="1646" spans="1:7" x14ac:dyDescent="0.3">
      <c r="A1646" s="54"/>
      <c r="C1646" s="5"/>
      <c r="D1646" s="65"/>
      <c r="E1646" s="65"/>
      <c r="F1646" s="46">
        <f t="shared" si="35"/>
        <v>615069</v>
      </c>
      <c r="G1646" s="388" t="s">
        <v>9566</v>
      </c>
    </row>
    <row r="1647" spans="1:7" x14ac:dyDescent="0.3">
      <c r="A1647" s="54"/>
      <c r="C1647" s="5"/>
      <c r="D1647" s="65"/>
      <c r="E1647" s="65"/>
      <c r="F1647" s="46">
        <f t="shared" si="35"/>
        <v>615069</v>
      </c>
      <c r="G1647" s="388" t="s">
        <v>9566</v>
      </c>
    </row>
    <row r="1648" spans="1:7" x14ac:dyDescent="0.3">
      <c r="A1648" s="54"/>
      <c r="C1648" s="5"/>
      <c r="D1648" s="65"/>
      <c r="E1648" s="65"/>
      <c r="F1648" s="46">
        <f t="shared" si="35"/>
        <v>615069</v>
      </c>
      <c r="G1648" s="388" t="s">
        <v>9566</v>
      </c>
    </row>
    <row r="1649" spans="1:7" x14ac:dyDescent="0.3">
      <c r="A1649" s="54"/>
      <c r="C1649" s="5"/>
      <c r="D1649" s="65"/>
      <c r="E1649" s="65"/>
      <c r="F1649" s="46">
        <f t="shared" si="35"/>
        <v>615069</v>
      </c>
      <c r="G1649" s="388" t="s">
        <v>9566</v>
      </c>
    </row>
    <row r="1650" spans="1:7" x14ac:dyDescent="0.3">
      <c r="A1650" s="54"/>
      <c r="C1650" s="5"/>
      <c r="D1650" s="65"/>
      <c r="E1650" s="65"/>
      <c r="F1650" s="46">
        <f t="shared" si="35"/>
        <v>615069</v>
      </c>
      <c r="G1650" s="388" t="s">
        <v>9566</v>
      </c>
    </row>
    <row r="1651" spans="1:7" x14ac:dyDescent="0.3">
      <c r="A1651" s="54"/>
      <c r="C1651" s="5"/>
      <c r="D1651" s="65"/>
      <c r="E1651" s="65"/>
      <c r="F1651" s="46">
        <f t="shared" si="35"/>
        <v>615069</v>
      </c>
      <c r="G1651" s="388" t="s">
        <v>9566</v>
      </c>
    </row>
    <row r="1652" spans="1:7" x14ac:dyDescent="0.3">
      <c r="A1652" s="54"/>
      <c r="C1652" s="5"/>
      <c r="D1652" s="65"/>
      <c r="E1652" s="65"/>
      <c r="F1652" s="46">
        <f t="shared" si="35"/>
        <v>615069</v>
      </c>
      <c r="G1652" s="388" t="s">
        <v>9566</v>
      </c>
    </row>
    <row r="1653" spans="1:7" x14ac:dyDescent="0.3">
      <c r="A1653" s="54"/>
      <c r="C1653" s="5"/>
      <c r="D1653" s="65"/>
      <c r="E1653" s="65"/>
      <c r="F1653" s="46">
        <f t="shared" si="35"/>
        <v>615069</v>
      </c>
      <c r="G1653" s="388" t="s">
        <v>9566</v>
      </c>
    </row>
    <row r="1654" spans="1:7" x14ac:dyDescent="0.3">
      <c r="A1654" s="54"/>
      <c r="C1654" s="5"/>
      <c r="D1654" s="65"/>
      <c r="E1654" s="65"/>
      <c r="F1654" s="46">
        <f t="shared" si="35"/>
        <v>615069</v>
      </c>
      <c r="G1654" s="388" t="s">
        <v>9566</v>
      </c>
    </row>
    <row r="1655" spans="1:7" x14ac:dyDescent="0.3">
      <c r="A1655" s="54"/>
      <c r="C1655" s="5"/>
      <c r="D1655" s="65"/>
      <c r="E1655" s="65"/>
      <c r="F1655" s="46">
        <f t="shared" si="35"/>
        <v>615069</v>
      </c>
      <c r="G1655" s="388" t="s">
        <v>9566</v>
      </c>
    </row>
    <row r="1656" spans="1:7" x14ac:dyDescent="0.3">
      <c r="A1656" s="54"/>
      <c r="C1656" s="5"/>
      <c r="D1656" s="65"/>
      <c r="E1656" s="65"/>
      <c r="F1656" s="46">
        <f t="shared" si="35"/>
        <v>615069</v>
      </c>
      <c r="G1656" s="388" t="s">
        <v>9566</v>
      </c>
    </row>
    <row r="1657" spans="1:7" x14ac:dyDescent="0.3">
      <c r="A1657" s="54"/>
      <c r="C1657" s="5"/>
      <c r="D1657" s="65"/>
      <c r="E1657" s="65"/>
      <c r="F1657" s="46">
        <f t="shared" si="35"/>
        <v>615069</v>
      </c>
      <c r="G1657" s="388" t="s">
        <v>9566</v>
      </c>
    </row>
    <row r="1658" spans="1:7" x14ac:dyDescent="0.3">
      <c r="A1658" s="54"/>
      <c r="C1658" s="5"/>
      <c r="D1658" s="65"/>
      <c r="E1658" s="65"/>
      <c r="F1658" s="46">
        <f t="shared" si="35"/>
        <v>615069</v>
      </c>
      <c r="G1658" s="388" t="s">
        <v>9566</v>
      </c>
    </row>
    <row r="1659" spans="1:7" x14ac:dyDescent="0.3">
      <c r="A1659" s="54"/>
      <c r="C1659" s="5"/>
      <c r="D1659" s="65"/>
      <c r="E1659" s="65"/>
      <c r="F1659" s="46">
        <f t="shared" si="35"/>
        <v>615069</v>
      </c>
      <c r="G1659" s="388" t="s">
        <v>9566</v>
      </c>
    </row>
    <row r="1660" spans="1:7" x14ac:dyDescent="0.3">
      <c r="A1660" s="54"/>
      <c r="C1660" s="5"/>
      <c r="D1660" s="65"/>
      <c r="E1660" s="65"/>
      <c r="F1660" s="46">
        <f t="shared" si="35"/>
        <v>615069</v>
      </c>
      <c r="G1660" s="388" t="s">
        <v>9566</v>
      </c>
    </row>
    <row r="1661" spans="1:7" x14ac:dyDescent="0.3">
      <c r="A1661" s="54"/>
      <c r="C1661" s="5"/>
      <c r="D1661" s="65"/>
      <c r="E1661" s="65"/>
      <c r="F1661" s="46">
        <f t="shared" si="35"/>
        <v>615069</v>
      </c>
      <c r="G1661" s="388" t="s">
        <v>9566</v>
      </c>
    </row>
    <row r="1662" spans="1:7" x14ac:dyDescent="0.3">
      <c r="A1662" s="54"/>
      <c r="C1662" s="5"/>
      <c r="D1662" s="65"/>
      <c r="E1662" s="65"/>
      <c r="F1662" s="46">
        <f t="shared" si="35"/>
        <v>615069</v>
      </c>
      <c r="G1662" s="388" t="s">
        <v>9566</v>
      </c>
    </row>
    <row r="1663" spans="1:7" x14ac:dyDescent="0.3">
      <c r="A1663" s="54"/>
      <c r="C1663" s="5"/>
      <c r="D1663" s="65"/>
      <c r="E1663" s="65"/>
      <c r="F1663" s="46">
        <f t="shared" si="35"/>
        <v>615069</v>
      </c>
      <c r="G1663" s="388" t="s">
        <v>9566</v>
      </c>
    </row>
    <row r="1664" spans="1:7" x14ac:dyDescent="0.3">
      <c r="A1664" s="54"/>
      <c r="C1664" s="5"/>
      <c r="D1664" s="65"/>
      <c r="E1664" s="65"/>
      <c r="F1664" s="46">
        <f t="shared" si="35"/>
        <v>615069</v>
      </c>
      <c r="G1664" s="388" t="s">
        <v>9566</v>
      </c>
    </row>
    <row r="1665" spans="1:7" x14ac:dyDescent="0.3">
      <c r="A1665" s="54"/>
      <c r="C1665" s="5"/>
      <c r="D1665" s="65"/>
      <c r="E1665" s="65"/>
      <c r="F1665" s="46">
        <f t="shared" si="35"/>
        <v>615069</v>
      </c>
      <c r="G1665" s="388" t="s">
        <v>9566</v>
      </c>
    </row>
    <row r="1666" spans="1:7" x14ac:dyDescent="0.3">
      <c r="A1666" s="54"/>
      <c r="C1666" s="5"/>
      <c r="D1666" s="65"/>
      <c r="E1666" s="65"/>
      <c r="F1666" s="46">
        <f t="shared" si="35"/>
        <v>615069</v>
      </c>
      <c r="G1666" s="388" t="s">
        <v>9566</v>
      </c>
    </row>
    <row r="1667" spans="1:7" x14ac:dyDescent="0.3">
      <c r="A1667" s="54"/>
      <c r="C1667" s="5"/>
      <c r="D1667" s="65"/>
      <c r="E1667" s="65"/>
      <c r="F1667" s="46">
        <f t="shared" si="35"/>
        <v>615069</v>
      </c>
      <c r="G1667" s="388" t="s">
        <v>9566</v>
      </c>
    </row>
    <row r="1668" spans="1:7" x14ac:dyDescent="0.3">
      <c r="A1668" s="54"/>
      <c r="C1668" s="5"/>
      <c r="D1668" s="65"/>
      <c r="E1668" s="65"/>
      <c r="F1668" s="46">
        <f t="shared" si="35"/>
        <v>615069</v>
      </c>
      <c r="G1668" s="388" t="s">
        <v>9566</v>
      </c>
    </row>
    <row r="1669" spans="1:7" x14ac:dyDescent="0.3">
      <c r="A1669" s="54"/>
      <c r="C1669" s="5"/>
      <c r="D1669" s="65"/>
      <c r="E1669" s="65"/>
      <c r="F1669" s="46">
        <f t="shared" si="35"/>
        <v>615069</v>
      </c>
      <c r="G1669" s="388" t="s">
        <v>9566</v>
      </c>
    </row>
    <row r="1670" spans="1:7" x14ac:dyDescent="0.3">
      <c r="A1670" s="54"/>
      <c r="C1670" s="5"/>
      <c r="D1670" s="65"/>
      <c r="E1670" s="65"/>
      <c r="F1670" s="46">
        <f t="shared" si="35"/>
        <v>615069</v>
      </c>
      <c r="G1670" s="388" t="s">
        <v>9566</v>
      </c>
    </row>
    <row r="1671" spans="1:7" x14ac:dyDescent="0.3">
      <c r="A1671" s="54"/>
      <c r="C1671" s="5"/>
      <c r="D1671" s="65"/>
      <c r="E1671" s="65"/>
      <c r="F1671" s="46">
        <f t="shared" si="35"/>
        <v>615069</v>
      </c>
      <c r="G1671" s="388" t="s">
        <v>9566</v>
      </c>
    </row>
    <row r="1672" spans="1:7" x14ac:dyDescent="0.3">
      <c r="D1672" s="65"/>
      <c r="E1672" s="65"/>
      <c r="F1672" s="46">
        <f t="shared" si="35"/>
        <v>615069</v>
      </c>
      <c r="G1672" s="388" t="s">
        <v>9566</v>
      </c>
    </row>
    <row r="1673" spans="1:7" x14ac:dyDescent="0.3">
      <c r="D1673" s="65"/>
      <c r="E1673" s="65"/>
      <c r="F1673" s="46">
        <f t="shared" si="35"/>
        <v>615069</v>
      </c>
      <c r="G1673" s="388" t="s">
        <v>9566</v>
      </c>
    </row>
    <row r="1674" spans="1:7" x14ac:dyDescent="0.3">
      <c r="D1674" s="65"/>
      <c r="E1674" s="65"/>
      <c r="F1674" s="46">
        <f t="shared" si="35"/>
        <v>615069</v>
      </c>
      <c r="G1674" s="388" t="s">
        <v>9566</v>
      </c>
    </row>
    <row r="1675" spans="1:7" x14ac:dyDescent="0.3">
      <c r="D1675" s="65"/>
      <c r="E1675" s="65"/>
      <c r="F1675" s="46">
        <f t="shared" si="35"/>
        <v>615069</v>
      </c>
      <c r="G1675" s="388" t="s">
        <v>9566</v>
      </c>
    </row>
    <row r="1676" spans="1:7" x14ac:dyDescent="0.3">
      <c r="D1676" s="65"/>
      <c r="E1676" s="65"/>
      <c r="F1676" s="46">
        <f t="shared" si="35"/>
        <v>615069</v>
      </c>
      <c r="G1676" s="388" t="s">
        <v>9566</v>
      </c>
    </row>
    <row r="1677" spans="1:7" x14ac:dyDescent="0.3">
      <c r="D1677" s="65"/>
      <c r="E1677" s="65"/>
      <c r="F1677" s="46">
        <f t="shared" si="35"/>
        <v>615069</v>
      </c>
      <c r="G1677" s="388" t="s">
        <v>9566</v>
      </c>
    </row>
    <row r="1678" spans="1:7" x14ac:dyDescent="0.3">
      <c r="D1678" s="65"/>
      <c r="E1678" s="65"/>
      <c r="F1678" s="46">
        <f t="shared" si="35"/>
        <v>615069</v>
      </c>
      <c r="G1678" s="388" t="s">
        <v>9566</v>
      </c>
    </row>
    <row r="1679" spans="1:7" x14ac:dyDescent="0.3">
      <c r="D1679" s="65"/>
      <c r="E1679" s="65"/>
      <c r="F1679" s="46">
        <f t="shared" si="35"/>
        <v>615069</v>
      </c>
      <c r="G1679" s="388" t="s">
        <v>9566</v>
      </c>
    </row>
    <row r="1680" spans="1:7" x14ac:dyDescent="0.3">
      <c r="D1680" s="65"/>
      <c r="E1680" s="65"/>
      <c r="F1680" s="46">
        <f t="shared" si="35"/>
        <v>615069</v>
      </c>
      <c r="G1680" s="388" t="s">
        <v>9566</v>
      </c>
    </row>
    <row r="1681" spans="4:7" x14ac:dyDescent="0.3">
      <c r="D1681" s="65"/>
      <c r="E1681" s="65"/>
      <c r="F1681" s="46">
        <f t="shared" si="35"/>
        <v>615069</v>
      </c>
      <c r="G1681" s="388" t="s">
        <v>9566</v>
      </c>
    </row>
    <row r="1682" spans="4:7" x14ac:dyDescent="0.3">
      <c r="D1682" s="65"/>
      <c r="E1682" s="65"/>
      <c r="F1682" s="46">
        <f t="shared" ref="F1682:F1745" si="36">F1681+E1682-D1682</f>
        <v>615069</v>
      </c>
      <c r="G1682" s="388" t="s">
        <v>9566</v>
      </c>
    </row>
    <row r="1683" spans="4:7" x14ac:dyDescent="0.3">
      <c r="D1683" s="65"/>
      <c r="E1683" s="65"/>
      <c r="F1683" s="46">
        <f t="shared" si="36"/>
        <v>615069</v>
      </c>
      <c r="G1683" s="388" t="s">
        <v>9566</v>
      </c>
    </row>
    <row r="1684" spans="4:7" x14ac:dyDescent="0.3">
      <c r="D1684" s="65"/>
      <c r="E1684" s="65"/>
      <c r="F1684" s="46">
        <f t="shared" si="36"/>
        <v>615069</v>
      </c>
      <c r="G1684" s="388" t="s">
        <v>9566</v>
      </c>
    </row>
    <row r="1685" spans="4:7" x14ac:dyDescent="0.3">
      <c r="D1685" s="65"/>
      <c r="E1685" s="65"/>
      <c r="F1685" s="46">
        <f t="shared" si="36"/>
        <v>615069</v>
      </c>
      <c r="G1685" s="388" t="s">
        <v>9566</v>
      </c>
    </row>
    <row r="1686" spans="4:7" x14ac:dyDescent="0.3">
      <c r="D1686" s="65"/>
      <c r="E1686" s="65"/>
      <c r="F1686" s="46">
        <f t="shared" si="36"/>
        <v>615069</v>
      </c>
      <c r="G1686" s="388" t="s">
        <v>9566</v>
      </c>
    </row>
    <row r="1687" spans="4:7" x14ac:dyDescent="0.3">
      <c r="D1687" s="65"/>
      <c r="E1687" s="65"/>
      <c r="F1687" s="46">
        <f t="shared" si="36"/>
        <v>615069</v>
      </c>
      <c r="G1687" s="388" t="s">
        <v>9566</v>
      </c>
    </row>
    <row r="1688" spans="4:7" x14ac:dyDescent="0.3">
      <c r="D1688" s="65"/>
      <c r="E1688" s="65"/>
      <c r="F1688" s="46">
        <f t="shared" si="36"/>
        <v>615069</v>
      </c>
      <c r="G1688" s="388" t="s">
        <v>9566</v>
      </c>
    </row>
    <row r="1689" spans="4:7" x14ac:dyDescent="0.3">
      <c r="D1689" s="65"/>
      <c r="E1689" s="65"/>
      <c r="F1689" s="46">
        <f t="shared" si="36"/>
        <v>615069</v>
      </c>
      <c r="G1689" s="388" t="s">
        <v>9566</v>
      </c>
    </row>
    <row r="1690" spans="4:7" x14ac:dyDescent="0.3">
      <c r="D1690" s="65"/>
      <c r="E1690" s="65"/>
      <c r="F1690" s="46">
        <f t="shared" si="36"/>
        <v>615069</v>
      </c>
      <c r="G1690" s="388" t="s">
        <v>9566</v>
      </c>
    </row>
    <row r="1691" spans="4:7" x14ac:dyDescent="0.3">
      <c r="D1691" s="65"/>
      <c r="E1691" s="65"/>
      <c r="F1691" s="46">
        <f t="shared" si="36"/>
        <v>615069</v>
      </c>
      <c r="G1691" s="388" t="s">
        <v>9566</v>
      </c>
    </row>
    <row r="1692" spans="4:7" x14ac:dyDescent="0.3">
      <c r="D1692" s="65"/>
      <c r="E1692" s="65"/>
      <c r="F1692" s="46">
        <f t="shared" si="36"/>
        <v>615069</v>
      </c>
      <c r="G1692" s="388" t="s">
        <v>9566</v>
      </c>
    </row>
    <row r="1693" spans="4:7" x14ac:dyDescent="0.3">
      <c r="D1693" s="65"/>
      <c r="E1693" s="65"/>
      <c r="F1693" s="46">
        <f t="shared" si="36"/>
        <v>615069</v>
      </c>
      <c r="G1693" s="388" t="s">
        <v>9566</v>
      </c>
    </row>
    <row r="1694" spans="4:7" x14ac:dyDescent="0.3">
      <c r="D1694" s="65"/>
      <c r="E1694" s="65"/>
      <c r="F1694" s="46">
        <f t="shared" si="36"/>
        <v>615069</v>
      </c>
      <c r="G1694" s="388" t="s">
        <v>9566</v>
      </c>
    </row>
    <row r="1695" spans="4:7" x14ac:dyDescent="0.3">
      <c r="D1695" s="65"/>
      <c r="E1695" s="65"/>
      <c r="F1695" s="46">
        <f t="shared" si="36"/>
        <v>615069</v>
      </c>
      <c r="G1695" s="388" t="s">
        <v>9566</v>
      </c>
    </row>
    <row r="1696" spans="4:7" x14ac:dyDescent="0.3">
      <c r="D1696" s="65"/>
      <c r="E1696" s="65"/>
      <c r="F1696" s="46">
        <f t="shared" si="36"/>
        <v>615069</v>
      </c>
      <c r="G1696" s="388" t="s">
        <v>9566</v>
      </c>
    </row>
    <row r="1697" spans="4:7" x14ac:dyDescent="0.3">
      <c r="D1697" s="65"/>
      <c r="E1697" s="65"/>
      <c r="F1697" s="46">
        <f t="shared" si="36"/>
        <v>615069</v>
      </c>
      <c r="G1697" s="388" t="s">
        <v>9566</v>
      </c>
    </row>
    <row r="1698" spans="4:7" x14ac:dyDescent="0.3">
      <c r="D1698" s="65"/>
      <c r="E1698" s="65"/>
      <c r="F1698" s="46">
        <f t="shared" si="36"/>
        <v>615069</v>
      </c>
      <c r="G1698" s="388" t="s">
        <v>9566</v>
      </c>
    </row>
    <row r="1699" spans="4:7" x14ac:dyDescent="0.3">
      <c r="D1699" s="65"/>
      <c r="E1699" s="65"/>
      <c r="F1699" s="46">
        <f t="shared" si="36"/>
        <v>615069</v>
      </c>
      <c r="G1699" s="388" t="s">
        <v>9566</v>
      </c>
    </row>
    <row r="1700" spans="4:7" x14ac:dyDescent="0.3">
      <c r="D1700" s="65"/>
      <c r="E1700" s="65"/>
      <c r="F1700" s="46">
        <f t="shared" si="36"/>
        <v>615069</v>
      </c>
      <c r="G1700" s="388" t="s">
        <v>9566</v>
      </c>
    </row>
    <row r="1701" spans="4:7" x14ac:dyDescent="0.3">
      <c r="D1701" s="65"/>
      <c r="E1701" s="65"/>
      <c r="F1701" s="46">
        <f t="shared" si="36"/>
        <v>615069</v>
      </c>
      <c r="G1701" s="388" t="s">
        <v>9566</v>
      </c>
    </row>
    <row r="1702" spans="4:7" x14ac:dyDescent="0.3">
      <c r="D1702" s="65"/>
      <c r="E1702" s="65"/>
      <c r="F1702" s="46">
        <f t="shared" si="36"/>
        <v>615069</v>
      </c>
      <c r="G1702" s="388" t="s">
        <v>9566</v>
      </c>
    </row>
    <row r="1703" spans="4:7" x14ac:dyDescent="0.3">
      <c r="D1703" s="65"/>
      <c r="E1703" s="65"/>
      <c r="F1703" s="46">
        <f t="shared" si="36"/>
        <v>615069</v>
      </c>
      <c r="G1703" s="388" t="s">
        <v>9566</v>
      </c>
    </row>
    <row r="1704" spans="4:7" x14ac:dyDescent="0.3">
      <c r="D1704" s="65"/>
      <c r="E1704" s="65"/>
      <c r="F1704" s="46">
        <f t="shared" si="36"/>
        <v>615069</v>
      </c>
      <c r="G1704" s="388" t="s">
        <v>9566</v>
      </c>
    </row>
    <row r="1705" spans="4:7" x14ac:dyDescent="0.3">
      <c r="D1705" s="65"/>
      <c r="E1705" s="65"/>
      <c r="F1705" s="46">
        <f t="shared" si="36"/>
        <v>615069</v>
      </c>
      <c r="G1705" s="388" t="s">
        <v>9566</v>
      </c>
    </row>
    <row r="1706" spans="4:7" x14ac:dyDescent="0.3">
      <c r="D1706" s="65"/>
      <c r="E1706" s="65"/>
      <c r="F1706" s="46">
        <f t="shared" si="36"/>
        <v>615069</v>
      </c>
      <c r="G1706" s="388" t="s">
        <v>9566</v>
      </c>
    </row>
    <row r="1707" spans="4:7" x14ac:dyDescent="0.3">
      <c r="D1707" s="65"/>
      <c r="E1707" s="65"/>
      <c r="F1707" s="46">
        <f t="shared" si="36"/>
        <v>615069</v>
      </c>
      <c r="G1707" s="388" t="s">
        <v>9566</v>
      </c>
    </row>
    <row r="1708" spans="4:7" x14ac:dyDescent="0.3">
      <c r="D1708" s="65"/>
      <c r="E1708" s="65"/>
      <c r="F1708" s="46">
        <f t="shared" si="36"/>
        <v>615069</v>
      </c>
      <c r="G1708" s="388" t="s">
        <v>9566</v>
      </c>
    </row>
    <row r="1709" spans="4:7" x14ac:dyDescent="0.3">
      <c r="D1709" s="65"/>
      <c r="E1709" s="65"/>
      <c r="F1709" s="46">
        <f t="shared" si="36"/>
        <v>615069</v>
      </c>
      <c r="G1709" s="388" t="s">
        <v>9566</v>
      </c>
    </row>
    <row r="1710" spans="4:7" x14ac:dyDescent="0.3">
      <c r="D1710" s="65"/>
      <c r="E1710" s="65"/>
      <c r="F1710" s="46">
        <f t="shared" si="36"/>
        <v>615069</v>
      </c>
      <c r="G1710" s="388" t="s">
        <v>9566</v>
      </c>
    </row>
    <row r="1711" spans="4:7" x14ac:dyDescent="0.3">
      <c r="D1711" s="65"/>
      <c r="E1711" s="65"/>
      <c r="F1711" s="46">
        <f t="shared" si="36"/>
        <v>615069</v>
      </c>
      <c r="G1711" s="388" t="s">
        <v>9566</v>
      </c>
    </row>
    <row r="1712" spans="4:7" x14ac:dyDescent="0.3">
      <c r="D1712" s="65"/>
      <c r="E1712" s="65"/>
      <c r="F1712" s="46">
        <f t="shared" si="36"/>
        <v>615069</v>
      </c>
      <c r="G1712" s="388" t="s">
        <v>9566</v>
      </c>
    </row>
    <row r="1713" spans="4:7" x14ac:dyDescent="0.3">
      <c r="D1713" s="65"/>
      <c r="E1713" s="65"/>
      <c r="F1713" s="46">
        <f t="shared" si="36"/>
        <v>615069</v>
      </c>
      <c r="G1713" s="388" t="s">
        <v>9566</v>
      </c>
    </row>
    <row r="1714" spans="4:7" x14ac:dyDescent="0.3">
      <c r="D1714" s="65"/>
      <c r="E1714" s="65"/>
      <c r="F1714" s="46">
        <f t="shared" si="36"/>
        <v>615069</v>
      </c>
      <c r="G1714" s="388" t="s">
        <v>9566</v>
      </c>
    </row>
    <row r="1715" spans="4:7" x14ac:dyDescent="0.3">
      <c r="D1715" s="65"/>
      <c r="E1715" s="65"/>
      <c r="F1715" s="46">
        <f t="shared" si="36"/>
        <v>615069</v>
      </c>
      <c r="G1715" s="388" t="s">
        <v>9566</v>
      </c>
    </row>
    <row r="1716" spans="4:7" x14ac:dyDescent="0.3">
      <c r="D1716" s="65"/>
      <c r="E1716" s="65"/>
      <c r="F1716" s="46">
        <f t="shared" si="36"/>
        <v>615069</v>
      </c>
      <c r="G1716" s="388" t="s">
        <v>9566</v>
      </c>
    </row>
    <row r="1717" spans="4:7" x14ac:dyDescent="0.3">
      <c r="D1717" s="65"/>
      <c r="E1717" s="65"/>
      <c r="F1717" s="46">
        <f t="shared" si="36"/>
        <v>615069</v>
      </c>
      <c r="G1717" s="388" t="s">
        <v>9566</v>
      </c>
    </row>
    <row r="1718" spans="4:7" x14ac:dyDescent="0.3">
      <c r="D1718" s="65"/>
      <c r="E1718" s="65"/>
      <c r="F1718" s="46">
        <f t="shared" si="36"/>
        <v>615069</v>
      </c>
      <c r="G1718" s="388" t="s">
        <v>9566</v>
      </c>
    </row>
    <row r="1719" spans="4:7" x14ac:dyDescent="0.3">
      <c r="D1719" s="65"/>
      <c r="E1719" s="65"/>
      <c r="F1719" s="46">
        <f t="shared" si="36"/>
        <v>615069</v>
      </c>
      <c r="G1719" s="388" t="s">
        <v>9566</v>
      </c>
    </row>
    <row r="1720" spans="4:7" x14ac:dyDescent="0.3">
      <c r="D1720" s="65"/>
      <c r="E1720" s="65"/>
      <c r="F1720" s="46">
        <f t="shared" si="36"/>
        <v>615069</v>
      </c>
      <c r="G1720" s="388" t="s">
        <v>9566</v>
      </c>
    </row>
    <row r="1721" spans="4:7" x14ac:dyDescent="0.3">
      <c r="D1721" s="65"/>
      <c r="E1721" s="65"/>
      <c r="F1721" s="46">
        <f t="shared" si="36"/>
        <v>615069</v>
      </c>
      <c r="G1721" s="388" t="s">
        <v>9566</v>
      </c>
    </row>
    <row r="1722" spans="4:7" x14ac:dyDescent="0.3">
      <c r="D1722" s="65"/>
      <c r="E1722" s="65"/>
      <c r="F1722" s="46">
        <f t="shared" si="36"/>
        <v>615069</v>
      </c>
      <c r="G1722" s="388" t="s">
        <v>9566</v>
      </c>
    </row>
    <row r="1723" spans="4:7" x14ac:dyDescent="0.3">
      <c r="D1723" s="65"/>
      <c r="E1723" s="65"/>
      <c r="F1723" s="46">
        <f t="shared" si="36"/>
        <v>615069</v>
      </c>
      <c r="G1723" s="388" t="s">
        <v>9566</v>
      </c>
    </row>
    <row r="1724" spans="4:7" x14ac:dyDescent="0.3">
      <c r="D1724" s="65"/>
      <c r="E1724" s="65"/>
      <c r="F1724" s="46">
        <f t="shared" si="36"/>
        <v>615069</v>
      </c>
      <c r="G1724" s="388" t="s">
        <v>9566</v>
      </c>
    </row>
    <row r="1725" spans="4:7" x14ac:dyDescent="0.3">
      <c r="D1725" s="65"/>
      <c r="E1725" s="65"/>
      <c r="F1725" s="46">
        <f t="shared" si="36"/>
        <v>615069</v>
      </c>
      <c r="G1725" s="388" t="s">
        <v>9566</v>
      </c>
    </row>
    <row r="1726" spans="4:7" x14ac:dyDescent="0.3">
      <c r="D1726" s="65"/>
      <c r="E1726" s="65"/>
      <c r="F1726" s="46">
        <f t="shared" si="36"/>
        <v>615069</v>
      </c>
      <c r="G1726" s="388" t="s">
        <v>9566</v>
      </c>
    </row>
    <row r="1727" spans="4:7" x14ac:dyDescent="0.3">
      <c r="D1727" s="65"/>
      <c r="E1727" s="65"/>
      <c r="F1727" s="46">
        <f t="shared" si="36"/>
        <v>615069</v>
      </c>
      <c r="G1727" s="388" t="s">
        <v>9566</v>
      </c>
    </row>
    <row r="1728" spans="4:7" x14ac:dyDescent="0.3">
      <c r="D1728" s="65"/>
      <c r="E1728" s="65"/>
      <c r="F1728" s="46">
        <f t="shared" si="36"/>
        <v>615069</v>
      </c>
      <c r="G1728" s="388" t="s">
        <v>9566</v>
      </c>
    </row>
    <row r="1729" spans="4:7" x14ac:dyDescent="0.3">
      <c r="D1729" s="65"/>
      <c r="E1729" s="65"/>
      <c r="F1729" s="46">
        <f t="shared" si="36"/>
        <v>615069</v>
      </c>
      <c r="G1729" s="388" t="s">
        <v>9566</v>
      </c>
    </row>
    <row r="1730" spans="4:7" x14ac:dyDescent="0.3">
      <c r="D1730" s="65"/>
      <c r="E1730" s="65"/>
      <c r="F1730" s="46">
        <f t="shared" si="36"/>
        <v>615069</v>
      </c>
      <c r="G1730" s="388" t="s">
        <v>9566</v>
      </c>
    </row>
    <row r="1731" spans="4:7" x14ac:dyDescent="0.3">
      <c r="D1731" s="65"/>
      <c r="E1731" s="65"/>
      <c r="F1731" s="46">
        <f t="shared" si="36"/>
        <v>615069</v>
      </c>
      <c r="G1731" s="388" t="s">
        <v>9566</v>
      </c>
    </row>
    <row r="1732" spans="4:7" x14ac:dyDescent="0.3">
      <c r="D1732" s="65"/>
      <c r="E1732" s="65"/>
      <c r="F1732" s="46">
        <f t="shared" si="36"/>
        <v>615069</v>
      </c>
      <c r="G1732" s="388" t="s">
        <v>9566</v>
      </c>
    </row>
    <row r="1733" spans="4:7" x14ac:dyDescent="0.3">
      <c r="D1733" s="65"/>
      <c r="E1733" s="65"/>
      <c r="F1733" s="46">
        <f t="shared" si="36"/>
        <v>615069</v>
      </c>
      <c r="G1733" s="388" t="s">
        <v>9566</v>
      </c>
    </row>
    <row r="1734" spans="4:7" x14ac:dyDescent="0.3">
      <c r="D1734" s="65"/>
      <c r="E1734" s="65"/>
      <c r="F1734" s="46">
        <f t="shared" si="36"/>
        <v>615069</v>
      </c>
      <c r="G1734" s="388" t="s">
        <v>9566</v>
      </c>
    </row>
    <row r="1735" spans="4:7" x14ac:dyDescent="0.3">
      <c r="D1735" s="65"/>
      <c r="E1735" s="65"/>
      <c r="F1735" s="46">
        <f t="shared" si="36"/>
        <v>615069</v>
      </c>
      <c r="G1735" s="388" t="s">
        <v>9566</v>
      </c>
    </row>
    <row r="1736" spans="4:7" x14ac:dyDescent="0.3">
      <c r="D1736" s="65"/>
      <c r="E1736" s="65"/>
      <c r="F1736" s="46">
        <f t="shared" si="36"/>
        <v>615069</v>
      </c>
      <c r="G1736" s="388" t="s">
        <v>9566</v>
      </c>
    </row>
    <row r="1737" spans="4:7" x14ac:dyDescent="0.3">
      <c r="D1737" s="65"/>
      <c r="E1737" s="65"/>
      <c r="F1737" s="46">
        <f t="shared" si="36"/>
        <v>615069</v>
      </c>
      <c r="G1737" s="388" t="s">
        <v>9566</v>
      </c>
    </row>
    <row r="1738" spans="4:7" x14ac:dyDescent="0.3">
      <c r="D1738" s="65"/>
      <c r="E1738" s="65"/>
      <c r="F1738" s="46">
        <f t="shared" si="36"/>
        <v>615069</v>
      </c>
      <c r="G1738" s="388" t="s">
        <v>9566</v>
      </c>
    </row>
    <row r="1739" spans="4:7" x14ac:dyDescent="0.3">
      <c r="D1739" s="65"/>
      <c r="E1739" s="65"/>
      <c r="F1739" s="46">
        <f t="shared" si="36"/>
        <v>615069</v>
      </c>
      <c r="G1739" s="388" t="s">
        <v>9566</v>
      </c>
    </row>
    <row r="1740" spans="4:7" x14ac:dyDescent="0.3">
      <c r="D1740" s="65"/>
      <c r="E1740" s="65"/>
      <c r="F1740" s="46">
        <f t="shared" si="36"/>
        <v>615069</v>
      </c>
      <c r="G1740" s="388" t="s">
        <v>9566</v>
      </c>
    </row>
    <row r="1741" spans="4:7" x14ac:dyDescent="0.3">
      <c r="D1741" s="65"/>
      <c r="E1741" s="65"/>
      <c r="F1741" s="46">
        <f t="shared" si="36"/>
        <v>615069</v>
      </c>
      <c r="G1741" s="388" t="s">
        <v>9566</v>
      </c>
    </row>
    <row r="1742" spans="4:7" x14ac:dyDescent="0.3">
      <c r="D1742" s="65"/>
      <c r="E1742" s="65"/>
      <c r="F1742" s="46">
        <f t="shared" si="36"/>
        <v>615069</v>
      </c>
      <c r="G1742" s="388" t="s">
        <v>9566</v>
      </c>
    </row>
    <row r="1743" spans="4:7" x14ac:dyDescent="0.3">
      <c r="D1743" s="65"/>
      <c r="E1743" s="65"/>
      <c r="F1743" s="46">
        <f t="shared" si="36"/>
        <v>615069</v>
      </c>
      <c r="G1743" s="388" t="s">
        <v>9566</v>
      </c>
    </row>
    <row r="1744" spans="4:7" x14ac:dyDescent="0.3">
      <c r="D1744" s="65"/>
      <c r="E1744" s="65"/>
      <c r="F1744" s="46">
        <f t="shared" si="36"/>
        <v>615069</v>
      </c>
      <c r="G1744" s="388" t="s">
        <v>9566</v>
      </c>
    </row>
    <row r="1745" spans="4:7" x14ac:dyDescent="0.3">
      <c r="D1745" s="65"/>
      <c r="E1745" s="65"/>
      <c r="F1745" s="46">
        <f t="shared" si="36"/>
        <v>615069</v>
      </c>
      <c r="G1745" s="388" t="s">
        <v>9566</v>
      </c>
    </row>
    <row r="1746" spans="4:7" x14ac:dyDescent="0.3">
      <c r="D1746" s="65"/>
      <c r="E1746" s="65"/>
      <c r="F1746" s="46">
        <f t="shared" ref="F1746:F1809" si="37">F1745+E1746-D1746</f>
        <v>615069</v>
      </c>
      <c r="G1746" s="388" t="s">
        <v>9566</v>
      </c>
    </row>
    <row r="1747" spans="4:7" x14ac:dyDescent="0.3">
      <c r="D1747" s="65"/>
      <c r="E1747" s="65"/>
      <c r="F1747" s="46">
        <f t="shared" si="37"/>
        <v>615069</v>
      </c>
      <c r="G1747" s="388" t="s">
        <v>9566</v>
      </c>
    </row>
    <row r="1748" spans="4:7" x14ac:dyDescent="0.3">
      <c r="D1748" s="65"/>
      <c r="E1748" s="65"/>
      <c r="F1748" s="46">
        <f t="shared" si="37"/>
        <v>615069</v>
      </c>
      <c r="G1748" s="388" t="s">
        <v>9566</v>
      </c>
    </row>
    <row r="1749" spans="4:7" x14ac:dyDescent="0.3">
      <c r="D1749" s="65"/>
      <c r="E1749" s="65"/>
      <c r="F1749" s="46">
        <f t="shared" si="37"/>
        <v>615069</v>
      </c>
      <c r="G1749" s="388" t="s">
        <v>9566</v>
      </c>
    </row>
    <row r="1750" spans="4:7" x14ac:dyDescent="0.3">
      <c r="D1750" s="65"/>
      <c r="E1750" s="65"/>
      <c r="F1750" s="46">
        <f t="shared" si="37"/>
        <v>615069</v>
      </c>
      <c r="G1750" s="388" t="s">
        <v>9566</v>
      </c>
    </row>
    <row r="1751" spans="4:7" x14ac:dyDescent="0.3">
      <c r="D1751" s="65"/>
      <c r="E1751" s="65"/>
      <c r="F1751" s="46">
        <f t="shared" si="37"/>
        <v>615069</v>
      </c>
      <c r="G1751" s="388" t="s">
        <v>9566</v>
      </c>
    </row>
    <row r="1752" spans="4:7" x14ac:dyDescent="0.3">
      <c r="D1752" s="65"/>
      <c r="E1752" s="65"/>
      <c r="F1752" s="46">
        <f t="shared" si="37"/>
        <v>615069</v>
      </c>
      <c r="G1752" s="388" t="s">
        <v>9566</v>
      </c>
    </row>
    <row r="1753" spans="4:7" x14ac:dyDescent="0.3">
      <c r="D1753" s="65"/>
      <c r="E1753" s="65"/>
      <c r="F1753" s="46">
        <f t="shared" si="37"/>
        <v>615069</v>
      </c>
      <c r="G1753" s="388" t="s">
        <v>9566</v>
      </c>
    </row>
    <row r="1754" spans="4:7" x14ac:dyDescent="0.3">
      <c r="D1754" s="65"/>
      <c r="E1754" s="65"/>
      <c r="F1754" s="46">
        <f t="shared" si="37"/>
        <v>615069</v>
      </c>
      <c r="G1754" s="388" t="s">
        <v>9566</v>
      </c>
    </row>
    <row r="1755" spans="4:7" x14ac:dyDescent="0.3">
      <c r="D1755" s="65"/>
      <c r="E1755" s="65"/>
      <c r="F1755" s="46">
        <f t="shared" si="37"/>
        <v>615069</v>
      </c>
      <c r="G1755" s="388" t="s">
        <v>9566</v>
      </c>
    </row>
    <row r="1756" spans="4:7" x14ac:dyDescent="0.3">
      <c r="D1756" s="65"/>
      <c r="E1756" s="65"/>
      <c r="F1756" s="46">
        <f t="shared" si="37"/>
        <v>615069</v>
      </c>
      <c r="G1756" s="388" t="s">
        <v>9566</v>
      </c>
    </row>
    <row r="1757" spans="4:7" x14ac:dyDescent="0.3">
      <c r="D1757" s="65"/>
      <c r="E1757" s="65"/>
      <c r="F1757" s="46">
        <f t="shared" si="37"/>
        <v>615069</v>
      </c>
      <c r="G1757" s="388" t="s">
        <v>9566</v>
      </c>
    </row>
    <row r="1758" spans="4:7" x14ac:dyDescent="0.3">
      <c r="D1758" s="65"/>
      <c r="E1758" s="65"/>
      <c r="F1758" s="46">
        <f t="shared" si="37"/>
        <v>615069</v>
      </c>
      <c r="G1758" s="388" t="s">
        <v>9566</v>
      </c>
    </row>
    <row r="1759" spans="4:7" x14ac:dyDescent="0.3">
      <c r="D1759" s="65"/>
      <c r="E1759" s="65"/>
      <c r="F1759" s="46">
        <f t="shared" si="37"/>
        <v>615069</v>
      </c>
      <c r="G1759" s="388" t="s">
        <v>9566</v>
      </c>
    </row>
    <row r="1760" spans="4:7" x14ac:dyDescent="0.3">
      <c r="D1760" s="65"/>
      <c r="E1760" s="65"/>
      <c r="F1760" s="46">
        <f t="shared" si="37"/>
        <v>615069</v>
      </c>
      <c r="G1760" s="388" t="s">
        <v>9566</v>
      </c>
    </row>
    <row r="1761" spans="4:7" x14ac:dyDescent="0.3">
      <c r="D1761" s="65"/>
      <c r="E1761" s="65"/>
      <c r="F1761" s="46">
        <f t="shared" si="37"/>
        <v>615069</v>
      </c>
      <c r="G1761" s="388" t="s">
        <v>9566</v>
      </c>
    </row>
    <row r="1762" spans="4:7" x14ac:dyDescent="0.3">
      <c r="D1762" s="65"/>
      <c r="E1762" s="65"/>
      <c r="F1762" s="46">
        <f t="shared" si="37"/>
        <v>615069</v>
      </c>
      <c r="G1762" s="388" t="s">
        <v>9566</v>
      </c>
    </row>
    <row r="1763" spans="4:7" x14ac:dyDescent="0.3">
      <c r="D1763" s="65"/>
      <c r="E1763" s="65"/>
      <c r="F1763" s="46">
        <f t="shared" si="37"/>
        <v>615069</v>
      </c>
      <c r="G1763" s="388" t="s">
        <v>9566</v>
      </c>
    </row>
    <row r="1764" spans="4:7" x14ac:dyDescent="0.3">
      <c r="D1764" s="65"/>
      <c r="E1764" s="65"/>
      <c r="F1764" s="46">
        <f t="shared" si="37"/>
        <v>615069</v>
      </c>
      <c r="G1764" s="388" t="s">
        <v>9566</v>
      </c>
    </row>
    <row r="1765" spans="4:7" x14ac:dyDescent="0.3">
      <c r="D1765" s="65"/>
      <c r="E1765" s="65"/>
      <c r="F1765" s="46">
        <f t="shared" si="37"/>
        <v>615069</v>
      </c>
      <c r="G1765" s="388" t="s">
        <v>9566</v>
      </c>
    </row>
    <row r="1766" spans="4:7" x14ac:dyDescent="0.3">
      <c r="D1766" s="65"/>
      <c r="E1766" s="65"/>
      <c r="F1766" s="46">
        <f t="shared" si="37"/>
        <v>615069</v>
      </c>
      <c r="G1766" s="388" t="s">
        <v>9566</v>
      </c>
    </row>
    <row r="1767" spans="4:7" x14ac:dyDescent="0.3">
      <c r="D1767" s="65"/>
      <c r="E1767" s="65"/>
      <c r="F1767" s="46">
        <f t="shared" si="37"/>
        <v>615069</v>
      </c>
      <c r="G1767" s="388" t="s">
        <v>9566</v>
      </c>
    </row>
    <row r="1768" spans="4:7" x14ac:dyDescent="0.3">
      <c r="D1768" s="65"/>
      <c r="E1768" s="65"/>
      <c r="F1768" s="46">
        <f t="shared" si="37"/>
        <v>615069</v>
      </c>
      <c r="G1768" s="388" t="s">
        <v>9566</v>
      </c>
    </row>
    <row r="1769" spans="4:7" x14ac:dyDescent="0.3">
      <c r="D1769" s="65"/>
      <c r="E1769" s="65"/>
      <c r="F1769" s="46">
        <f t="shared" si="37"/>
        <v>615069</v>
      </c>
      <c r="G1769" s="388" t="s">
        <v>9566</v>
      </c>
    </row>
    <row r="1770" spans="4:7" x14ac:dyDescent="0.3">
      <c r="D1770" s="65"/>
      <c r="E1770" s="65"/>
      <c r="F1770" s="46">
        <f t="shared" si="37"/>
        <v>615069</v>
      </c>
      <c r="G1770" s="388" t="s">
        <v>9566</v>
      </c>
    </row>
    <row r="1771" spans="4:7" x14ac:dyDescent="0.3">
      <c r="D1771" s="65"/>
      <c r="E1771" s="65"/>
      <c r="F1771" s="46">
        <f t="shared" si="37"/>
        <v>615069</v>
      </c>
      <c r="G1771" s="388" t="s">
        <v>9566</v>
      </c>
    </row>
    <row r="1772" spans="4:7" x14ac:dyDescent="0.3">
      <c r="D1772" s="65"/>
      <c r="E1772" s="65"/>
      <c r="F1772" s="46">
        <f t="shared" si="37"/>
        <v>615069</v>
      </c>
      <c r="G1772" s="388" t="s">
        <v>9566</v>
      </c>
    </row>
    <row r="1773" spans="4:7" x14ac:dyDescent="0.3">
      <c r="D1773" s="65"/>
      <c r="E1773" s="65"/>
      <c r="F1773" s="46">
        <f t="shared" si="37"/>
        <v>615069</v>
      </c>
      <c r="G1773" s="388" t="s">
        <v>9566</v>
      </c>
    </row>
    <row r="1774" spans="4:7" x14ac:dyDescent="0.3">
      <c r="D1774" s="65"/>
      <c r="E1774" s="65"/>
      <c r="F1774" s="46">
        <f t="shared" si="37"/>
        <v>615069</v>
      </c>
      <c r="G1774" s="388" t="s">
        <v>9566</v>
      </c>
    </row>
    <row r="1775" spans="4:7" x14ac:dyDescent="0.3">
      <c r="D1775" s="65"/>
      <c r="E1775" s="65"/>
      <c r="F1775" s="46">
        <f t="shared" si="37"/>
        <v>615069</v>
      </c>
      <c r="G1775" s="388" t="s">
        <v>9566</v>
      </c>
    </row>
    <row r="1776" spans="4:7" x14ac:dyDescent="0.3">
      <c r="D1776" s="65"/>
      <c r="E1776" s="65"/>
      <c r="F1776" s="46">
        <f t="shared" si="37"/>
        <v>615069</v>
      </c>
      <c r="G1776" s="388" t="s">
        <v>9566</v>
      </c>
    </row>
    <row r="1777" spans="4:7" x14ac:dyDescent="0.3">
      <c r="D1777" s="65"/>
      <c r="E1777" s="65"/>
      <c r="F1777" s="46">
        <f t="shared" si="37"/>
        <v>615069</v>
      </c>
      <c r="G1777" s="388" t="s">
        <v>9566</v>
      </c>
    </row>
    <row r="1778" spans="4:7" x14ac:dyDescent="0.3">
      <c r="D1778" s="65"/>
      <c r="E1778" s="65"/>
      <c r="F1778" s="46">
        <f t="shared" si="37"/>
        <v>615069</v>
      </c>
      <c r="G1778" s="388" t="s">
        <v>9566</v>
      </c>
    </row>
    <row r="1779" spans="4:7" x14ac:dyDescent="0.3">
      <c r="D1779" s="65"/>
      <c r="E1779" s="65"/>
      <c r="F1779" s="46">
        <f t="shared" si="37"/>
        <v>615069</v>
      </c>
      <c r="G1779" s="388" t="s">
        <v>9566</v>
      </c>
    </row>
    <row r="1780" spans="4:7" x14ac:dyDescent="0.3">
      <c r="D1780" s="65"/>
      <c r="E1780" s="65"/>
      <c r="F1780" s="46">
        <f t="shared" si="37"/>
        <v>615069</v>
      </c>
      <c r="G1780" s="388" t="s">
        <v>9566</v>
      </c>
    </row>
    <row r="1781" spans="4:7" x14ac:dyDescent="0.3">
      <c r="D1781" s="65"/>
      <c r="E1781" s="65"/>
      <c r="F1781" s="46">
        <f t="shared" si="37"/>
        <v>615069</v>
      </c>
      <c r="G1781" s="388" t="s">
        <v>9566</v>
      </c>
    </row>
    <row r="1782" spans="4:7" x14ac:dyDescent="0.3">
      <c r="D1782" s="65"/>
      <c r="E1782" s="65"/>
      <c r="F1782" s="46">
        <f t="shared" si="37"/>
        <v>615069</v>
      </c>
      <c r="G1782" s="388" t="s">
        <v>9566</v>
      </c>
    </row>
    <row r="1783" spans="4:7" x14ac:dyDescent="0.3">
      <c r="D1783" s="65"/>
      <c r="E1783" s="65"/>
      <c r="F1783" s="46">
        <f t="shared" si="37"/>
        <v>615069</v>
      </c>
      <c r="G1783" s="388" t="s">
        <v>9566</v>
      </c>
    </row>
    <row r="1784" spans="4:7" x14ac:dyDescent="0.3">
      <c r="D1784" s="65"/>
      <c r="E1784" s="65"/>
      <c r="F1784" s="46">
        <f t="shared" si="37"/>
        <v>615069</v>
      </c>
      <c r="G1784" s="388" t="s">
        <v>9566</v>
      </c>
    </row>
    <row r="1785" spans="4:7" x14ac:dyDescent="0.3">
      <c r="D1785" s="65"/>
      <c r="E1785" s="65"/>
      <c r="F1785" s="46">
        <f t="shared" si="37"/>
        <v>615069</v>
      </c>
      <c r="G1785" s="388" t="s">
        <v>9566</v>
      </c>
    </row>
    <row r="1786" spans="4:7" x14ac:dyDescent="0.3">
      <c r="D1786" s="65"/>
      <c r="E1786" s="65"/>
      <c r="F1786" s="46">
        <f t="shared" si="37"/>
        <v>615069</v>
      </c>
      <c r="G1786" s="388" t="s">
        <v>9566</v>
      </c>
    </row>
    <row r="1787" spans="4:7" x14ac:dyDescent="0.3">
      <c r="D1787" s="65"/>
      <c r="E1787" s="65"/>
      <c r="F1787" s="46">
        <f t="shared" si="37"/>
        <v>615069</v>
      </c>
      <c r="G1787" s="388" t="s">
        <v>9566</v>
      </c>
    </row>
    <row r="1788" spans="4:7" x14ac:dyDescent="0.3">
      <c r="D1788" s="65"/>
      <c r="E1788" s="65"/>
      <c r="F1788" s="46">
        <f t="shared" si="37"/>
        <v>615069</v>
      </c>
      <c r="G1788" s="388" t="s">
        <v>9566</v>
      </c>
    </row>
    <row r="1789" spans="4:7" x14ac:dyDescent="0.3">
      <c r="D1789" s="65"/>
      <c r="E1789" s="65"/>
      <c r="F1789" s="46">
        <f t="shared" si="37"/>
        <v>615069</v>
      </c>
      <c r="G1789" s="388" t="s">
        <v>9566</v>
      </c>
    </row>
    <row r="1790" spans="4:7" x14ac:dyDescent="0.3">
      <c r="D1790" s="65"/>
      <c r="E1790" s="65"/>
      <c r="F1790" s="46">
        <f t="shared" si="37"/>
        <v>615069</v>
      </c>
      <c r="G1790" s="388" t="s">
        <v>9566</v>
      </c>
    </row>
    <row r="1791" spans="4:7" x14ac:dyDescent="0.3">
      <c r="D1791" s="65"/>
      <c r="E1791" s="65"/>
      <c r="F1791" s="46">
        <f t="shared" si="37"/>
        <v>615069</v>
      </c>
      <c r="G1791" s="388" t="s">
        <v>9566</v>
      </c>
    </row>
    <row r="1792" spans="4:7" x14ac:dyDescent="0.3">
      <c r="D1792" s="65"/>
      <c r="E1792" s="65"/>
      <c r="F1792" s="46">
        <f t="shared" si="37"/>
        <v>615069</v>
      </c>
      <c r="G1792" s="388" t="s">
        <v>9566</v>
      </c>
    </row>
    <row r="1793" spans="4:7" x14ac:dyDescent="0.3">
      <c r="D1793" s="65"/>
      <c r="E1793" s="65"/>
      <c r="F1793" s="46">
        <f t="shared" si="37"/>
        <v>615069</v>
      </c>
      <c r="G1793" s="388" t="s">
        <v>9566</v>
      </c>
    </row>
    <row r="1794" spans="4:7" x14ac:dyDescent="0.3">
      <c r="D1794" s="65"/>
      <c r="E1794" s="65"/>
      <c r="F1794" s="46">
        <f t="shared" si="37"/>
        <v>615069</v>
      </c>
      <c r="G1794" s="388" t="s">
        <v>9566</v>
      </c>
    </row>
    <row r="1795" spans="4:7" x14ac:dyDescent="0.3">
      <c r="D1795" s="65"/>
      <c r="E1795" s="65"/>
      <c r="F1795" s="46">
        <f t="shared" si="37"/>
        <v>615069</v>
      </c>
      <c r="G1795" s="388" t="s">
        <v>9566</v>
      </c>
    </row>
    <row r="1796" spans="4:7" x14ac:dyDescent="0.3">
      <c r="D1796" s="65"/>
      <c r="E1796" s="65"/>
      <c r="F1796" s="46">
        <f t="shared" si="37"/>
        <v>615069</v>
      </c>
      <c r="G1796" s="388" t="s">
        <v>9566</v>
      </c>
    </row>
    <row r="1797" spans="4:7" x14ac:dyDescent="0.3">
      <c r="D1797" s="65"/>
      <c r="E1797" s="65"/>
      <c r="F1797" s="46">
        <f t="shared" si="37"/>
        <v>615069</v>
      </c>
      <c r="G1797" s="388" t="s">
        <v>9566</v>
      </c>
    </row>
    <row r="1798" spans="4:7" x14ac:dyDescent="0.3">
      <c r="D1798" s="65"/>
      <c r="E1798" s="65"/>
      <c r="F1798" s="46">
        <f t="shared" si="37"/>
        <v>615069</v>
      </c>
      <c r="G1798" s="388" t="s">
        <v>9566</v>
      </c>
    </row>
    <row r="1799" spans="4:7" x14ac:dyDescent="0.3">
      <c r="D1799" s="65"/>
      <c r="E1799" s="65"/>
      <c r="F1799" s="46">
        <f t="shared" si="37"/>
        <v>615069</v>
      </c>
      <c r="G1799" s="388" t="s">
        <v>9566</v>
      </c>
    </row>
    <row r="1800" spans="4:7" x14ac:dyDescent="0.3">
      <c r="D1800" s="65"/>
      <c r="E1800" s="65"/>
      <c r="F1800" s="46">
        <f t="shared" si="37"/>
        <v>615069</v>
      </c>
      <c r="G1800" s="388" t="s">
        <v>9566</v>
      </c>
    </row>
    <row r="1801" spans="4:7" x14ac:dyDescent="0.3">
      <c r="D1801" s="65"/>
      <c r="E1801" s="65"/>
      <c r="F1801" s="46">
        <f t="shared" si="37"/>
        <v>615069</v>
      </c>
      <c r="G1801" s="388" t="s">
        <v>9566</v>
      </c>
    </row>
    <row r="1802" spans="4:7" x14ac:dyDescent="0.3">
      <c r="D1802" s="65"/>
      <c r="E1802" s="65"/>
      <c r="F1802" s="46">
        <f t="shared" si="37"/>
        <v>615069</v>
      </c>
      <c r="G1802" s="388" t="s">
        <v>9566</v>
      </c>
    </row>
    <row r="1803" spans="4:7" x14ac:dyDescent="0.3">
      <c r="D1803" s="65"/>
      <c r="E1803" s="65"/>
      <c r="F1803" s="46">
        <f t="shared" si="37"/>
        <v>615069</v>
      </c>
      <c r="G1803" s="388" t="s">
        <v>9566</v>
      </c>
    </row>
    <row r="1804" spans="4:7" x14ac:dyDescent="0.3">
      <c r="D1804" s="65"/>
      <c r="E1804" s="65"/>
      <c r="F1804" s="46">
        <f t="shared" si="37"/>
        <v>615069</v>
      </c>
      <c r="G1804" s="388" t="s">
        <v>9566</v>
      </c>
    </row>
    <row r="1805" spans="4:7" x14ac:dyDescent="0.3">
      <c r="D1805" s="65"/>
      <c r="E1805" s="65"/>
      <c r="F1805" s="46">
        <f t="shared" si="37"/>
        <v>615069</v>
      </c>
      <c r="G1805" s="388" t="s">
        <v>9566</v>
      </c>
    </row>
    <row r="1806" spans="4:7" x14ac:dyDescent="0.3">
      <c r="D1806" s="65"/>
      <c r="E1806" s="65"/>
      <c r="F1806" s="46">
        <f t="shared" si="37"/>
        <v>615069</v>
      </c>
      <c r="G1806" s="388" t="s">
        <v>9566</v>
      </c>
    </row>
    <row r="1807" spans="4:7" x14ac:dyDescent="0.3">
      <c r="D1807" s="65"/>
      <c r="E1807" s="65"/>
      <c r="F1807" s="46">
        <f t="shared" si="37"/>
        <v>615069</v>
      </c>
      <c r="G1807" s="388" t="s">
        <v>9566</v>
      </c>
    </row>
    <row r="1808" spans="4:7" x14ac:dyDescent="0.3">
      <c r="D1808" s="65"/>
      <c r="E1808" s="65"/>
      <c r="F1808" s="46">
        <f t="shared" si="37"/>
        <v>615069</v>
      </c>
      <c r="G1808" s="388" t="s">
        <v>9566</v>
      </c>
    </row>
    <row r="1809" spans="4:7" x14ac:dyDescent="0.3">
      <c r="D1809" s="65"/>
      <c r="E1809" s="65"/>
      <c r="F1809" s="46">
        <f t="shared" si="37"/>
        <v>615069</v>
      </c>
      <c r="G1809" s="388" t="s">
        <v>9566</v>
      </c>
    </row>
    <row r="1810" spans="4:7" x14ac:dyDescent="0.3">
      <c r="D1810" s="65"/>
      <c r="E1810" s="65"/>
      <c r="F1810" s="46">
        <f t="shared" ref="F1810:F1873" si="38">F1809+E1810-D1810</f>
        <v>615069</v>
      </c>
      <c r="G1810" s="388" t="s">
        <v>9566</v>
      </c>
    </row>
    <row r="1811" spans="4:7" x14ac:dyDescent="0.3">
      <c r="D1811" s="65"/>
      <c r="E1811" s="65"/>
      <c r="F1811" s="46">
        <f t="shared" si="38"/>
        <v>615069</v>
      </c>
      <c r="G1811" s="388" t="s">
        <v>9566</v>
      </c>
    </row>
    <row r="1812" spans="4:7" x14ac:dyDescent="0.3">
      <c r="D1812" s="65"/>
      <c r="E1812" s="65"/>
      <c r="F1812" s="46">
        <f t="shared" si="38"/>
        <v>615069</v>
      </c>
      <c r="G1812" s="388" t="s">
        <v>9566</v>
      </c>
    </row>
    <row r="1813" spans="4:7" x14ac:dyDescent="0.3">
      <c r="D1813" s="65"/>
      <c r="E1813" s="65"/>
      <c r="F1813" s="46">
        <f t="shared" si="38"/>
        <v>615069</v>
      </c>
      <c r="G1813" s="388" t="s">
        <v>9566</v>
      </c>
    </row>
    <row r="1814" spans="4:7" x14ac:dyDescent="0.3">
      <c r="D1814" s="65"/>
      <c r="E1814" s="65"/>
      <c r="F1814" s="46">
        <f t="shared" si="38"/>
        <v>615069</v>
      </c>
      <c r="G1814" s="388" t="s">
        <v>9566</v>
      </c>
    </row>
    <row r="1815" spans="4:7" x14ac:dyDescent="0.3">
      <c r="D1815" s="65"/>
      <c r="E1815" s="65"/>
      <c r="F1815" s="46">
        <f t="shared" si="38"/>
        <v>615069</v>
      </c>
      <c r="G1815" s="388" t="s">
        <v>9566</v>
      </c>
    </row>
    <row r="1816" spans="4:7" x14ac:dyDescent="0.3">
      <c r="D1816" s="65"/>
      <c r="E1816" s="65"/>
      <c r="F1816" s="46">
        <f t="shared" si="38"/>
        <v>615069</v>
      </c>
      <c r="G1816" s="388" t="s">
        <v>9566</v>
      </c>
    </row>
    <row r="1817" spans="4:7" x14ac:dyDescent="0.3">
      <c r="D1817" s="65"/>
      <c r="E1817" s="65"/>
      <c r="F1817" s="46">
        <f t="shared" si="38"/>
        <v>615069</v>
      </c>
      <c r="G1817" s="388" t="s">
        <v>9566</v>
      </c>
    </row>
    <row r="1818" spans="4:7" x14ac:dyDescent="0.3">
      <c r="D1818" s="65"/>
      <c r="E1818" s="65"/>
      <c r="F1818" s="46">
        <f t="shared" si="38"/>
        <v>615069</v>
      </c>
      <c r="G1818" s="388" t="s">
        <v>9566</v>
      </c>
    </row>
    <row r="1819" spans="4:7" x14ac:dyDescent="0.3">
      <c r="D1819" s="65"/>
      <c r="E1819" s="65"/>
      <c r="F1819" s="46">
        <f t="shared" si="38"/>
        <v>615069</v>
      </c>
      <c r="G1819" s="388" t="s">
        <v>9566</v>
      </c>
    </row>
    <row r="1820" spans="4:7" x14ac:dyDescent="0.3">
      <c r="D1820" s="65"/>
      <c r="E1820" s="65"/>
      <c r="F1820" s="46">
        <f t="shared" si="38"/>
        <v>615069</v>
      </c>
      <c r="G1820" s="388" t="s">
        <v>9566</v>
      </c>
    </row>
    <row r="1821" spans="4:7" x14ac:dyDescent="0.3">
      <c r="D1821" s="65"/>
      <c r="E1821" s="65"/>
      <c r="F1821" s="46">
        <f t="shared" si="38"/>
        <v>615069</v>
      </c>
      <c r="G1821" s="388" t="s">
        <v>9566</v>
      </c>
    </row>
    <row r="1822" spans="4:7" x14ac:dyDescent="0.3">
      <c r="D1822" s="65"/>
      <c r="E1822" s="65"/>
      <c r="F1822" s="46">
        <f t="shared" si="38"/>
        <v>615069</v>
      </c>
      <c r="G1822" s="388" t="s">
        <v>9566</v>
      </c>
    </row>
    <row r="1823" spans="4:7" x14ac:dyDescent="0.3">
      <c r="D1823" s="65"/>
      <c r="E1823" s="65"/>
      <c r="F1823" s="46">
        <f t="shared" si="38"/>
        <v>615069</v>
      </c>
      <c r="G1823" s="388" t="s">
        <v>9566</v>
      </c>
    </row>
    <row r="1824" spans="4:7" x14ac:dyDescent="0.3">
      <c r="D1824" s="65"/>
      <c r="E1824" s="65"/>
      <c r="F1824" s="46">
        <f t="shared" si="38"/>
        <v>615069</v>
      </c>
      <c r="G1824" s="388" t="s">
        <v>9566</v>
      </c>
    </row>
    <row r="1825" spans="4:7" x14ac:dyDescent="0.3">
      <c r="D1825" s="65"/>
      <c r="E1825" s="65"/>
      <c r="F1825" s="46">
        <f t="shared" si="38"/>
        <v>615069</v>
      </c>
      <c r="G1825" s="388" t="s">
        <v>9566</v>
      </c>
    </row>
    <row r="1826" spans="4:7" x14ac:dyDescent="0.3">
      <c r="D1826" s="65"/>
      <c r="E1826" s="65"/>
      <c r="F1826" s="46">
        <f t="shared" si="38"/>
        <v>615069</v>
      </c>
      <c r="G1826" s="388" t="s">
        <v>9566</v>
      </c>
    </row>
    <row r="1827" spans="4:7" x14ac:dyDescent="0.3">
      <c r="D1827" s="65"/>
      <c r="E1827" s="65"/>
      <c r="F1827" s="46">
        <f t="shared" si="38"/>
        <v>615069</v>
      </c>
      <c r="G1827" s="388" t="s">
        <v>9566</v>
      </c>
    </row>
    <row r="1828" spans="4:7" x14ac:dyDescent="0.3">
      <c r="D1828" s="65"/>
      <c r="E1828" s="65"/>
      <c r="F1828" s="46">
        <f t="shared" si="38"/>
        <v>615069</v>
      </c>
      <c r="G1828" s="388" t="s">
        <v>9566</v>
      </c>
    </row>
    <row r="1829" spans="4:7" x14ac:dyDescent="0.3">
      <c r="D1829" s="65"/>
      <c r="E1829" s="65"/>
      <c r="F1829" s="46">
        <f t="shared" si="38"/>
        <v>615069</v>
      </c>
      <c r="G1829" s="388" t="s">
        <v>9566</v>
      </c>
    </row>
    <row r="1830" spans="4:7" x14ac:dyDescent="0.3">
      <c r="D1830" s="65"/>
      <c r="E1830" s="65"/>
      <c r="F1830" s="46">
        <f t="shared" si="38"/>
        <v>615069</v>
      </c>
      <c r="G1830" s="388" t="s">
        <v>9566</v>
      </c>
    </row>
    <row r="1831" spans="4:7" x14ac:dyDescent="0.3">
      <c r="D1831" s="65"/>
      <c r="E1831" s="65"/>
      <c r="F1831" s="46">
        <f t="shared" si="38"/>
        <v>615069</v>
      </c>
      <c r="G1831" s="388" t="s">
        <v>9566</v>
      </c>
    </row>
    <row r="1832" spans="4:7" x14ac:dyDescent="0.3">
      <c r="D1832" s="65"/>
      <c r="E1832" s="65"/>
      <c r="F1832" s="46">
        <f t="shared" si="38"/>
        <v>615069</v>
      </c>
      <c r="G1832" s="388" t="s">
        <v>9566</v>
      </c>
    </row>
    <row r="1833" spans="4:7" x14ac:dyDescent="0.3">
      <c r="D1833" s="65"/>
      <c r="E1833" s="65"/>
      <c r="F1833" s="46">
        <f t="shared" si="38"/>
        <v>615069</v>
      </c>
      <c r="G1833" s="388" t="s">
        <v>9566</v>
      </c>
    </row>
    <row r="1834" spans="4:7" x14ac:dyDescent="0.3">
      <c r="D1834" s="65"/>
      <c r="E1834" s="65"/>
      <c r="F1834" s="46">
        <f t="shared" si="38"/>
        <v>615069</v>
      </c>
      <c r="G1834" s="388" t="s">
        <v>9566</v>
      </c>
    </row>
    <row r="1835" spans="4:7" x14ac:dyDescent="0.3">
      <c r="D1835" s="65"/>
      <c r="E1835" s="65"/>
      <c r="F1835" s="46">
        <f t="shared" si="38"/>
        <v>615069</v>
      </c>
      <c r="G1835" s="388" t="s">
        <v>9566</v>
      </c>
    </row>
    <row r="1836" spans="4:7" x14ac:dyDescent="0.3">
      <c r="D1836" s="65"/>
      <c r="E1836" s="65"/>
      <c r="F1836" s="46">
        <f t="shared" si="38"/>
        <v>615069</v>
      </c>
      <c r="G1836" s="388" t="s">
        <v>9566</v>
      </c>
    </row>
    <row r="1837" spans="4:7" x14ac:dyDescent="0.3">
      <c r="D1837" s="65"/>
      <c r="E1837" s="65"/>
      <c r="F1837" s="46">
        <f t="shared" si="38"/>
        <v>615069</v>
      </c>
      <c r="G1837" s="388" t="s">
        <v>9566</v>
      </c>
    </row>
    <row r="1838" spans="4:7" x14ac:dyDescent="0.3">
      <c r="D1838" s="65"/>
      <c r="E1838" s="65"/>
      <c r="F1838" s="46">
        <f t="shared" si="38"/>
        <v>615069</v>
      </c>
      <c r="G1838" s="388" t="s">
        <v>9566</v>
      </c>
    </row>
    <row r="1839" spans="4:7" x14ac:dyDescent="0.3">
      <c r="D1839" s="65"/>
      <c r="E1839" s="65"/>
      <c r="F1839" s="46">
        <f t="shared" si="38"/>
        <v>615069</v>
      </c>
      <c r="G1839" s="388" t="s">
        <v>9566</v>
      </c>
    </row>
    <row r="1840" spans="4:7" x14ac:dyDescent="0.3">
      <c r="D1840" s="65"/>
      <c r="E1840" s="65"/>
      <c r="F1840" s="46">
        <f t="shared" si="38"/>
        <v>615069</v>
      </c>
      <c r="G1840" s="388" t="s">
        <v>9566</v>
      </c>
    </row>
    <row r="1841" spans="4:7" x14ac:dyDescent="0.3">
      <c r="D1841" s="65"/>
      <c r="E1841" s="65"/>
      <c r="F1841" s="46">
        <f t="shared" si="38"/>
        <v>615069</v>
      </c>
      <c r="G1841" s="388" t="s">
        <v>9566</v>
      </c>
    </row>
    <row r="1842" spans="4:7" x14ac:dyDescent="0.3">
      <c r="D1842" s="65"/>
      <c r="E1842" s="65"/>
      <c r="F1842" s="46">
        <f t="shared" si="38"/>
        <v>615069</v>
      </c>
      <c r="G1842" s="388" t="s">
        <v>9566</v>
      </c>
    </row>
    <row r="1843" spans="4:7" x14ac:dyDescent="0.3">
      <c r="D1843" s="65"/>
      <c r="E1843" s="65"/>
      <c r="F1843" s="46">
        <f t="shared" si="38"/>
        <v>615069</v>
      </c>
      <c r="G1843" s="388" t="s">
        <v>9566</v>
      </c>
    </row>
    <row r="1844" spans="4:7" x14ac:dyDescent="0.3">
      <c r="D1844" s="65"/>
      <c r="E1844" s="65"/>
      <c r="F1844" s="46">
        <f t="shared" si="38"/>
        <v>615069</v>
      </c>
      <c r="G1844" s="388" t="s">
        <v>9566</v>
      </c>
    </row>
    <row r="1845" spans="4:7" x14ac:dyDescent="0.3">
      <c r="D1845" s="65"/>
      <c r="E1845" s="65"/>
      <c r="F1845" s="46">
        <f t="shared" si="38"/>
        <v>615069</v>
      </c>
      <c r="G1845" s="388" t="s">
        <v>9566</v>
      </c>
    </row>
    <row r="1846" spans="4:7" x14ac:dyDescent="0.3">
      <c r="D1846" s="65"/>
      <c r="E1846" s="65"/>
      <c r="F1846" s="46">
        <f t="shared" si="38"/>
        <v>615069</v>
      </c>
      <c r="G1846" s="388" t="s">
        <v>9566</v>
      </c>
    </row>
    <row r="1847" spans="4:7" x14ac:dyDescent="0.3">
      <c r="D1847" s="65"/>
      <c r="E1847" s="65"/>
      <c r="F1847" s="46">
        <f t="shared" si="38"/>
        <v>615069</v>
      </c>
      <c r="G1847" s="388" t="s">
        <v>9566</v>
      </c>
    </row>
    <row r="1848" spans="4:7" x14ac:dyDescent="0.3">
      <c r="D1848" s="65"/>
      <c r="E1848" s="65"/>
      <c r="F1848" s="46">
        <f t="shared" si="38"/>
        <v>615069</v>
      </c>
      <c r="G1848" s="388" t="s">
        <v>9566</v>
      </c>
    </row>
    <row r="1849" spans="4:7" x14ac:dyDescent="0.3">
      <c r="D1849" s="65"/>
      <c r="E1849" s="65"/>
      <c r="F1849" s="46">
        <f t="shared" si="38"/>
        <v>615069</v>
      </c>
      <c r="G1849" s="388" t="s">
        <v>9566</v>
      </c>
    </row>
    <row r="1850" spans="4:7" x14ac:dyDescent="0.3">
      <c r="D1850" s="65"/>
      <c r="E1850" s="65"/>
      <c r="F1850" s="46">
        <f t="shared" si="38"/>
        <v>615069</v>
      </c>
      <c r="G1850" s="388" t="s">
        <v>9566</v>
      </c>
    </row>
    <row r="1851" spans="4:7" x14ac:dyDescent="0.3">
      <c r="D1851" s="65"/>
      <c r="E1851" s="65"/>
      <c r="F1851" s="46">
        <f t="shared" si="38"/>
        <v>615069</v>
      </c>
      <c r="G1851" s="388" t="s">
        <v>9566</v>
      </c>
    </row>
    <row r="1852" spans="4:7" x14ac:dyDescent="0.3">
      <c r="D1852" s="65"/>
      <c r="E1852" s="65"/>
      <c r="F1852" s="46">
        <f t="shared" si="38"/>
        <v>615069</v>
      </c>
      <c r="G1852" s="388" t="s">
        <v>9566</v>
      </c>
    </row>
    <row r="1853" spans="4:7" x14ac:dyDescent="0.3">
      <c r="D1853" s="65"/>
      <c r="E1853" s="65"/>
      <c r="F1853" s="46">
        <f t="shared" si="38"/>
        <v>615069</v>
      </c>
      <c r="G1853" s="388" t="s">
        <v>9566</v>
      </c>
    </row>
    <row r="1854" spans="4:7" x14ac:dyDescent="0.3">
      <c r="D1854" s="65"/>
      <c r="E1854" s="65"/>
      <c r="F1854" s="46">
        <f t="shared" si="38"/>
        <v>615069</v>
      </c>
      <c r="G1854" s="388" t="s">
        <v>9566</v>
      </c>
    </row>
    <row r="1855" spans="4:7" x14ac:dyDescent="0.3">
      <c r="D1855" s="65"/>
      <c r="E1855" s="65"/>
      <c r="F1855" s="46">
        <f t="shared" si="38"/>
        <v>615069</v>
      </c>
      <c r="G1855" s="388" t="s">
        <v>9566</v>
      </c>
    </row>
    <row r="1856" spans="4:7" x14ac:dyDescent="0.3">
      <c r="D1856" s="65"/>
      <c r="E1856" s="65"/>
      <c r="F1856" s="46">
        <f t="shared" si="38"/>
        <v>615069</v>
      </c>
      <c r="G1856" s="388" t="s">
        <v>9566</v>
      </c>
    </row>
    <row r="1857" spans="4:7" x14ac:dyDescent="0.3">
      <c r="D1857" s="65"/>
      <c r="E1857" s="65"/>
      <c r="F1857" s="46">
        <f t="shared" si="38"/>
        <v>615069</v>
      </c>
      <c r="G1857" s="388" t="s">
        <v>9566</v>
      </c>
    </row>
    <row r="1858" spans="4:7" x14ac:dyDescent="0.3">
      <c r="F1858" s="46">
        <f t="shared" si="38"/>
        <v>615069</v>
      </c>
      <c r="G1858" s="388" t="s">
        <v>9566</v>
      </c>
    </row>
    <row r="1859" spans="4:7" x14ac:dyDescent="0.3">
      <c r="F1859" s="46">
        <f t="shared" si="38"/>
        <v>615069</v>
      </c>
      <c r="G1859" s="388" t="s">
        <v>9566</v>
      </c>
    </row>
    <row r="1860" spans="4:7" x14ac:dyDescent="0.3">
      <c r="F1860" s="46">
        <f t="shared" si="38"/>
        <v>615069</v>
      </c>
      <c r="G1860" s="388" t="s">
        <v>9566</v>
      </c>
    </row>
    <row r="1861" spans="4:7" x14ac:dyDescent="0.3">
      <c r="F1861" s="46">
        <f t="shared" si="38"/>
        <v>615069</v>
      </c>
      <c r="G1861" s="388" t="s">
        <v>9566</v>
      </c>
    </row>
    <row r="1862" spans="4:7" x14ac:dyDescent="0.3">
      <c r="F1862" s="46">
        <f t="shared" si="38"/>
        <v>615069</v>
      </c>
      <c r="G1862" s="388" t="s">
        <v>9566</v>
      </c>
    </row>
    <row r="1863" spans="4:7" x14ac:dyDescent="0.3">
      <c r="F1863" s="46">
        <f t="shared" si="38"/>
        <v>615069</v>
      </c>
      <c r="G1863" s="388" t="s">
        <v>9566</v>
      </c>
    </row>
    <row r="1864" spans="4:7" x14ac:dyDescent="0.3">
      <c r="F1864" s="46">
        <f t="shared" si="38"/>
        <v>615069</v>
      </c>
      <c r="G1864" s="388" t="s">
        <v>9566</v>
      </c>
    </row>
    <row r="1865" spans="4:7" x14ac:dyDescent="0.3">
      <c r="F1865" s="46">
        <f t="shared" si="38"/>
        <v>615069</v>
      </c>
      <c r="G1865" s="388" t="s">
        <v>9566</v>
      </c>
    </row>
    <row r="1866" spans="4:7" x14ac:dyDescent="0.3">
      <c r="F1866" s="46">
        <f t="shared" si="38"/>
        <v>615069</v>
      </c>
      <c r="G1866" s="388" t="s">
        <v>9566</v>
      </c>
    </row>
    <row r="1867" spans="4:7" x14ac:dyDescent="0.3">
      <c r="F1867" s="46">
        <f t="shared" si="38"/>
        <v>615069</v>
      </c>
      <c r="G1867" s="388" t="s">
        <v>9566</v>
      </c>
    </row>
    <row r="1868" spans="4:7" x14ac:dyDescent="0.3">
      <c r="F1868" s="46">
        <f t="shared" si="38"/>
        <v>615069</v>
      </c>
      <c r="G1868" s="388" t="s">
        <v>9566</v>
      </c>
    </row>
    <row r="1869" spans="4:7" x14ac:dyDescent="0.3">
      <c r="F1869" s="46">
        <f t="shared" si="38"/>
        <v>615069</v>
      </c>
      <c r="G1869" s="388" t="s">
        <v>9566</v>
      </c>
    </row>
    <row r="1870" spans="4:7" x14ac:dyDescent="0.3">
      <c r="F1870" s="46">
        <f t="shared" si="38"/>
        <v>615069</v>
      </c>
      <c r="G1870" s="388" t="s">
        <v>9566</v>
      </c>
    </row>
    <row r="1871" spans="4:7" x14ac:dyDescent="0.3">
      <c r="F1871" s="46">
        <f t="shared" si="38"/>
        <v>615069</v>
      </c>
      <c r="G1871" s="388" t="s">
        <v>9566</v>
      </c>
    </row>
    <row r="1872" spans="4:7" x14ac:dyDescent="0.3">
      <c r="F1872" s="46">
        <f t="shared" si="38"/>
        <v>615069</v>
      </c>
      <c r="G1872" s="388" t="s">
        <v>9566</v>
      </c>
    </row>
    <row r="1873" spans="6:7" x14ac:dyDescent="0.3">
      <c r="F1873" s="46">
        <f t="shared" si="38"/>
        <v>615069</v>
      </c>
      <c r="G1873" s="388" t="s">
        <v>9566</v>
      </c>
    </row>
    <row r="1874" spans="6:7" x14ac:dyDescent="0.3">
      <c r="F1874" s="46">
        <f t="shared" ref="F1874:F1937" si="39">F1873+E1874-D1874</f>
        <v>615069</v>
      </c>
      <c r="G1874" s="388" t="s">
        <v>9566</v>
      </c>
    </row>
    <row r="1875" spans="6:7" x14ac:dyDescent="0.3">
      <c r="F1875" s="46">
        <f t="shared" si="39"/>
        <v>615069</v>
      </c>
      <c r="G1875" s="388" t="s">
        <v>9566</v>
      </c>
    </row>
    <row r="1876" spans="6:7" x14ac:dyDescent="0.3">
      <c r="F1876" s="46">
        <f t="shared" si="39"/>
        <v>615069</v>
      </c>
      <c r="G1876" s="388" t="s">
        <v>9566</v>
      </c>
    </row>
    <row r="1877" spans="6:7" x14ac:dyDescent="0.3">
      <c r="F1877" s="46">
        <f t="shared" si="39"/>
        <v>615069</v>
      </c>
      <c r="G1877" s="388" t="s">
        <v>9566</v>
      </c>
    </row>
    <row r="1878" spans="6:7" x14ac:dyDescent="0.3">
      <c r="F1878" s="46">
        <f t="shared" si="39"/>
        <v>615069</v>
      </c>
      <c r="G1878" s="388" t="s">
        <v>9566</v>
      </c>
    </row>
    <row r="1879" spans="6:7" x14ac:dyDescent="0.3">
      <c r="F1879" s="46">
        <f t="shared" si="39"/>
        <v>615069</v>
      </c>
      <c r="G1879" s="388" t="s">
        <v>9566</v>
      </c>
    </row>
    <row r="1880" spans="6:7" x14ac:dyDescent="0.3">
      <c r="F1880" s="46">
        <f t="shared" si="39"/>
        <v>615069</v>
      </c>
      <c r="G1880" s="388" t="s">
        <v>9566</v>
      </c>
    </row>
    <row r="1881" spans="6:7" x14ac:dyDescent="0.3">
      <c r="F1881" s="46">
        <f t="shared" si="39"/>
        <v>615069</v>
      </c>
      <c r="G1881" s="388" t="s">
        <v>9566</v>
      </c>
    </row>
    <row r="1882" spans="6:7" x14ac:dyDescent="0.3">
      <c r="F1882" s="46">
        <f t="shared" si="39"/>
        <v>615069</v>
      </c>
      <c r="G1882" s="388" t="s">
        <v>9566</v>
      </c>
    </row>
    <row r="1883" spans="6:7" x14ac:dyDescent="0.3">
      <c r="F1883" s="46">
        <f t="shared" si="39"/>
        <v>615069</v>
      </c>
      <c r="G1883" s="388" t="s">
        <v>9566</v>
      </c>
    </row>
    <row r="1884" spans="6:7" x14ac:dyDescent="0.3">
      <c r="F1884" s="46">
        <f t="shared" si="39"/>
        <v>615069</v>
      </c>
      <c r="G1884" s="388" t="s">
        <v>9566</v>
      </c>
    </row>
    <row r="1885" spans="6:7" x14ac:dyDescent="0.3">
      <c r="F1885" s="46">
        <f t="shared" si="39"/>
        <v>615069</v>
      </c>
      <c r="G1885" s="388" t="s">
        <v>9566</v>
      </c>
    </row>
    <row r="1886" spans="6:7" x14ac:dyDescent="0.3">
      <c r="F1886" s="46">
        <f t="shared" si="39"/>
        <v>615069</v>
      </c>
      <c r="G1886" s="388" t="s">
        <v>9566</v>
      </c>
    </row>
    <row r="1887" spans="6:7" x14ac:dyDescent="0.3">
      <c r="F1887" s="46">
        <f t="shared" si="39"/>
        <v>615069</v>
      </c>
      <c r="G1887" s="388" t="s">
        <v>9566</v>
      </c>
    </row>
    <row r="1888" spans="6:7" x14ac:dyDescent="0.3">
      <c r="F1888" s="46">
        <f t="shared" si="39"/>
        <v>615069</v>
      </c>
      <c r="G1888" s="388" t="s">
        <v>9566</v>
      </c>
    </row>
    <row r="1889" spans="6:7" x14ac:dyDescent="0.3">
      <c r="F1889" s="46">
        <f t="shared" si="39"/>
        <v>615069</v>
      </c>
      <c r="G1889" s="388" t="s">
        <v>9566</v>
      </c>
    </row>
    <row r="1890" spans="6:7" x14ac:dyDescent="0.3">
      <c r="F1890" s="46">
        <f t="shared" si="39"/>
        <v>615069</v>
      </c>
      <c r="G1890" s="388" t="s">
        <v>9566</v>
      </c>
    </row>
    <row r="1891" spans="6:7" x14ac:dyDescent="0.3">
      <c r="F1891" s="46">
        <f t="shared" si="39"/>
        <v>615069</v>
      </c>
      <c r="G1891" s="388" t="s">
        <v>9566</v>
      </c>
    </row>
    <row r="1892" spans="6:7" x14ac:dyDescent="0.3">
      <c r="F1892" s="46">
        <f t="shared" si="39"/>
        <v>615069</v>
      </c>
      <c r="G1892" s="388" t="s">
        <v>9566</v>
      </c>
    </row>
    <row r="1893" spans="6:7" x14ac:dyDescent="0.3">
      <c r="F1893" s="46">
        <f t="shared" si="39"/>
        <v>615069</v>
      </c>
      <c r="G1893" s="388" t="s">
        <v>9566</v>
      </c>
    </row>
    <row r="1894" spans="6:7" x14ac:dyDescent="0.3">
      <c r="F1894" s="46">
        <f t="shared" si="39"/>
        <v>615069</v>
      </c>
      <c r="G1894" s="388" t="s">
        <v>9566</v>
      </c>
    </row>
    <row r="1895" spans="6:7" x14ac:dyDescent="0.3">
      <c r="F1895" s="46">
        <f t="shared" si="39"/>
        <v>615069</v>
      </c>
      <c r="G1895" s="388" t="s">
        <v>9566</v>
      </c>
    </row>
    <row r="1896" spans="6:7" x14ac:dyDescent="0.3">
      <c r="F1896" s="46">
        <f t="shared" si="39"/>
        <v>615069</v>
      </c>
      <c r="G1896" s="388" t="s">
        <v>9566</v>
      </c>
    </row>
    <row r="1897" spans="6:7" x14ac:dyDescent="0.3">
      <c r="F1897" s="46">
        <f t="shared" si="39"/>
        <v>615069</v>
      </c>
      <c r="G1897" s="388" t="s">
        <v>9566</v>
      </c>
    </row>
    <row r="1898" spans="6:7" x14ac:dyDescent="0.3">
      <c r="F1898" s="46">
        <f t="shared" si="39"/>
        <v>615069</v>
      </c>
      <c r="G1898" s="388" t="s">
        <v>9566</v>
      </c>
    </row>
    <row r="1899" spans="6:7" x14ac:dyDescent="0.3">
      <c r="F1899" s="46">
        <f t="shared" si="39"/>
        <v>615069</v>
      </c>
      <c r="G1899" s="388" t="s">
        <v>9566</v>
      </c>
    </row>
    <row r="1900" spans="6:7" x14ac:dyDescent="0.3">
      <c r="F1900" s="46">
        <f t="shared" si="39"/>
        <v>615069</v>
      </c>
      <c r="G1900" s="388" t="s">
        <v>9566</v>
      </c>
    </row>
    <row r="1901" spans="6:7" x14ac:dyDescent="0.3">
      <c r="F1901" s="46">
        <f t="shared" si="39"/>
        <v>615069</v>
      </c>
      <c r="G1901" s="388" t="s">
        <v>9566</v>
      </c>
    </row>
    <row r="1902" spans="6:7" x14ac:dyDescent="0.3">
      <c r="F1902" s="46">
        <f t="shared" si="39"/>
        <v>615069</v>
      </c>
      <c r="G1902" s="388" t="s">
        <v>9566</v>
      </c>
    </row>
    <row r="1903" spans="6:7" x14ac:dyDescent="0.3">
      <c r="F1903" s="46">
        <f t="shared" si="39"/>
        <v>615069</v>
      </c>
      <c r="G1903" s="388" t="s">
        <v>9566</v>
      </c>
    </row>
    <row r="1904" spans="6:7" x14ac:dyDescent="0.3">
      <c r="F1904" s="46">
        <f t="shared" si="39"/>
        <v>615069</v>
      </c>
      <c r="G1904" s="388" t="s">
        <v>9566</v>
      </c>
    </row>
    <row r="1905" spans="6:7" x14ac:dyDescent="0.3">
      <c r="F1905" s="46">
        <f t="shared" si="39"/>
        <v>615069</v>
      </c>
      <c r="G1905" s="388" t="s">
        <v>9566</v>
      </c>
    </row>
    <row r="1906" spans="6:7" x14ac:dyDescent="0.3">
      <c r="F1906" s="46">
        <f t="shared" si="39"/>
        <v>615069</v>
      </c>
      <c r="G1906" s="388" t="s">
        <v>9566</v>
      </c>
    </row>
    <row r="1907" spans="6:7" x14ac:dyDescent="0.3">
      <c r="F1907" s="46">
        <f t="shared" si="39"/>
        <v>615069</v>
      </c>
      <c r="G1907" s="388" t="s">
        <v>9566</v>
      </c>
    </row>
    <row r="1908" spans="6:7" x14ac:dyDescent="0.3">
      <c r="F1908" s="46">
        <f t="shared" si="39"/>
        <v>615069</v>
      </c>
      <c r="G1908" s="388" t="s">
        <v>9566</v>
      </c>
    </row>
    <row r="1909" spans="6:7" x14ac:dyDescent="0.3">
      <c r="F1909" s="46">
        <f t="shared" si="39"/>
        <v>615069</v>
      </c>
      <c r="G1909" s="388" t="s">
        <v>9566</v>
      </c>
    </row>
    <row r="1910" spans="6:7" x14ac:dyDescent="0.3">
      <c r="F1910" s="46">
        <f t="shared" si="39"/>
        <v>615069</v>
      </c>
      <c r="G1910" s="388" t="s">
        <v>9566</v>
      </c>
    </row>
    <row r="1911" spans="6:7" x14ac:dyDescent="0.3">
      <c r="F1911" s="46">
        <f t="shared" si="39"/>
        <v>615069</v>
      </c>
      <c r="G1911" s="388" t="s">
        <v>9566</v>
      </c>
    </row>
    <row r="1912" spans="6:7" x14ac:dyDescent="0.3">
      <c r="F1912" s="46">
        <f t="shared" si="39"/>
        <v>615069</v>
      </c>
      <c r="G1912" s="388" t="s">
        <v>9566</v>
      </c>
    </row>
    <row r="1913" spans="6:7" x14ac:dyDescent="0.3">
      <c r="F1913" s="46">
        <f t="shared" si="39"/>
        <v>615069</v>
      </c>
      <c r="G1913" s="388" t="s">
        <v>9566</v>
      </c>
    </row>
    <row r="1914" spans="6:7" x14ac:dyDescent="0.3">
      <c r="F1914" s="46">
        <f t="shared" si="39"/>
        <v>615069</v>
      </c>
      <c r="G1914" s="388" t="s">
        <v>9566</v>
      </c>
    </row>
    <row r="1915" spans="6:7" x14ac:dyDescent="0.3">
      <c r="F1915" s="46">
        <f t="shared" si="39"/>
        <v>615069</v>
      </c>
      <c r="G1915" s="388" t="s">
        <v>9566</v>
      </c>
    </row>
    <row r="1916" spans="6:7" x14ac:dyDescent="0.3">
      <c r="F1916" s="46">
        <f t="shared" si="39"/>
        <v>615069</v>
      </c>
      <c r="G1916" s="388" t="s">
        <v>9566</v>
      </c>
    </row>
    <row r="1917" spans="6:7" x14ac:dyDescent="0.3">
      <c r="F1917" s="46">
        <f t="shared" si="39"/>
        <v>615069</v>
      </c>
      <c r="G1917" s="388" t="s">
        <v>9566</v>
      </c>
    </row>
    <row r="1918" spans="6:7" x14ac:dyDescent="0.3">
      <c r="F1918" s="46">
        <f t="shared" si="39"/>
        <v>615069</v>
      </c>
      <c r="G1918" s="388" t="s">
        <v>9566</v>
      </c>
    </row>
    <row r="1919" spans="6:7" x14ac:dyDescent="0.3">
      <c r="F1919" s="46">
        <f t="shared" si="39"/>
        <v>615069</v>
      </c>
      <c r="G1919" s="388" t="s">
        <v>9566</v>
      </c>
    </row>
    <row r="1920" spans="6:7" x14ac:dyDescent="0.3">
      <c r="F1920" s="46">
        <f t="shared" si="39"/>
        <v>615069</v>
      </c>
      <c r="G1920" s="388" t="s">
        <v>9566</v>
      </c>
    </row>
    <row r="1921" spans="6:7" x14ac:dyDescent="0.3">
      <c r="F1921" s="46">
        <f t="shared" si="39"/>
        <v>615069</v>
      </c>
      <c r="G1921" s="388" t="s">
        <v>9566</v>
      </c>
    </row>
    <row r="1922" spans="6:7" x14ac:dyDescent="0.3">
      <c r="F1922" s="46">
        <f t="shared" si="39"/>
        <v>615069</v>
      </c>
      <c r="G1922" s="388" t="s">
        <v>9566</v>
      </c>
    </row>
    <row r="1923" spans="6:7" x14ac:dyDescent="0.3">
      <c r="F1923" s="46">
        <f t="shared" si="39"/>
        <v>615069</v>
      </c>
      <c r="G1923" s="388" t="s">
        <v>9566</v>
      </c>
    </row>
    <row r="1924" spans="6:7" x14ac:dyDescent="0.3">
      <c r="F1924" s="46">
        <f t="shared" si="39"/>
        <v>615069</v>
      </c>
      <c r="G1924" s="388" t="s">
        <v>9566</v>
      </c>
    </row>
    <row r="1925" spans="6:7" x14ac:dyDescent="0.3">
      <c r="F1925" s="46">
        <f t="shared" si="39"/>
        <v>615069</v>
      </c>
      <c r="G1925" s="388" t="s">
        <v>9566</v>
      </c>
    </row>
    <row r="1926" spans="6:7" x14ac:dyDescent="0.3">
      <c r="F1926" s="46">
        <f t="shared" si="39"/>
        <v>615069</v>
      </c>
      <c r="G1926" s="388" t="s">
        <v>9566</v>
      </c>
    </row>
    <row r="1927" spans="6:7" x14ac:dyDescent="0.3">
      <c r="F1927" s="46">
        <f t="shared" si="39"/>
        <v>615069</v>
      </c>
      <c r="G1927" s="388" t="s">
        <v>9566</v>
      </c>
    </row>
    <row r="1928" spans="6:7" x14ac:dyDescent="0.3">
      <c r="F1928" s="46">
        <f t="shared" si="39"/>
        <v>615069</v>
      </c>
      <c r="G1928" s="388" t="s">
        <v>9566</v>
      </c>
    </row>
    <row r="1929" spans="6:7" x14ac:dyDescent="0.3">
      <c r="F1929" s="46">
        <f t="shared" si="39"/>
        <v>615069</v>
      </c>
      <c r="G1929" s="388" t="s">
        <v>9566</v>
      </c>
    </row>
    <row r="1930" spans="6:7" x14ac:dyDescent="0.3">
      <c r="F1930" s="46">
        <f t="shared" si="39"/>
        <v>615069</v>
      </c>
      <c r="G1930" s="388" t="s">
        <v>9566</v>
      </c>
    </row>
    <row r="1931" spans="6:7" x14ac:dyDescent="0.3">
      <c r="F1931" s="46">
        <f t="shared" si="39"/>
        <v>615069</v>
      </c>
      <c r="G1931" s="388" t="s">
        <v>9566</v>
      </c>
    </row>
    <row r="1932" spans="6:7" x14ac:dyDescent="0.3">
      <c r="F1932" s="46">
        <f t="shared" si="39"/>
        <v>615069</v>
      </c>
      <c r="G1932" s="388" t="s">
        <v>9566</v>
      </c>
    </row>
    <row r="1933" spans="6:7" x14ac:dyDescent="0.3">
      <c r="F1933" s="46">
        <f t="shared" si="39"/>
        <v>615069</v>
      </c>
      <c r="G1933" s="388" t="s">
        <v>9566</v>
      </c>
    </row>
    <row r="1934" spans="6:7" x14ac:dyDescent="0.3">
      <c r="F1934" s="46">
        <f t="shared" si="39"/>
        <v>615069</v>
      </c>
      <c r="G1934" s="388" t="s">
        <v>9566</v>
      </c>
    </row>
    <row r="1935" spans="6:7" x14ac:dyDescent="0.3">
      <c r="F1935" s="46">
        <f t="shared" si="39"/>
        <v>615069</v>
      </c>
      <c r="G1935" s="388" t="s">
        <v>9566</v>
      </c>
    </row>
    <row r="1936" spans="6:7" x14ac:dyDescent="0.3">
      <c r="F1936" s="46">
        <f t="shared" si="39"/>
        <v>615069</v>
      </c>
      <c r="G1936" s="388" t="s">
        <v>9566</v>
      </c>
    </row>
    <row r="1937" spans="6:7" x14ac:dyDescent="0.3">
      <c r="F1937" s="46">
        <f t="shared" si="39"/>
        <v>615069</v>
      </c>
      <c r="G1937" s="388" t="s">
        <v>9566</v>
      </c>
    </row>
    <row r="1938" spans="6:7" x14ac:dyDescent="0.3">
      <c r="F1938" s="46">
        <f t="shared" ref="F1938:F2001" si="40">F1937+E1938-D1938</f>
        <v>615069</v>
      </c>
      <c r="G1938" s="388" t="s">
        <v>9566</v>
      </c>
    </row>
    <row r="1939" spans="6:7" x14ac:dyDescent="0.3">
      <c r="F1939" s="46">
        <f t="shared" si="40"/>
        <v>615069</v>
      </c>
      <c r="G1939" s="388" t="s">
        <v>9566</v>
      </c>
    </row>
    <row r="1940" spans="6:7" x14ac:dyDescent="0.3">
      <c r="F1940" s="46">
        <f t="shared" si="40"/>
        <v>615069</v>
      </c>
      <c r="G1940" s="388" t="s">
        <v>9566</v>
      </c>
    </row>
    <row r="1941" spans="6:7" x14ac:dyDescent="0.3">
      <c r="F1941" s="46">
        <f t="shared" si="40"/>
        <v>615069</v>
      </c>
      <c r="G1941" s="388" t="s">
        <v>9566</v>
      </c>
    </row>
    <row r="1942" spans="6:7" x14ac:dyDescent="0.3">
      <c r="F1942" s="46">
        <f t="shared" si="40"/>
        <v>615069</v>
      </c>
      <c r="G1942" s="388" t="s">
        <v>9566</v>
      </c>
    </row>
    <row r="1943" spans="6:7" x14ac:dyDescent="0.3">
      <c r="F1943" s="46">
        <f t="shared" si="40"/>
        <v>615069</v>
      </c>
      <c r="G1943" s="388" t="s">
        <v>9566</v>
      </c>
    </row>
    <row r="1944" spans="6:7" x14ac:dyDescent="0.3">
      <c r="F1944" s="46">
        <f t="shared" si="40"/>
        <v>615069</v>
      </c>
      <c r="G1944" s="388" t="s">
        <v>9566</v>
      </c>
    </row>
    <row r="1945" spans="6:7" x14ac:dyDescent="0.3">
      <c r="F1945" s="46">
        <f t="shared" si="40"/>
        <v>615069</v>
      </c>
      <c r="G1945" s="388" t="s">
        <v>9566</v>
      </c>
    </row>
    <row r="1946" spans="6:7" x14ac:dyDescent="0.3">
      <c r="F1946" s="46">
        <f t="shared" si="40"/>
        <v>615069</v>
      </c>
      <c r="G1946" s="388" t="s">
        <v>9566</v>
      </c>
    </row>
    <row r="1947" spans="6:7" x14ac:dyDescent="0.3">
      <c r="F1947" s="46">
        <f t="shared" si="40"/>
        <v>615069</v>
      </c>
      <c r="G1947" s="388" t="s">
        <v>9566</v>
      </c>
    </row>
    <row r="1948" spans="6:7" x14ac:dyDescent="0.3">
      <c r="F1948" s="46">
        <f t="shared" si="40"/>
        <v>615069</v>
      </c>
      <c r="G1948" s="388" t="s">
        <v>9566</v>
      </c>
    </row>
    <row r="1949" spans="6:7" x14ac:dyDescent="0.3">
      <c r="F1949" s="46">
        <f t="shared" si="40"/>
        <v>615069</v>
      </c>
      <c r="G1949" s="388" t="s">
        <v>9566</v>
      </c>
    </row>
    <row r="1950" spans="6:7" x14ac:dyDescent="0.3">
      <c r="F1950" s="46">
        <f t="shared" si="40"/>
        <v>615069</v>
      </c>
      <c r="G1950" s="388" t="s">
        <v>9566</v>
      </c>
    </row>
    <row r="1951" spans="6:7" x14ac:dyDescent="0.3">
      <c r="F1951" s="46">
        <f t="shared" si="40"/>
        <v>615069</v>
      </c>
      <c r="G1951" s="388" t="s">
        <v>9566</v>
      </c>
    </row>
    <row r="1952" spans="6:7" x14ac:dyDescent="0.3">
      <c r="F1952" s="46">
        <f t="shared" si="40"/>
        <v>615069</v>
      </c>
      <c r="G1952" s="388" t="s">
        <v>9566</v>
      </c>
    </row>
    <row r="1953" spans="6:7" x14ac:dyDescent="0.3">
      <c r="F1953" s="46">
        <f t="shared" si="40"/>
        <v>615069</v>
      </c>
      <c r="G1953" s="388" t="s">
        <v>9566</v>
      </c>
    </row>
    <row r="1954" spans="6:7" x14ac:dyDescent="0.3">
      <c r="F1954" s="46">
        <f t="shared" si="40"/>
        <v>615069</v>
      </c>
      <c r="G1954" s="388" t="s">
        <v>9566</v>
      </c>
    </row>
    <row r="1955" spans="6:7" x14ac:dyDescent="0.3">
      <c r="F1955" s="46">
        <f t="shared" si="40"/>
        <v>615069</v>
      </c>
      <c r="G1955" s="388" t="s">
        <v>9566</v>
      </c>
    </row>
    <row r="1956" spans="6:7" x14ac:dyDescent="0.3">
      <c r="F1956" s="46">
        <f t="shared" si="40"/>
        <v>615069</v>
      </c>
      <c r="G1956" s="388" t="s">
        <v>9566</v>
      </c>
    </row>
    <row r="1957" spans="6:7" x14ac:dyDescent="0.3">
      <c r="F1957" s="46">
        <f t="shared" si="40"/>
        <v>615069</v>
      </c>
      <c r="G1957" s="388" t="s">
        <v>9566</v>
      </c>
    </row>
    <row r="1958" spans="6:7" x14ac:dyDescent="0.3">
      <c r="F1958" s="46">
        <f t="shared" si="40"/>
        <v>615069</v>
      </c>
      <c r="G1958" s="388" t="s">
        <v>9566</v>
      </c>
    </row>
    <row r="1959" spans="6:7" x14ac:dyDescent="0.3">
      <c r="F1959" s="46">
        <f t="shared" si="40"/>
        <v>615069</v>
      </c>
      <c r="G1959" s="388" t="s">
        <v>9566</v>
      </c>
    </row>
    <row r="1960" spans="6:7" x14ac:dyDescent="0.3">
      <c r="F1960" s="46">
        <f t="shared" si="40"/>
        <v>615069</v>
      </c>
      <c r="G1960" s="388" t="s">
        <v>9566</v>
      </c>
    </row>
    <row r="1961" spans="6:7" x14ac:dyDescent="0.3">
      <c r="F1961" s="46">
        <f t="shared" si="40"/>
        <v>615069</v>
      </c>
      <c r="G1961" s="388" t="s">
        <v>9566</v>
      </c>
    </row>
    <row r="1962" spans="6:7" x14ac:dyDescent="0.3">
      <c r="F1962" s="46">
        <f t="shared" si="40"/>
        <v>615069</v>
      </c>
      <c r="G1962" s="388" t="s">
        <v>9566</v>
      </c>
    </row>
    <row r="1963" spans="6:7" x14ac:dyDescent="0.3">
      <c r="F1963" s="46">
        <f t="shared" si="40"/>
        <v>615069</v>
      </c>
      <c r="G1963" s="388" t="s">
        <v>9566</v>
      </c>
    </row>
    <row r="1964" spans="6:7" x14ac:dyDescent="0.3">
      <c r="F1964" s="46">
        <f t="shared" si="40"/>
        <v>615069</v>
      </c>
      <c r="G1964" s="388" t="s">
        <v>9566</v>
      </c>
    </row>
    <row r="1965" spans="6:7" x14ac:dyDescent="0.3">
      <c r="F1965" s="46">
        <f t="shared" si="40"/>
        <v>615069</v>
      </c>
      <c r="G1965" s="388" t="s">
        <v>9566</v>
      </c>
    </row>
    <row r="1966" spans="6:7" x14ac:dyDescent="0.3">
      <c r="F1966" s="46">
        <f t="shared" si="40"/>
        <v>615069</v>
      </c>
      <c r="G1966" s="388" t="s">
        <v>9566</v>
      </c>
    </row>
    <row r="1967" spans="6:7" x14ac:dyDescent="0.3">
      <c r="F1967" s="46">
        <f t="shared" si="40"/>
        <v>615069</v>
      </c>
      <c r="G1967" s="388" t="s">
        <v>9566</v>
      </c>
    </row>
    <row r="1968" spans="6:7" x14ac:dyDescent="0.3">
      <c r="F1968" s="46">
        <f t="shared" si="40"/>
        <v>615069</v>
      </c>
      <c r="G1968" s="388" t="s">
        <v>9566</v>
      </c>
    </row>
    <row r="1969" spans="6:7" x14ac:dyDescent="0.3">
      <c r="F1969" s="46">
        <f t="shared" si="40"/>
        <v>615069</v>
      </c>
      <c r="G1969" s="388" t="s">
        <v>9566</v>
      </c>
    </row>
    <row r="1970" spans="6:7" x14ac:dyDescent="0.3">
      <c r="F1970" s="46">
        <f t="shared" si="40"/>
        <v>615069</v>
      </c>
      <c r="G1970" s="388" t="s">
        <v>9566</v>
      </c>
    </row>
    <row r="1971" spans="6:7" x14ac:dyDescent="0.3">
      <c r="F1971" s="46">
        <f t="shared" si="40"/>
        <v>615069</v>
      </c>
      <c r="G1971" s="388" t="s">
        <v>9566</v>
      </c>
    </row>
    <row r="1972" spans="6:7" x14ac:dyDescent="0.3">
      <c r="F1972" s="46">
        <f t="shared" si="40"/>
        <v>615069</v>
      </c>
      <c r="G1972" s="388" t="s">
        <v>9566</v>
      </c>
    </row>
    <row r="1973" spans="6:7" x14ac:dyDescent="0.3">
      <c r="F1973" s="46">
        <f t="shared" si="40"/>
        <v>615069</v>
      </c>
      <c r="G1973" s="388" t="s">
        <v>9566</v>
      </c>
    </row>
    <row r="1974" spans="6:7" x14ac:dyDescent="0.3">
      <c r="F1974" s="46">
        <f t="shared" si="40"/>
        <v>615069</v>
      </c>
      <c r="G1974" s="388" t="s">
        <v>9566</v>
      </c>
    </row>
    <row r="1975" spans="6:7" x14ac:dyDescent="0.3">
      <c r="F1975" s="46">
        <f t="shared" si="40"/>
        <v>615069</v>
      </c>
      <c r="G1975" s="388" t="s">
        <v>9566</v>
      </c>
    </row>
    <row r="1976" spans="6:7" x14ac:dyDescent="0.3">
      <c r="F1976" s="46">
        <f t="shared" si="40"/>
        <v>615069</v>
      </c>
      <c r="G1976" s="388" t="s">
        <v>9566</v>
      </c>
    </row>
    <row r="1977" spans="6:7" x14ac:dyDescent="0.3">
      <c r="F1977" s="46">
        <f t="shared" si="40"/>
        <v>615069</v>
      </c>
      <c r="G1977" s="388" t="s">
        <v>9566</v>
      </c>
    </row>
    <row r="1978" spans="6:7" x14ac:dyDescent="0.3">
      <c r="F1978" s="46">
        <f t="shared" si="40"/>
        <v>615069</v>
      </c>
      <c r="G1978" s="388" t="s">
        <v>9566</v>
      </c>
    </row>
    <row r="1979" spans="6:7" x14ac:dyDescent="0.3">
      <c r="F1979" s="46">
        <f t="shared" si="40"/>
        <v>615069</v>
      </c>
      <c r="G1979" s="388" t="s">
        <v>9566</v>
      </c>
    </row>
    <row r="1980" spans="6:7" x14ac:dyDescent="0.3">
      <c r="F1980" s="46">
        <f t="shared" si="40"/>
        <v>615069</v>
      </c>
      <c r="G1980" s="388" t="s">
        <v>9566</v>
      </c>
    </row>
    <row r="1981" spans="6:7" x14ac:dyDescent="0.3">
      <c r="F1981" s="46">
        <f t="shared" si="40"/>
        <v>615069</v>
      </c>
      <c r="G1981" s="388" t="s">
        <v>9566</v>
      </c>
    </row>
    <row r="1982" spans="6:7" x14ac:dyDescent="0.3">
      <c r="F1982" s="46">
        <f t="shared" si="40"/>
        <v>615069</v>
      </c>
      <c r="G1982" s="388" t="s">
        <v>9566</v>
      </c>
    </row>
    <row r="1983" spans="6:7" x14ac:dyDescent="0.3">
      <c r="F1983" s="46">
        <f t="shared" si="40"/>
        <v>615069</v>
      </c>
      <c r="G1983" s="388" t="s">
        <v>9566</v>
      </c>
    </row>
    <row r="1984" spans="6:7" x14ac:dyDescent="0.3">
      <c r="F1984" s="46">
        <f t="shared" si="40"/>
        <v>615069</v>
      </c>
      <c r="G1984" s="388" t="s">
        <v>9566</v>
      </c>
    </row>
    <row r="1985" spans="6:7" x14ac:dyDescent="0.3">
      <c r="F1985" s="46">
        <f t="shared" si="40"/>
        <v>615069</v>
      </c>
      <c r="G1985" s="388" t="s">
        <v>9566</v>
      </c>
    </row>
    <row r="1986" spans="6:7" x14ac:dyDescent="0.3">
      <c r="F1986" s="46">
        <f t="shared" si="40"/>
        <v>615069</v>
      </c>
      <c r="G1986" s="388" t="s">
        <v>9566</v>
      </c>
    </row>
    <row r="1987" spans="6:7" x14ac:dyDescent="0.3">
      <c r="F1987" s="46">
        <f t="shared" si="40"/>
        <v>615069</v>
      </c>
      <c r="G1987" s="388" t="s">
        <v>9566</v>
      </c>
    </row>
    <row r="1988" spans="6:7" x14ac:dyDescent="0.3">
      <c r="F1988" s="46">
        <f t="shared" si="40"/>
        <v>615069</v>
      </c>
      <c r="G1988" s="388" t="s">
        <v>9566</v>
      </c>
    </row>
    <row r="1989" spans="6:7" x14ac:dyDescent="0.3">
      <c r="F1989" s="46">
        <f t="shared" si="40"/>
        <v>615069</v>
      </c>
      <c r="G1989" s="388" t="s">
        <v>9566</v>
      </c>
    </row>
    <row r="1990" spans="6:7" x14ac:dyDescent="0.3">
      <c r="F1990" s="46">
        <f t="shared" si="40"/>
        <v>615069</v>
      </c>
      <c r="G1990" s="388" t="s">
        <v>9566</v>
      </c>
    </row>
    <row r="1991" spans="6:7" x14ac:dyDescent="0.3">
      <c r="F1991" s="46">
        <f t="shared" si="40"/>
        <v>615069</v>
      </c>
      <c r="G1991" s="388" t="s">
        <v>9566</v>
      </c>
    </row>
    <row r="1992" spans="6:7" x14ac:dyDescent="0.3">
      <c r="F1992" s="46">
        <f t="shared" si="40"/>
        <v>615069</v>
      </c>
      <c r="G1992" s="388" t="s">
        <v>9566</v>
      </c>
    </row>
    <row r="1993" spans="6:7" x14ac:dyDescent="0.3">
      <c r="F1993" s="46">
        <f t="shared" si="40"/>
        <v>615069</v>
      </c>
      <c r="G1993" s="388" t="s">
        <v>9566</v>
      </c>
    </row>
    <row r="1994" spans="6:7" x14ac:dyDescent="0.3">
      <c r="F1994" s="46">
        <f t="shared" si="40"/>
        <v>615069</v>
      </c>
      <c r="G1994" s="388" t="s">
        <v>9566</v>
      </c>
    </row>
    <row r="1995" spans="6:7" x14ac:dyDescent="0.3">
      <c r="F1995" s="46">
        <f t="shared" si="40"/>
        <v>615069</v>
      </c>
      <c r="G1995" s="388" t="s">
        <v>9566</v>
      </c>
    </row>
    <row r="1996" spans="6:7" x14ac:dyDescent="0.3">
      <c r="F1996" s="46">
        <f t="shared" si="40"/>
        <v>615069</v>
      </c>
      <c r="G1996" s="388" t="s">
        <v>9566</v>
      </c>
    </row>
    <row r="1997" spans="6:7" x14ac:dyDescent="0.3">
      <c r="F1997" s="46">
        <f t="shared" si="40"/>
        <v>615069</v>
      </c>
      <c r="G1997" s="388" t="s">
        <v>9566</v>
      </c>
    </row>
    <row r="1998" spans="6:7" x14ac:dyDescent="0.3">
      <c r="F1998" s="46">
        <f t="shared" si="40"/>
        <v>615069</v>
      </c>
      <c r="G1998" s="388" t="s">
        <v>9566</v>
      </c>
    </row>
    <row r="1999" spans="6:7" x14ac:dyDescent="0.3">
      <c r="F1999" s="46">
        <f t="shared" si="40"/>
        <v>615069</v>
      </c>
      <c r="G1999" s="388" t="s">
        <v>9566</v>
      </c>
    </row>
    <row r="2000" spans="6:7" x14ac:dyDescent="0.3">
      <c r="F2000" s="46">
        <f t="shared" si="40"/>
        <v>615069</v>
      </c>
      <c r="G2000" s="388" t="s">
        <v>9566</v>
      </c>
    </row>
    <row r="2001" spans="6:7" x14ac:dyDescent="0.3">
      <c r="F2001" s="46">
        <f t="shared" si="40"/>
        <v>615069</v>
      </c>
      <c r="G2001" s="388" t="s">
        <v>9566</v>
      </c>
    </row>
    <row r="2002" spans="6:7" x14ac:dyDescent="0.3">
      <c r="F2002" s="46">
        <f t="shared" ref="F2002:F2014" si="41">F2001+E2002-D2002</f>
        <v>615069</v>
      </c>
      <c r="G2002" s="388" t="s">
        <v>9566</v>
      </c>
    </row>
    <row r="2003" spans="6:7" x14ac:dyDescent="0.3">
      <c r="F2003" s="46">
        <f t="shared" si="41"/>
        <v>615069</v>
      </c>
      <c r="G2003" s="388" t="s">
        <v>9566</v>
      </c>
    </row>
    <row r="2004" spans="6:7" x14ac:dyDescent="0.3">
      <c r="F2004" s="46">
        <f t="shared" si="41"/>
        <v>615069</v>
      </c>
      <c r="G2004" s="388" t="s">
        <v>9566</v>
      </c>
    </row>
    <row r="2005" spans="6:7" x14ac:dyDescent="0.3">
      <c r="F2005" s="46">
        <f t="shared" si="41"/>
        <v>615069</v>
      </c>
      <c r="G2005" s="388" t="s">
        <v>9566</v>
      </c>
    </row>
    <row r="2006" spans="6:7" x14ac:dyDescent="0.3">
      <c r="F2006" s="46">
        <f t="shared" si="41"/>
        <v>615069</v>
      </c>
      <c r="G2006" s="388" t="s">
        <v>9566</v>
      </c>
    </row>
    <row r="2007" spans="6:7" x14ac:dyDescent="0.3">
      <c r="F2007" s="46">
        <f t="shared" si="41"/>
        <v>615069</v>
      </c>
      <c r="G2007" s="388" t="s">
        <v>9566</v>
      </c>
    </row>
    <row r="2008" spans="6:7" x14ac:dyDescent="0.3">
      <c r="F2008" s="46">
        <f t="shared" si="41"/>
        <v>615069</v>
      </c>
      <c r="G2008" s="388" t="s">
        <v>9566</v>
      </c>
    </row>
    <row r="2009" spans="6:7" x14ac:dyDescent="0.3">
      <c r="F2009" s="46">
        <f t="shared" si="41"/>
        <v>615069</v>
      </c>
      <c r="G2009" s="388" t="s">
        <v>9566</v>
      </c>
    </row>
    <row r="2010" spans="6:7" x14ac:dyDescent="0.3">
      <c r="F2010" s="46">
        <f t="shared" si="41"/>
        <v>615069</v>
      </c>
      <c r="G2010" s="388" t="s">
        <v>9566</v>
      </c>
    </row>
    <row r="2011" spans="6:7" x14ac:dyDescent="0.3">
      <c r="F2011" s="46">
        <f t="shared" si="41"/>
        <v>615069</v>
      </c>
      <c r="G2011" s="388" t="s">
        <v>9566</v>
      </c>
    </row>
    <row r="2012" spans="6:7" x14ac:dyDescent="0.3">
      <c r="F2012" s="46">
        <f t="shared" si="41"/>
        <v>615069</v>
      </c>
      <c r="G2012" s="388" t="s">
        <v>9566</v>
      </c>
    </row>
    <row r="2013" spans="6:7" x14ac:dyDescent="0.3">
      <c r="F2013" s="46">
        <f t="shared" si="41"/>
        <v>615069</v>
      </c>
      <c r="G2013" s="388" t="s">
        <v>9566</v>
      </c>
    </row>
    <row r="2014" spans="6:7" x14ac:dyDescent="0.3">
      <c r="F2014" s="46">
        <f t="shared" si="41"/>
        <v>615069</v>
      </c>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9566</v>
      </c>
    </row>
    <row r="4446" spans="7:7" x14ac:dyDescent="0.3">
      <c r="G4446" s="388" t="s">
        <v>9566</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3">
      <c r="G4505" s="388" t="s">
        <v>9567</v>
      </c>
    </row>
    <row r="4506" spans="7:7" x14ac:dyDescent="0.3">
      <c r="G4506" s="388" t="s">
        <v>9567</v>
      </c>
    </row>
    <row r="4507" spans="7:7" x14ac:dyDescent="0.25">
      <c r="G4507" s="397"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3">
      <c r="G5163" s="388" t="s">
        <v>9567</v>
      </c>
    </row>
    <row r="5164" spans="7:7" x14ac:dyDescent="0.3">
      <c r="G5164" s="388" t="s">
        <v>9567</v>
      </c>
    </row>
    <row r="5165" spans="7:7" x14ac:dyDescent="0.25">
      <c r="G5165" s="397"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9567</v>
      </c>
    </row>
    <row r="5524" spans="7:7" x14ac:dyDescent="0.3">
      <c r="G5524" s="388" t="s">
        <v>9567</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row r="7662" spans="7:7" x14ac:dyDescent="0.3">
      <c r="G7662" s="388" t="s">
        <v>9566</v>
      </c>
    </row>
    <row r="7663" spans="7:7" x14ac:dyDescent="0.3">
      <c r="G7663"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95"/>
  <sheetViews>
    <sheetView zoomScale="115" zoomScaleNormal="115" workbookViewId="0">
      <pane ySplit="1" topLeftCell="A1408" activePane="bottomLeft" state="frozen"/>
      <selection activeCell="D6707" sqref="D6707"/>
      <selection pane="bottomLeft" activeCell="A1414" sqref="A1414"/>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5"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11583</v>
      </c>
      <c r="D647" s="302">
        <v>20000</v>
      </c>
      <c r="E647" s="302"/>
      <c r="F647" s="48">
        <f t="shared" si="21"/>
        <v>6373991</v>
      </c>
      <c r="G647" s="397" t="s">
        <v>9567</v>
      </c>
    </row>
    <row r="648" spans="1:11" x14ac:dyDescent="0.25">
      <c r="A648" s="440">
        <v>45089</v>
      </c>
      <c r="B648" s="391"/>
      <c r="C648" s="292" t="s">
        <v>11580</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11584</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11427</v>
      </c>
      <c r="D662" s="304">
        <v>250000</v>
      </c>
      <c r="E662" s="304"/>
      <c r="F662" s="48">
        <f t="shared" si="22"/>
        <v>8608191</v>
      </c>
      <c r="G662" s="397" t="s">
        <v>9567</v>
      </c>
      <c r="J662" s="517"/>
      <c r="K662" s="376"/>
    </row>
    <row r="663" spans="1:11" s="354" customFormat="1" x14ac:dyDescent="0.25">
      <c r="A663" s="440">
        <v>45096</v>
      </c>
      <c r="B663" s="454"/>
      <c r="C663" s="306" t="s">
        <v>11427</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11435</v>
      </c>
      <c r="D665" s="304">
        <v>100000</v>
      </c>
      <c r="E665" s="304"/>
      <c r="F665" s="48">
        <f t="shared" si="22"/>
        <v>9224791</v>
      </c>
      <c r="G665" s="397" t="s">
        <v>9567</v>
      </c>
      <c r="K665" s="376"/>
    </row>
    <row r="666" spans="1:11" s="354" customFormat="1" x14ac:dyDescent="0.25">
      <c r="A666" s="440">
        <v>45097</v>
      </c>
      <c r="B666" s="454"/>
      <c r="C666" s="306" t="s">
        <v>11441</v>
      </c>
      <c r="D666" s="304">
        <v>250000</v>
      </c>
      <c r="E666" s="304"/>
      <c r="F666" s="48">
        <f t="shared" si="22"/>
        <v>8974791</v>
      </c>
      <c r="G666" s="397" t="s">
        <v>9567</v>
      </c>
      <c r="K666" s="376"/>
    </row>
    <row r="667" spans="1:11" s="354" customFormat="1" x14ac:dyDescent="0.25">
      <c r="A667" s="440">
        <v>45097</v>
      </c>
      <c r="B667" s="454"/>
      <c r="C667" s="306" t="s">
        <v>11441</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11464</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11473</v>
      </c>
      <c r="D671" s="304">
        <v>50000</v>
      </c>
      <c r="E671" s="304"/>
      <c r="F671" s="48">
        <f t="shared" si="22"/>
        <v>9424791</v>
      </c>
      <c r="G671" s="397" t="s">
        <v>9567</v>
      </c>
    </row>
    <row r="672" spans="1:11" ht="30" x14ac:dyDescent="0.25">
      <c r="A672" s="440">
        <v>45101</v>
      </c>
      <c r="B672" s="391"/>
      <c r="C672" s="307" t="s">
        <v>11492</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11506</v>
      </c>
      <c r="D674" s="302">
        <v>65000</v>
      </c>
      <c r="E674" s="302"/>
      <c r="F674" s="48">
        <f t="shared" si="22"/>
        <v>8677091</v>
      </c>
      <c r="G674" s="397" t="s">
        <v>9567</v>
      </c>
    </row>
    <row r="675" spans="1:7" x14ac:dyDescent="0.25">
      <c r="A675" s="440">
        <v>45103</v>
      </c>
      <c r="B675" s="391"/>
      <c r="C675" s="292" t="s">
        <v>11508</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11529</v>
      </c>
      <c r="D678" s="302">
        <v>250000</v>
      </c>
      <c r="E678" s="302"/>
      <c r="F678" s="48">
        <f t="shared" si="22"/>
        <v>11727091</v>
      </c>
      <c r="G678" s="397" t="s">
        <v>9567</v>
      </c>
    </row>
    <row r="679" spans="1:7" x14ac:dyDescent="0.25">
      <c r="A679" s="440">
        <v>45104</v>
      </c>
      <c r="B679" s="391"/>
      <c r="C679" s="307" t="s">
        <v>11529</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11435</v>
      </c>
      <c r="D683" s="302">
        <v>40000</v>
      </c>
      <c r="E683" s="302"/>
      <c r="F683" s="48">
        <f t="shared" si="22"/>
        <v>13087091</v>
      </c>
      <c r="G683" s="397" t="s">
        <v>9567</v>
      </c>
    </row>
    <row r="684" spans="1:7" ht="30" x14ac:dyDescent="0.25">
      <c r="A684" s="440">
        <v>45104</v>
      </c>
      <c r="B684" s="391"/>
      <c r="C684" s="307" t="s">
        <v>11550</v>
      </c>
      <c r="D684" s="302">
        <v>35000</v>
      </c>
      <c r="E684" s="302"/>
      <c r="F684" s="48">
        <f t="shared" si="22"/>
        <v>13052091</v>
      </c>
      <c r="G684" s="397" t="s">
        <v>9567</v>
      </c>
    </row>
    <row r="685" spans="1:7" x14ac:dyDescent="0.25">
      <c r="A685" s="440">
        <v>45104</v>
      </c>
      <c r="B685" s="391"/>
      <c r="C685" s="307" t="s">
        <v>11551</v>
      </c>
      <c r="D685" s="302">
        <v>100000</v>
      </c>
      <c r="E685" s="302"/>
      <c r="F685" s="48">
        <f t="shared" si="22"/>
        <v>12952091</v>
      </c>
      <c r="G685" s="397" t="s">
        <v>9567</v>
      </c>
    </row>
    <row r="686" spans="1:7" x14ac:dyDescent="0.25">
      <c r="A686" s="440">
        <v>45104</v>
      </c>
      <c r="B686" s="391"/>
      <c r="C686" s="307" t="s">
        <v>11551</v>
      </c>
      <c r="D686" s="302">
        <v>100000</v>
      </c>
      <c r="E686" s="302"/>
      <c r="F686" s="48">
        <f t="shared" si="22"/>
        <v>12852091</v>
      </c>
      <c r="G686" s="397" t="s">
        <v>9567</v>
      </c>
    </row>
    <row r="687" spans="1:7" ht="30" x14ac:dyDescent="0.25">
      <c r="A687" s="440">
        <v>45104</v>
      </c>
      <c r="B687" s="391"/>
      <c r="C687" s="307" t="s">
        <v>11552</v>
      </c>
      <c r="D687" s="302">
        <v>100000</v>
      </c>
      <c r="E687" s="302"/>
      <c r="F687" s="48">
        <f t="shared" si="22"/>
        <v>12752091</v>
      </c>
      <c r="G687" s="397" t="s">
        <v>9567</v>
      </c>
    </row>
    <row r="688" spans="1:7" x14ac:dyDescent="0.25">
      <c r="A688" s="440">
        <v>45104</v>
      </c>
      <c r="B688" s="391"/>
      <c r="C688" s="306" t="s">
        <v>11553</v>
      </c>
      <c r="D688" s="302">
        <v>100000</v>
      </c>
      <c r="E688" s="302"/>
      <c r="F688" s="48">
        <f t="shared" si="22"/>
        <v>12652091</v>
      </c>
      <c r="G688" s="397" t="s">
        <v>9567</v>
      </c>
    </row>
    <row r="689" spans="1:9" x14ac:dyDescent="0.25">
      <c r="A689" s="440">
        <v>45112</v>
      </c>
      <c r="B689" s="391"/>
      <c r="C689" s="306" t="s">
        <v>11575</v>
      </c>
      <c r="D689" s="304">
        <v>80000</v>
      </c>
      <c r="E689" s="304"/>
      <c r="F689" s="48">
        <f t="shared" si="22"/>
        <v>12572091</v>
      </c>
      <c r="G689" s="397" t="s">
        <v>9567</v>
      </c>
    </row>
    <row r="690" spans="1:9" x14ac:dyDescent="0.25">
      <c r="A690" s="440">
        <v>45112</v>
      </c>
      <c r="B690" s="391"/>
      <c r="C690" s="306" t="s">
        <v>11576</v>
      </c>
      <c r="D690" s="302">
        <v>95000</v>
      </c>
      <c r="E690" s="302"/>
      <c r="F690" s="48">
        <f t="shared" si="22"/>
        <v>12477091</v>
      </c>
      <c r="G690" s="397" t="s">
        <v>9567</v>
      </c>
    </row>
    <row r="691" spans="1:9" ht="30" x14ac:dyDescent="0.25">
      <c r="A691" s="440">
        <v>45115</v>
      </c>
      <c r="B691" s="391"/>
      <c r="C691" s="307" t="s">
        <v>11550</v>
      </c>
      <c r="D691" s="304">
        <v>50000</v>
      </c>
      <c r="E691" s="304"/>
      <c r="F691" s="48">
        <f t="shared" si="22"/>
        <v>12427091</v>
      </c>
      <c r="G691" s="397" t="s">
        <v>9567</v>
      </c>
    </row>
    <row r="692" spans="1:9" ht="30" x14ac:dyDescent="0.25">
      <c r="A692" s="440">
        <v>45117</v>
      </c>
      <c r="B692" s="391"/>
      <c r="C692" s="307" t="s">
        <v>11610</v>
      </c>
      <c r="D692" s="304">
        <v>25000</v>
      </c>
      <c r="E692" s="304"/>
      <c r="F692" s="48">
        <f t="shared" si="22"/>
        <v>12402091</v>
      </c>
      <c r="G692" s="397" t="s">
        <v>9567</v>
      </c>
    </row>
    <row r="693" spans="1:9" ht="30" x14ac:dyDescent="0.25">
      <c r="A693" s="440">
        <v>45117</v>
      </c>
      <c r="B693" s="391"/>
      <c r="C693" s="307" t="s">
        <v>11614</v>
      </c>
      <c r="D693" s="304">
        <v>25000</v>
      </c>
      <c r="E693" s="304"/>
      <c r="F693" s="48">
        <f t="shared" si="22"/>
        <v>12377091</v>
      </c>
      <c r="G693" s="397" t="s">
        <v>9567</v>
      </c>
    </row>
    <row r="694" spans="1:9" ht="30" x14ac:dyDescent="0.25">
      <c r="A694" s="440">
        <v>45117</v>
      </c>
      <c r="B694" s="391"/>
      <c r="C694" s="307" t="s">
        <v>11612</v>
      </c>
      <c r="D694" s="304">
        <v>43000</v>
      </c>
      <c r="E694" s="304"/>
      <c r="F694" s="48">
        <f t="shared" si="22"/>
        <v>12334091</v>
      </c>
      <c r="G694" s="397" t="s">
        <v>9567</v>
      </c>
    </row>
    <row r="695" spans="1:9" ht="30" x14ac:dyDescent="0.25">
      <c r="A695" s="440">
        <v>45117</v>
      </c>
      <c r="B695" s="391"/>
      <c r="C695" s="307" t="s">
        <v>11613</v>
      </c>
      <c r="D695" s="304">
        <v>100000</v>
      </c>
      <c r="E695" s="304"/>
      <c r="F695" s="48">
        <f t="shared" si="22"/>
        <v>12234091</v>
      </c>
      <c r="G695" s="397" t="s">
        <v>9567</v>
      </c>
    </row>
    <row r="696" spans="1:9" ht="30" x14ac:dyDescent="0.25">
      <c r="A696" s="440">
        <v>45117</v>
      </c>
      <c r="B696" s="391"/>
      <c r="C696" s="307" t="s">
        <v>11618</v>
      </c>
      <c r="D696" s="304">
        <v>250000</v>
      </c>
      <c r="E696" s="304"/>
      <c r="F696" s="48">
        <f t="shared" si="22"/>
        <v>11984091</v>
      </c>
      <c r="G696" s="397" t="s">
        <v>9567</v>
      </c>
    </row>
    <row r="697" spans="1:9" ht="30" x14ac:dyDescent="0.25">
      <c r="A697" s="440">
        <v>45117</v>
      </c>
      <c r="B697" s="391"/>
      <c r="C697" s="307" t="s">
        <v>11618</v>
      </c>
      <c r="D697" s="304">
        <v>169000</v>
      </c>
      <c r="E697" s="304"/>
      <c r="F697" s="48">
        <f t="shared" si="22"/>
        <v>11815091</v>
      </c>
      <c r="G697" s="397" t="s">
        <v>9567</v>
      </c>
      <c r="I697" s="277"/>
    </row>
    <row r="698" spans="1:9" ht="30" x14ac:dyDescent="0.25">
      <c r="A698" s="440">
        <v>45117</v>
      </c>
      <c r="B698" s="391"/>
      <c r="C698" s="307" t="s">
        <v>11619</v>
      </c>
      <c r="D698" s="304">
        <v>100000</v>
      </c>
      <c r="E698" s="304"/>
      <c r="F698" s="48">
        <f t="shared" si="22"/>
        <v>11715091</v>
      </c>
      <c r="G698" s="397" t="s">
        <v>9567</v>
      </c>
    </row>
    <row r="699" spans="1:9" x14ac:dyDescent="0.25">
      <c r="A699" s="440">
        <v>45119</v>
      </c>
      <c r="B699" s="391"/>
      <c r="C699" s="307" t="s">
        <v>11631</v>
      </c>
      <c r="D699" s="302">
        <v>250000</v>
      </c>
      <c r="E699" s="302"/>
      <c r="F699" s="48">
        <f t="shared" si="22"/>
        <v>11465091</v>
      </c>
      <c r="G699" s="397" t="s">
        <v>9567</v>
      </c>
    </row>
    <row r="700" spans="1:9" ht="30" x14ac:dyDescent="0.25">
      <c r="A700" s="440">
        <v>45119</v>
      </c>
      <c r="B700" s="391"/>
      <c r="C700" s="307" t="s">
        <v>11637</v>
      </c>
      <c r="D700" s="302">
        <v>250000</v>
      </c>
      <c r="E700" s="302"/>
      <c r="F700" s="48">
        <f t="shared" si="22"/>
        <v>11215091</v>
      </c>
      <c r="G700" s="397" t="s">
        <v>9567</v>
      </c>
    </row>
    <row r="701" spans="1:9" ht="30" x14ac:dyDescent="0.25">
      <c r="A701" s="440">
        <v>45119</v>
      </c>
      <c r="B701" s="391"/>
      <c r="C701" s="307" t="s">
        <v>11637</v>
      </c>
      <c r="D701" s="302">
        <v>250000</v>
      </c>
      <c r="E701" s="302"/>
      <c r="F701" s="48">
        <f t="shared" si="22"/>
        <v>10965091</v>
      </c>
      <c r="G701" s="397" t="s">
        <v>9567</v>
      </c>
    </row>
    <row r="702" spans="1:9" ht="30" x14ac:dyDescent="0.25">
      <c r="A702" s="440">
        <v>45119</v>
      </c>
      <c r="B702" s="391"/>
      <c r="C702" s="307" t="s">
        <v>11613</v>
      </c>
      <c r="D702" s="304">
        <v>116000</v>
      </c>
      <c r="E702" s="304"/>
      <c r="F702" s="48">
        <f t="shared" si="22"/>
        <v>10849091</v>
      </c>
      <c r="G702" s="397" t="s">
        <v>9567</v>
      </c>
    </row>
    <row r="703" spans="1:9" ht="30" x14ac:dyDescent="0.25">
      <c r="A703" s="440">
        <v>45119</v>
      </c>
      <c r="B703" s="391"/>
      <c r="C703" s="307" t="s">
        <v>11643</v>
      </c>
      <c r="D703" s="304">
        <v>51550</v>
      </c>
      <c r="E703" s="304"/>
      <c r="F703" s="48">
        <f t="shared" si="22"/>
        <v>10797541</v>
      </c>
      <c r="G703" s="397" t="s">
        <v>9567</v>
      </c>
    </row>
    <row r="704" spans="1:9" ht="30" x14ac:dyDescent="0.25">
      <c r="A704" s="440">
        <v>45119</v>
      </c>
      <c r="B704" s="391"/>
      <c r="C704" s="307" t="s">
        <v>11645</v>
      </c>
      <c r="D704" s="304">
        <v>205200</v>
      </c>
      <c r="E704" s="304"/>
      <c r="F704" s="48">
        <f t="shared" si="22"/>
        <v>10592341</v>
      </c>
      <c r="G704" s="397" t="s">
        <v>9567</v>
      </c>
    </row>
    <row r="705" spans="1:11" x14ac:dyDescent="0.25">
      <c r="A705" s="440">
        <v>45120</v>
      </c>
      <c r="B705" s="391"/>
      <c r="C705" s="307" t="s">
        <v>11658</v>
      </c>
      <c r="D705" s="304">
        <v>30000</v>
      </c>
      <c r="E705" s="304"/>
      <c r="F705" s="48">
        <f t="shared" si="22"/>
        <v>10562341</v>
      </c>
      <c r="G705" s="397" t="s">
        <v>9567</v>
      </c>
    </row>
    <row r="706" spans="1:11" ht="30" x14ac:dyDescent="0.25">
      <c r="A706" s="440">
        <v>45120</v>
      </c>
      <c r="B706" s="391"/>
      <c r="C706" s="307" t="s">
        <v>11659</v>
      </c>
      <c r="D706" s="304">
        <v>30000</v>
      </c>
      <c r="E706" s="304"/>
      <c r="F706" s="48">
        <f t="shared" si="22"/>
        <v>10532341</v>
      </c>
      <c r="G706" s="397" t="s">
        <v>9567</v>
      </c>
    </row>
    <row r="707" spans="1:11" x14ac:dyDescent="0.25">
      <c r="A707" s="440">
        <v>45121</v>
      </c>
      <c r="B707" s="391"/>
      <c r="C707" s="306" t="s">
        <v>11576</v>
      </c>
      <c r="D707" s="302">
        <v>900000</v>
      </c>
      <c r="E707" s="302"/>
      <c r="F707" s="48">
        <f t="shared" si="22"/>
        <v>9632341</v>
      </c>
      <c r="G707" s="397" t="s">
        <v>9567</v>
      </c>
    </row>
    <row r="708" spans="1:11" x14ac:dyDescent="0.25">
      <c r="A708" s="440">
        <v>45122</v>
      </c>
      <c r="B708" s="391"/>
      <c r="C708" s="292" t="s">
        <v>11684</v>
      </c>
      <c r="D708" s="302"/>
      <c r="E708" s="302">
        <v>30000</v>
      </c>
      <c r="F708" s="48">
        <f t="shared" si="22"/>
        <v>9662341</v>
      </c>
      <c r="G708" s="397" t="s">
        <v>9567</v>
      </c>
    </row>
    <row r="709" spans="1:11" x14ac:dyDescent="0.25">
      <c r="A709" s="440">
        <v>45124</v>
      </c>
      <c r="B709" s="391"/>
      <c r="C709" s="303" t="s">
        <v>11690</v>
      </c>
      <c r="D709" s="302"/>
      <c r="E709" s="302">
        <v>1000000</v>
      </c>
      <c r="F709" s="48">
        <f t="shared" si="22"/>
        <v>10662341</v>
      </c>
      <c r="G709" s="397" t="s">
        <v>9567</v>
      </c>
    </row>
    <row r="710" spans="1:11" ht="30" x14ac:dyDescent="0.25">
      <c r="A710" s="440">
        <v>45124</v>
      </c>
      <c r="B710" s="391"/>
      <c r="C710" s="303" t="s">
        <v>11693</v>
      </c>
      <c r="D710" s="304">
        <v>82400</v>
      </c>
      <c r="E710" s="304"/>
      <c r="F710" s="48">
        <f t="shared" si="22"/>
        <v>10579941</v>
      </c>
      <c r="G710" s="397" t="s">
        <v>9567</v>
      </c>
    </row>
    <row r="711" spans="1:11" ht="30" x14ac:dyDescent="0.25">
      <c r="A711" s="440">
        <v>45127</v>
      </c>
      <c r="B711" s="391"/>
      <c r="C711" s="307" t="s">
        <v>11726</v>
      </c>
      <c r="D711" s="304">
        <v>100000</v>
      </c>
      <c r="E711" s="304"/>
      <c r="F711" s="48">
        <f t="shared" si="22"/>
        <v>10479941</v>
      </c>
      <c r="G711" s="397" t="s">
        <v>9567</v>
      </c>
    </row>
    <row r="712" spans="1:11" x14ac:dyDescent="0.25">
      <c r="A712" s="440">
        <v>45129</v>
      </c>
      <c r="B712" s="391"/>
      <c r="C712" s="292" t="s">
        <v>11745</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11637</v>
      </c>
      <c r="D714" s="304">
        <v>150000</v>
      </c>
      <c r="E714" s="304"/>
      <c r="F714" s="48">
        <f t="shared" si="22"/>
        <v>10229941</v>
      </c>
      <c r="G714" s="397" t="s">
        <v>9567</v>
      </c>
    </row>
    <row r="715" spans="1:11" ht="30" x14ac:dyDescent="0.25">
      <c r="A715" s="440">
        <v>45132</v>
      </c>
      <c r="B715" s="454"/>
      <c r="C715" s="307" t="s">
        <v>11770</v>
      </c>
      <c r="D715" s="304">
        <v>111560</v>
      </c>
      <c r="E715" s="304"/>
      <c r="F715" s="48">
        <f t="shared" si="22"/>
        <v>10118381</v>
      </c>
      <c r="G715" s="397" t="s">
        <v>9567</v>
      </c>
    </row>
    <row r="716" spans="1:11" ht="45" x14ac:dyDescent="0.25">
      <c r="A716" s="440">
        <v>45132</v>
      </c>
      <c r="B716" s="454"/>
      <c r="C716" s="307" t="s">
        <v>11771</v>
      </c>
      <c r="D716" s="304">
        <v>47470</v>
      </c>
      <c r="E716" s="304"/>
      <c r="F716" s="48">
        <f t="shared" si="22"/>
        <v>10070911</v>
      </c>
      <c r="G716" s="397" t="s">
        <v>9567</v>
      </c>
    </row>
    <row r="717" spans="1:11" s="354" customFormat="1" ht="30" x14ac:dyDescent="0.25">
      <c r="A717" s="440">
        <v>45132</v>
      </c>
      <c r="B717" s="454"/>
      <c r="C717" s="307" t="s">
        <v>11772</v>
      </c>
      <c r="D717" s="304">
        <v>229500</v>
      </c>
      <c r="E717" s="304"/>
      <c r="F717" s="48">
        <f t="shared" si="22"/>
        <v>9841411</v>
      </c>
      <c r="G717" s="397" t="s">
        <v>9567</v>
      </c>
      <c r="K717" s="376"/>
    </row>
    <row r="718" spans="1:11" ht="30" x14ac:dyDescent="0.25">
      <c r="A718" s="440">
        <v>45133</v>
      </c>
      <c r="B718" s="391"/>
      <c r="C718" s="307" t="s">
        <v>11779</v>
      </c>
      <c r="D718" s="302">
        <v>250000</v>
      </c>
      <c r="E718" s="302"/>
      <c r="F718" s="48">
        <f t="shared" si="22"/>
        <v>9591411</v>
      </c>
      <c r="G718" s="397" t="s">
        <v>9567</v>
      </c>
    </row>
    <row r="719" spans="1:11" ht="30" x14ac:dyDescent="0.25">
      <c r="A719" s="440">
        <v>45133</v>
      </c>
      <c r="B719" s="391"/>
      <c r="C719" s="307" t="s">
        <v>11779</v>
      </c>
      <c r="D719" s="302">
        <v>100000</v>
      </c>
      <c r="E719" s="302"/>
      <c r="F719" s="48">
        <f t="shared" si="22"/>
        <v>9491411</v>
      </c>
      <c r="G719" s="397" t="s">
        <v>9567</v>
      </c>
    </row>
    <row r="720" spans="1:11" x14ac:dyDescent="0.25">
      <c r="A720" s="440">
        <v>45133</v>
      </c>
      <c r="B720" s="391"/>
      <c r="C720" s="307" t="s">
        <v>11631</v>
      </c>
      <c r="D720" s="302">
        <v>150000</v>
      </c>
      <c r="E720" s="302"/>
      <c r="F720" s="48">
        <f t="shared" si="22"/>
        <v>9341411</v>
      </c>
      <c r="G720" s="397" t="s">
        <v>9567</v>
      </c>
    </row>
    <row r="721" spans="1:11" x14ac:dyDescent="0.25">
      <c r="A721" s="440">
        <v>45134</v>
      </c>
      <c r="B721" s="391"/>
      <c r="C721" s="307" t="s">
        <v>11793</v>
      </c>
      <c r="D721" s="302">
        <v>10000</v>
      </c>
      <c r="E721" s="302"/>
      <c r="F721" s="48">
        <f t="shared" si="22"/>
        <v>9331411</v>
      </c>
      <c r="G721" s="397" t="s">
        <v>9567</v>
      </c>
    </row>
    <row r="722" spans="1:11" x14ac:dyDescent="0.25">
      <c r="A722" s="440">
        <v>45135</v>
      </c>
      <c r="B722" s="391"/>
      <c r="C722" s="307" t="s">
        <v>11796</v>
      </c>
      <c r="D722" s="302">
        <v>30000</v>
      </c>
      <c r="E722" s="302"/>
      <c r="F722" s="48">
        <f t="shared" ref="F722:F783" si="23">F721+E722-D722</f>
        <v>9301411</v>
      </c>
      <c r="G722" s="397" t="s">
        <v>9567</v>
      </c>
    </row>
    <row r="723" spans="1:11" s="354" customFormat="1" ht="30" x14ac:dyDescent="0.25">
      <c r="A723" s="440">
        <v>45136</v>
      </c>
      <c r="B723" s="454"/>
      <c r="C723" s="307" t="s">
        <v>11797</v>
      </c>
      <c r="D723" s="304">
        <v>100000</v>
      </c>
      <c r="E723" s="304"/>
      <c r="F723" s="48">
        <f t="shared" si="23"/>
        <v>9201411</v>
      </c>
      <c r="G723" s="397" t="s">
        <v>9567</v>
      </c>
      <c r="K723" s="376"/>
    </row>
    <row r="724" spans="1:11" x14ac:dyDescent="0.25">
      <c r="A724" s="440">
        <v>45137</v>
      </c>
      <c r="B724" s="391"/>
      <c r="C724" s="307" t="s">
        <v>11796</v>
      </c>
      <c r="D724" s="302">
        <v>10000</v>
      </c>
      <c r="E724" s="302"/>
      <c r="F724" s="48">
        <f t="shared" si="23"/>
        <v>9191411</v>
      </c>
      <c r="G724" s="397" t="s">
        <v>9567</v>
      </c>
    </row>
    <row r="725" spans="1:11" x14ac:dyDescent="0.25">
      <c r="A725" s="440">
        <v>45138</v>
      </c>
      <c r="B725" s="391"/>
      <c r="C725" s="307" t="s">
        <v>11804</v>
      </c>
      <c r="D725" s="304">
        <v>57000</v>
      </c>
      <c r="E725" s="304"/>
      <c r="F725" s="48">
        <f t="shared" si="23"/>
        <v>9134411</v>
      </c>
      <c r="G725" s="397" t="s">
        <v>9567</v>
      </c>
    </row>
    <row r="726" spans="1:11" x14ac:dyDescent="0.25">
      <c r="A726" s="440">
        <v>45139</v>
      </c>
      <c r="B726" s="391"/>
      <c r="C726" s="307" t="s">
        <v>11808</v>
      </c>
      <c r="D726" s="302">
        <v>250000</v>
      </c>
      <c r="E726" s="302"/>
      <c r="F726" s="48">
        <f t="shared" si="23"/>
        <v>8884411</v>
      </c>
      <c r="G726" s="397" t="s">
        <v>9567</v>
      </c>
    </row>
    <row r="727" spans="1:11" x14ac:dyDescent="0.25">
      <c r="A727" s="440">
        <v>45139</v>
      </c>
      <c r="B727" s="391"/>
      <c r="C727" s="307" t="s">
        <v>11808</v>
      </c>
      <c r="D727" s="302">
        <v>250000</v>
      </c>
      <c r="E727" s="302"/>
      <c r="F727" s="48">
        <f t="shared" si="23"/>
        <v>8634411</v>
      </c>
      <c r="G727" s="397" t="s">
        <v>9567</v>
      </c>
    </row>
    <row r="728" spans="1:11" x14ac:dyDescent="0.25">
      <c r="A728" s="440">
        <v>45139</v>
      </c>
      <c r="B728" s="391"/>
      <c r="C728" s="307" t="s">
        <v>11808</v>
      </c>
      <c r="D728" s="302">
        <v>250000</v>
      </c>
      <c r="E728" s="302"/>
      <c r="F728" s="48">
        <f t="shared" si="23"/>
        <v>8384411</v>
      </c>
      <c r="G728" s="397" t="s">
        <v>9567</v>
      </c>
    </row>
    <row r="729" spans="1:11" x14ac:dyDescent="0.25">
      <c r="A729" s="440">
        <v>45139</v>
      </c>
      <c r="B729" s="391"/>
      <c r="C729" s="307" t="s">
        <v>11808</v>
      </c>
      <c r="D729" s="302">
        <v>50000</v>
      </c>
      <c r="E729" s="302"/>
      <c r="F729" s="48">
        <f t="shared" si="23"/>
        <v>8334411</v>
      </c>
      <c r="G729" s="397" t="s">
        <v>9567</v>
      </c>
    </row>
    <row r="730" spans="1:11" s="354" customFormat="1" ht="30" x14ac:dyDescent="0.25">
      <c r="A730" s="440">
        <v>45139</v>
      </c>
      <c r="B730" s="454"/>
      <c r="C730" s="307" t="s">
        <v>11464</v>
      </c>
      <c r="D730" s="304">
        <v>100000</v>
      </c>
      <c r="E730" s="304"/>
      <c r="F730" s="48">
        <f t="shared" si="23"/>
        <v>8234411</v>
      </c>
      <c r="G730" s="397" t="s">
        <v>9567</v>
      </c>
      <c r="K730" s="376"/>
    </row>
    <row r="731" spans="1:11" x14ac:dyDescent="0.25">
      <c r="A731" s="440">
        <v>45140</v>
      </c>
      <c r="B731" s="391"/>
      <c r="C731" s="307" t="s">
        <v>11813</v>
      </c>
      <c r="D731" s="304">
        <v>100000</v>
      </c>
      <c r="E731" s="304"/>
      <c r="F731" s="48">
        <f t="shared" si="23"/>
        <v>8134411</v>
      </c>
      <c r="G731" s="397" t="s">
        <v>9567</v>
      </c>
    </row>
    <row r="732" spans="1:11" ht="30" x14ac:dyDescent="0.25">
      <c r="A732" s="440">
        <v>45142</v>
      </c>
      <c r="B732" s="391"/>
      <c r="C732" s="303" t="s">
        <v>11826</v>
      </c>
      <c r="D732" s="304">
        <v>250000</v>
      </c>
      <c r="E732" s="304"/>
      <c r="F732" s="48">
        <f t="shared" si="23"/>
        <v>7884411</v>
      </c>
      <c r="G732" s="397" t="s">
        <v>9567</v>
      </c>
    </row>
    <row r="733" spans="1:11" ht="30" x14ac:dyDescent="0.25">
      <c r="A733" s="440">
        <v>45142</v>
      </c>
      <c r="B733" s="391"/>
      <c r="C733" s="303" t="s">
        <v>11826</v>
      </c>
      <c r="D733" s="304">
        <v>50000</v>
      </c>
      <c r="E733" s="304"/>
      <c r="F733" s="48">
        <f t="shared" si="23"/>
        <v>7834411</v>
      </c>
      <c r="G733" s="397" t="s">
        <v>9567</v>
      </c>
    </row>
    <row r="734" spans="1:11" ht="30" x14ac:dyDescent="0.25">
      <c r="A734" s="440">
        <v>45143</v>
      </c>
      <c r="B734" s="391"/>
      <c r="C734" s="307" t="s">
        <v>11836</v>
      </c>
      <c r="D734" s="304">
        <v>231000</v>
      </c>
      <c r="E734" s="304"/>
      <c r="F734" s="48">
        <f t="shared" si="23"/>
        <v>7603411</v>
      </c>
      <c r="G734" s="397" t="s">
        <v>9567</v>
      </c>
    </row>
    <row r="735" spans="1:11" x14ac:dyDescent="0.25">
      <c r="A735" s="440">
        <v>45143</v>
      </c>
      <c r="B735" s="391"/>
      <c r="C735" s="307" t="s">
        <v>11793</v>
      </c>
      <c r="D735" s="304">
        <v>20000</v>
      </c>
      <c r="E735" s="304"/>
      <c r="F735" s="48">
        <f t="shared" si="23"/>
        <v>7583411</v>
      </c>
      <c r="G735" s="397" t="s">
        <v>9567</v>
      </c>
    </row>
    <row r="736" spans="1:11" ht="30" x14ac:dyDescent="0.25">
      <c r="A736" s="440">
        <v>45145</v>
      </c>
      <c r="B736" s="391"/>
      <c r="C736" s="307" t="s">
        <v>11855</v>
      </c>
      <c r="D736" s="302">
        <v>88000</v>
      </c>
      <c r="E736" s="302"/>
      <c r="F736" s="48">
        <f t="shared" si="23"/>
        <v>7495411</v>
      </c>
      <c r="G736" s="397" t="s">
        <v>9567</v>
      </c>
    </row>
    <row r="737" spans="1:11" ht="30" x14ac:dyDescent="0.25">
      <c r="A737" s="440">
        <v>45146</v>
      </c>
      <c r="B737" s="391"/>
      <c r="C737" s="307" t="s">
        <v>11867</v>
      </c>
      <c r="D737" s="302">
        <v>50000</v>
      </c>
      <c r="E737" s="302"/>
      <c r="F737" s="48">
        <f t="shared" si="23"/>
        <v>7445411</v>
      </c>
      <c r="G737" s="397" t="s">
        <v>9567</v>
      </c>
    </row>
    <row r="738" spans="1:11" ht="30" x14ac:dyDescent="0.25">
      <c r="A738" s="440">
        <v>45146</v>
      </c>
      <c r="B738" s="391"/>
      <c r="C738" s="307" t="s">
        <v>11868</v>
      </c>
      <c r="D738" s="302">
        <v>27000</v>
      </c>
      <c r="E738" s="302"/>
      <c r="F738" s="48">
        <f t="shared" si="23"/>
        <v>7418411</v>
      </c>
      <c r="G738" s="397" t="s">
        <v>9567</v>
      </c>
    </row>
    <row r="739" spans="1:11" ht="30" x14ac:dyDescent="0.25">
      <c r="A739" s="440">
        <v>45147</v>
      </c>
      <c r="B739" s="391"/>
      <c r="C739" s="307" t="s">
        <v>11876</v>
      </c>
      <c r="D739" s="302">
        <v>200000</v>
      </c>
      <c r="E739" s="302"/>
      <c r="F739" s="48">
        <f t="shared" si="23"/>
        <v>7218411</v>
      </c>
      <c r="G739" s="397" t="s">
        <v>9567</v>
      </c>
    </row>
    <row r="740" spans="1:11" ht="30" x14ac:dyDescent="0.25">
      <c r="A740" s="440">
        <v>45147</v>
      </c>
      <c r="B740" s="391"/>
      <c r="C740" s="307" t="s">
        <v>11726</v>
      </c>
      <c r="D740" s="302">
        <v>100000</v>
      </c>
      <c r="E740" s="302"/>
      <c r="F740" s="48">
        <f t="shared" si="23"/>
        <v>7118411</v>
      </c>
      <c r="G740" s="397" t="s">
        <v>9567</v>
      </c>
    </row>
    <row r="741" spans="1:11" x14ac:dyDescent="0.25">
      <c r="A741" s="440">
        <v>45147</v>
      </c>
      <c r="B741" s="391"/>
      <c r="C741" s="307" t="s">
        <v>11898</v>
      </c>
      <c r="D741" s="302">
        <v>250000</v>
      </c>
      <c r="E741" s="302"/>
      <c r="F741" s="48">
        <f t="shared" si="23"/>
        <v>6868411</v>
      </c>
      <c r="G741" s="397" t="s">
        <v>9567</v>
      </c>
    </row>
    <row r="742" spans="1:11" x14ac:dyDescent="0.25">
      <c r="A742" s="440">
        <v>45147</v>
      </c>
      <c r="B742" s="391"/>
      <c r="C742" s="306" t="s">
        <v>11914</v>
      </c>
      <c r="D742" s="304">
        <v>80000</v>
      </c>
      <c r="E742" s="304"/>
      <c r="F742" s="48">
        <f t="shared" si="23"/>
        <v>6788411</v>
      </c>
      <c r="G742" s="397" t="s">
        <v>9567</v>
      </c>
    </row>
    <row r="743" spans="1:11" x14ac:dyDescent="0.25">
      <c r="A743" s="440">
        <v>45147</v>
      </c>
      <c r="B743" s="391"/>
      <c r="C743" s="307" t="s">
        <v>11930</v>
      </c>
      <c r="D743" s="304">
        <v>100000</v>
      </c>
      <c r="E743" s="304"/>
      <c r="F743" s="48">
        <f t="shared" si="23"/>
        <v>6688411</v>
      </c>
      <c r="G743" s="397" t="s">
        <v>9567</v>
      </c>
    </row>
    <row r="744" spans="1:11" x14ac:dyDescent="0.25">
      <c r="A744" s="440">
        <v>45150</v>
      </c>
      <c r="B744" s="454"/>
      <c r="C744" s="533" t="s">
        <v>11917</v>
      </c>
      <c r="D744" s="534">
        <v>30000</v>
      </c>
      <c r="E744" s="534"/>
      <c r="F744" s="48">
        <f t="shared" si="23"/>
        <v>6658411</v>
      </c>
      <c r="G744" s="397" t="s">
        <v>9567</v>
      </c>
    </row>
    <row r="745" spans="1:11" x14ac:dyDescent="0.25">
      <c r="A745" s="440">
        <v>45153</v>
      </c>
      <c r="B745" s="454"/>
      <c r="C745" s="306" t="s">
        <v>11921</v>
      </c>
      <c r="D745" s="304"/>
      <c r="E745" s="304">
        <v>35000</v>
      </c>
      <c r="F745" s="48">
        <f t="shared" si="23"/>
        <v>6693411</v>
      </c>
      <c r="G745" s="397" t="s">
        <v>9567</v>
      </c>
    </row>
    <row r="746" spans="1:11" x14ac:dyDescent="0.25">
      <c r="A746" s="440">
        <v>45153</v>
      </c>
      <c r="B746" s="454"/>
      <c r="C746" s="307" t="s">
        <v>11925</v>
      </c>
      <c r="D746" s="304">
        <v>205000</v>
      </c>
      <c r="E746" s="304"/>
      <c r="F746" s="48">
        <f t="shared" si="23"/>
        <v>6488411</v>
      </c>
      <c r="G746" s="397" t="s">
        <v>9567</v>
      </c>
    </row>
    <row r="747" spans="1:11" ht="30" x14ac:dyDescent="0.25">
      <c r="A747" s="440">
        <v>45153</v>
      </c>
      <c r="B747" s="454"/>
      <c r="C747" s="307" t="s">
        <v>11929</v>
      </c>
      <c r="D747" s="304">
        <v>139000</v>
      </c>
      <c r="E747" s="304"/>
      <c r="F747" s="48">
        <f t="shared" si="23"/>
        <v>6349411</v>
      </c>
      <c r="G747" s="397" t="s">
        <v>9567</v>
      </c>
    </row>
    <row r="748" spans="1:11" s="354" customFormat="1" ht="30" x14ac:dyDescent="0.25">
      <c r="A748" s="440">
        <v>45155</v>
      </c>
      <c r="B748" s="454"/>
      <c r="C748" s="307" t="s">
        <v>11464</v>
      </c>
      <c r="D748" s="304">
        <v>100000</v>
      </c>
      <c r="E748" s="304"/>
      <c r="F748" s="48">
        <f t="shared" si="23"/>
        <v>6249411</v>
      </c>
      <c r="G748" s="397" t="s">
        <v>9567</v>
      </c>
      <c r="K748" s="376"/>
    </row>
    <row r="749" spans="1:11" ht="30" x14ac:dyDescent="0.25">
      <c r="A749" s="440">
        <v>45157</v>
      </c>
      <c r="B749" s="454"/>
      <c r="C749" s="307" t="s">
        <v>11962</v>
      </c>
      <c r="D749" s="304">
        <v>139500</v>
      </c>
      <c r="E749" s="304"/>
      <c r="F749" s="48">
        <f t="shared" si="23"/>
        <v>6109911</v>
      </c>
      <c r="G749" s="397" t="s">
        <v>9567</v>
      </c>
    </row>
    <row r="750" spans="1:11" x14ac:dyDescent="0.25">
      <c r="A750" s="440">
        <v>45161</v>
      </c>
      <c r="B750" s="454"/>
      <c r="C750" s="306" t="s">
        <v>11984</v>
      </c>
      <c r="D750" s="304"/>
      <c r="E750" s="304">
        <v>343000</v>
      </c>
      <c r="F750" s="48">
        <f t="shared" si="23"/>
        <v>6452911</v>
      </c>
      <c r="G750" s="397" t="s">
        <v>9567</v>
      </c>
    </row>
    <row r="751" spans="1:11" x14ac:dyDescent="0.25">
      <c r="A751" s="440">
        <v>45161</v>
      </c>
      <c r="B751" s="454"/>
      <c r="C751" s="306" t="s">
        <v>11985</v>
      </c>
      <c r="D751" s="304">
        <v>200000</v>
      </c>
      <c r="E751" s="304"/>
      <c r="F751" s="48">
        <f t="shared" si="23"/>
        <v>6252911</v>
      </c>
      <c r="G751" s="397" t="s">
        <v>9567</v>
      </c>
    </row>
    <row r="752" spans="1:11" ht="30" x14ac:dyDescent="0.25">
      <c r="A752" s="440">
        <v>45161</v>
      </c>
      <c r="B752" s="454"/>
      <c r="C752" s="307" t="s">
        <v>11988</v>
      </c>
      <c r="D752" s="304">
        <v>203000</v>
      </c>
      <c r="E752" s="304"/>
      <c r="F752" s="48">
        <f t="shared" si="23"/>
        <v>6049911</v>
      </c>
      <c r="G752" s="397" t="s">
        <v>9567</v>
      </c>
    </row>
    <row r="753" spans="1:9" ht="30" x14ac:dyDescent="0.25">
      <c r="A753" s="440">
        <v>45162</v>
      </c>
      <c r="B753" s="454"/>
      <c r="C753" s="307" t="s">
        <v>11637</v>
      </c>
      <c r="D753" s="304">
        <v>200000</v>
      </c>
      <c r="E753" s="304"/>
      <c r="F753" s="48">
        <f t="shared" si="23"/>
        <v>5849911</v>
      </c>
      <c r="G753" s="397" t="s">
        <v>9567</v>
      </c>
    </row>
    <row r="754" spans="1:9" x14ac:dyDescent="0.25">
      <c r="A754" s="440">
        <v>45164</v>
      </c>
      <c r="B754" s="454"/>
      <c r="C754" s="306" t="s">
        <v>11985</v>
      </c>
      <c r="D754" s="304">
        <v>398500</v>
      </c>
      <c r="E754" s="304"/>
      <c r="F754" s="48">
        <f t="shared" si="23"/>
        <v>5451411</v>
      </c>
      <c r="G754" s="397" t="s">
        <v>9567</v>
      </c>
    </row>
    <row r="755" spans="1:9" x14ac:dyDescent="0.25">
      <c r="A755" s="440">
        <v>45164</v>
      </c>
      <c r="B755" s="454"/>
      <c r="C755" s="306" t="s">
        <v>12008</v>
      </c>
      <c r="D755" s="304"/>
      <c r="E755" s="304">
        <v>4000</v>
      </c>
      <c r="F755" s="48">
        <f t="shared" si="23"/>
        <v>5455411</v>
      </c>
      <c r="G755" s="397" t="s">
        <v>9567</v>
      </c>
    </row>
    <row r="756" spans="1:9" x14ac:dyDescent="0.25">
      <c r="A756" s="440">
        <v>45164</v>
      </c>
      <c r="B756" s="454"/>
      <c r="C756" s="306" t="s">
        <v>12009</v>
      </c>
      <c r="D756" s="304">
        <v>153000</v>
      </c>
      <c r="E756" s="304"/>
      <c r="F756" s="48">
        <f t="shared" si="23"/>
        <v>5302411</v>
      </c>
      <c r="G756" s="397" t="s">
        <v>9567</v>
      </c>
    </row>
    <row r="757" spans="1:9" ht="30" x14ac:dyDescent="0.25">
      <c r="A757" s="440">
        <v>45164</v>
      </c>
      <c r="B757" s="454"/>
      <c r="C757" s="307" t="s">
        <v>12011</v>
      </c>
      <c r="D757" s="304">
        <v>53000</v>
      </c>
      <c r="E757" s="304"/>
      <c r="F757" s="48">
        <f t="shared" si="23"/>
        <v>5249411</v>
      </c>
      <c r="G757" s="397" t="s">
        <v>9567</v>
      </c>
    </row>
    <row r="758" spans="1:9" ht="30" x14ac:dyDescent="0.25">
      <c r="A758" s="440">
        <v>45164</v>
      </c>
      <c r="B758" s="454"/>
      <c r="C758" s="307" t="s">
        <v>12010</v>
      </c>
      <c r="D758" s="304">
        <v>30000</v>
      </c>
      <c r="E758" s="304"/>
      <c r="F758" s="48">
        <f t="shared" si="23"/>
        <v>5219411</v>
      </c>
      <c r="G758" s="397" t="s">
        <v>9567</v>
      </c>
    </row>
    <row r="759" spans="1:9" x14ac:dyDescent="0.25">
      <c r="A759" s="440">
        <v>45164</v>
      </c>
      <c r="B759" s="391"/>
      <c r="C759" s="292" t="s">
        <v>12014</v>
      </c>
      <c r="D759" s="304">
        <v>30000</v>
      </c>
      <c r="E759" s="304"/>
      <c r="F759" s="48">
        <f t="shared" si="23"/>
        <v>5189411</v>
      </c>
      <c r="G759" s="397" t="s">
        <v>9567</v>
      </c>
    </row>
    <row r="760" spans="1:9" x14ac:dyDescent="0.25">
      <c r="A760" s="440">
        <v>45167</v>
      </c>
      <c r="B760" s="391"/>
      <c r="C760" s="292" t="s">
        <v>12018</v>
      </c>
      <c r="D760" s="304">
        <v>200000</v>
      </c>
      <c r="E760" s="304"/>
      <c r="F760" s="48">
        <f t="shared" si="23"/>
        <v>4989411</v>
      </c>
      <c r="G760" s="397" t="s">
        <v>9567</v>
      </c>
    </row>
    <row r="761" spans="1:9" ht="30" x14ac:dyDescent="0.25">
      <c r="A761" s="440">
        <v>45167</v>
      </c>
      <c r="B761" s="391"/>
      <c r="C761" s="303" t="s">
        <v>12020</v>
      </c>
      <c r="D761" s="302"/>
      <c r="E761" s="302">
        <v>2000000</v>
      </c>
      <c r="F761" s="48">
        <f t="shared" si="23"/>
        <v>6989411</v>
      </c>
      <c r="G761" s="397" t="s">
        <v>9567</v>
      </c>
    </row>
    <row r="762" spans="1:9" x14ac:dyDescent="0.25">
      <c r="A762" s="440">
        <v>45167</v>
      </c>
      <c r="B762" s="391"/>
      <c r="C762" s="303" t="s">
        <v>12019</v>
      </c>
      <c r="D762" s="302"/>
      <c r="E762" s="302">
        <v>3500000</v>
      </c>
      <c r="F762" s="48">
        <f t="shared" si="23"/>
        <v>10489411</v>
      </c>
      <c r="G762" s="397" t="s">
        <v>9567</v>
      </c>
    </row>
    <row r="763" spans="1:9" x14ac:dyDescent="0.25">
      <c r="A763" s="440">
        <v>45167</v>
      </c>
      <c r="B763" s="391"/>
      <c r="C763" s="292" t="s">
        <v>12021</v>
      </c>
      <c r="D763" s="302">
        <v>3500000</v>
      </c>
      <c r="E763" s="302"/>
      <c r="F763" s="48">
        <f t="shared" si="23"/>
        <v>6989411</v>
      </c>
      <c r="G763" s="397" t="s">
        <v>9567</v>
      </c>
    </row>
    <row r="764" spans="1:9" x14ac:dyDescent="0.25">
      <c r="A764" s="440">
        <v>45167</v>
      </c>
      <c r="B764" s="391"/>
      <c r="C764" s="306" t="s">
        <v>11985</v>
      </c>
      <c r="D764" s="304">
        <v>100000</v>
      </c>
      <c r="E764" s="304"/>
      <c r="F764" s="48">
        <f t="shared" si="23"/>
        <v>6889411</v>
      </c>
      <c r="G764" s="397" t="s">
        <v>9567</v>
      </c>
    </row>
    <row r="765" spans="1:9" ht="30" x14ac:dyDescent="0.25">
      <c r="A765" s="440">
        <v>45167</v>
      </c>
      <c r="B765" s="391"/>
      <c r="C765" s="307" t="s">
        <v>11770</v>
      </c>
      <c r="D765" s="304">
        <v>250000</v>
      </c>
      <c r="E765" s="304"/>
      <c r="F765" s="48">
        <f t="shared" si="23"/>
        <v>6639411</v>
      </c>
      <c r="G765" s="397" t="s">
        <v>9567</v>
      </c>
    </row>
    <row r="766" spans="1:9" ht="30" x14ac:dyDescent="0.25">
      <c r="A766" s="440">
        <v>45167</v>
      </c>
      <c r="B766" s="391"/>
      <c r="C766" s="307" t="s">
        <v>11770</v>
      </c>
      <c r="D766" s="304">
        <v>93000</v>
      </c>
      <c r="E766" s="304"/>
      <c r="F766" s="48">
        <f t="shared" si="23"/>
        <v>6546411</v>
      </c>
      <c r="G766" s="397" t="s">
        <v>9567</v>
      </c>
    </row>
    <row r="767" spans="1:9" ht="30" x14ac:dyDescent="0.25">
      <c r="A767" s="440">
        <v>45167</v>
      </c>
      <c r="B767" s="391"/>
      <c r="C767" s="307" t="s">
        <v>11772</v>
      </c>
      <c r="D767" s="304">
        <v>250000</v>
      </c>
      <c r="E767" s="304"/>
      <c r="F767" s="48">
        <f t="shared" si="23"/>
        <v>6296411</v>
      </c>
      <c r="G767" s="397" t="s">
        <v>9567</v>
      </c>
    </row>
    <row r="768" spans="1:9" ht="30" x14ac:dyDescent="0.25">
      <c r="A768" s="440">
        <v>45167</v>
      </c>
      <c r="B768" s="391"/>
      <c r="C768" s="307" t="s">
        <v>11772</v>
      </c>
      <c r="D768" s="304">
        <v>82800</v>
      </c>
      <c r="E768" s="304"/>
      <c r="F768" s="48">
        <f t="shared" si="23"/>
        <v>6213611</v>
      </c>
      <c r="G768" s="397" t="s">
        <v>9567</v>
      </c>
      <c r="I768" s="277"/>
    </row>
    <row r="769" spans="1:11" x14ac:dyDescent="0.25">
      <c r="A769" s="440">
        <v>45167</v>
      </c>
      <c r="B769" s="391"/>
      <c r="C769" s="292" t="s">
        <v>12032</v>
      </c>
      <c r="D769" s="304">
        <v>20000</v>
      </c>
      <c r="E769" s="304"/>
      <c r="F769" s="48">
        <f t="shared" si="23"/>
        <v>6193611</v>
      </c>
      <c r="G769" s="397" t="s">
        <v>9567</v>
      </c>
      <c r="I769" s="277"/>
    </row>
    <row r="770" spans="1:11" ht="30" x14ac:dyDescent="0.25">
      <c r="A770" s="440">
        <v>45168</v>
      </c>
      <c r="B770" s="391"/>
      <c r="C770" s="307" t="s">
        <v>12034</v>
      </c>
      <c r="D770" s="304">
        <v>250000</v>
      </c>
      <c r="E770" s="304"/>
      <c r="F770" s="48">
        <f t="shared" si="23"/>
        <v>5943611</v>
      </c>
      <c r="G770" s="397" t="s">
        <v>9567</v>
      </c>
    </row>
    <row r="771" spans="1:11" ht="30" x14ac:dyDescent="0.25">
      <c r="A771" s="440">
        <v>45168</v>
      </c>
      <c r="B771" s="391"/>
      <c r="C771" s="307" t="s">
        <v>12034</v>
      </c>
      <c r="D771" s="304">
        <v>150000</v>
      </c>
      <c r="E771" s="304"/>
      <c r="F771" s="48">
        <f t="shared" si="23"/>
        <v>5793611</v>
      </c>
      <c r="G771" s="397" t="s">
        <v>9567</v>
      </c>
    </row>
    <row r="772" spans="1:11" ht="30" x14ac:dyDescent="0.25">
      <c r="A772" s="440">
        <v>45168</v>
      </c>
      <c r="B772" s="391"/>
      <c r="C772" s="307" t="s">
        <v>12034</v>
      </c>
      <c r="D772" s="304">
        <v>250000</v>
      </c>
      <c r="E772" s="304"/>
      <c r="F772" s="48">
        <f t="shared" si="23"/>
        <v>5543611</v>
      </c>
      <c r="G772" s="397" t="s">
        <v>9567</v>
      </c>
    </row>
    <row r="773" spans="1:11" ht="30" x14ac:dyDescent="0.25">
      <c r="A773" s="440">
        <v>45168</v>
      </c>
      <c r="B773" s="391"/>
      <c r="C773" s="307" t="s">
        <v>12034</v>
      </c>
      <c r="D773" s="304">
        <v>150000</v>
      </c>
      <c r="E773" s="304"/>
      <c r="F773" s="48">
        <f t="shared" si="23"/>
        <v>5393611</v>
      </c>
      <c r="G773" s="397" t="s">
        <v>9567</v>
      </c>
    </row>
    <row r="774" spans="1:11" x14ac:dyDescent="0.25">
      <c r="A774" s="440">
        <v>45168</v>
      </c>
      <c r="B774" s="391"/>
      <c r="C774" s="307" t="s">
        <v>12035</v>
      </c>
      <c r="D774" s="304">
        <v>100000</v>
      </c>
      <c r="E774" s="304"/>
      <c r="F774" s="48">
        <f t="shared" si="23"/>
        <v>5293611</v>
      </c>
      <c r="G774" s="397" t="s">
        <v>9567</v>
      </c>
    </row>
    <row r="775" spans="1:11" ht="30" x14ac:dyDescent="0.25">
      <c r="A775" s="440">
        <v>45169</v>
      </c>
      <c r="B775" s="454"/>
      <c r="C775" s="307" t="s">
        <v>12039</v>
      </c>
      <c r="D775" s="304">
        <v>228400</v>
      </c>
      <c r="E775" s="304"/>
      <c r="F775" s="48">
        <f t="shared" si="23"/>
        <v>5065211</v>
      </c>
      <c r="G775" s="397" t="s">
        <v>9567</v>
      </c>
      <c r="I775" s="277"/>
    </row>
    <row r="776" spans="1:11" ht="30" x14ac:dyDescent="0.25">
      <c r="A776" s="440">
        <v>45174</v>
      </c>
      <c r="B776" s="391"/>
      <c r="C776" s="303" t="s">
        <v>12065</v>
      </c>
      <c r="D776" s="302"/>
      <c r="E776" s="302">
        <v>2000000</v>
      </c>
      <c r="F776" s="48">
        <f t="shared" si="23"/>
        <v>7065211</v>
      </c>
      <c r="G776" s="397" t="s">
        <v>9567</v>
      </c>
    </row>
    <row r="777" spans="1:11" s="354" customFormat="1" ht="30" x14ac:dyDescent="0.25">
      <c r="A777" s="440">
        <v>45174</v>
      </c>
      <c r="B777" s="454"/>
      <c r="C777" s="307" t="s">
        <v>12066</v>
      </c>
      <c r="D777" s="304">
        <v>250000</v>
      </c>
      <c r="E777" s="304"/>
      <c r="F777" s="48">
        <f t="shared" si="23"/>
        <v>6815211</v>
      </c>
      <c r="G777" s="397" t="s">
        <v>9567</v>
      </c>
      <c r="K777" s="376"/>
    </row>
    <row r="778" spans="1:11" s="354" customFormat="1" ht="30" x14ac:dyDescent="0.25">
      <c r="A778" s="440">
        <v>45174</v>
      </c>
      <c r="B778" s="454"/>
      <c r="C778" s="307" t="s">
        <v>12066</v>
      </c>
      <c r="D778" s="304">
        <v>70000</v>
      </c>
      <c r="E778" s="304"/>
      <c r="F778" s="48">
        <f t="shared" si="23"/>
        <v>6745211</v>
      </c>
      <c r="G778" s="397" t="s">
        <v>9567</v>
      </c>
      <c r="K778" s="376"/>
    </row>
    <row r="779" spans="1:11" x14ac:dyDescent="0.25">
      <c r="A779" s="440">
        <v>45174</v>
      </c>
      <c r="B779" s="391"/>
      <c r="C779" s="292" t="s">
        <v>12067</v>
      </c>
      <c r="D779" s="302">
        <v>100000</v>
      </c>
      <c r="E779" s="302"/>
      <c r="F779" s="48">
        <f t="shared" si="23"/>
        <v>6645211</v>
      </c>
      <c r="G779" s="397" t="s">
        <v>9567</v>
      </c>
    </row>
    <row r="780" spans="1:11" x14ac:dyDescent="0.25">
      <c r="A780" s="440">
        <v>45174</v>
      </c>
      <c r="B780" s="391"/>
      <c r="C780" s="313" t="s">
        <v>12070</v>
      </c>
      <c r="D780" s="310">
        <v>40000</v>
      </c>
      <c r="E780" s="310"/>
      <c r="F780" s="48">
        <f t="shared" si="23"/>
        <v>6605211</v>
      </c>
      <c r="G780" s="397" t="s">
        <v>9567</v>
      </c>
    </row>
    <row r="781" spans="1:11" x14ac:dyDescent="0.25">
      <c r="A781" s="440">
        <v>45175</v>
      </c>
      <c r="B781" s="391"/>
      <c r="C781" s="292" t="s">
        <v>12071</v>
      </c>
      <c r="D781" s="302">
        <v>1300000</v>
      </c>
      <c r="E781" s="302"/>
      <c r="F781" s="48">
        <f t="shared" si="23"/>
        <v>5305211</v>
      </c>
      <c r="G781" s="397" t="s">
        <v>9567</v>
      </c>
    </row>
    <row r="782" spans="1:11" x14ac:dyDescent="0.25">
      <c r="A782" s="440">
        <v>45175</v>
      </c>
      <c r="B782" s="391"/>
      <c r="C782" s="306" t="s">
        <v>12072</v>
      </c>
      <c r="D782" s="304">
        <v>80000</v>
      </c>
      <c r="E782" s="304"/>
      <c r="F782" s="48">
        <f t="shared" si="23"/>
        <v>5225211</v>
      </c>
      <c r="G782" s="397" t="s">
        <v>9567</v>
      </c>
    </row>
    <row r="783" spans="1:11" ht="30" x14ac:dyDescent="0.25">
      <c r="A783" s="440">
        <v>45175</v>
      </c>
      <c r="B783" s="391"/>
      <c r="C783" s="303" t="s">
        <v>12090</v>
      </c>
      <c r="D783" s="302"/>
      <c r="E783" s="302">
        <v>1000000</v>
      </c>
      <c r="F783" s="48">
        <f t="shared" si="23"/>
        <v>6225211</v>
      </c>
      <c r="G783" s="397" t="s">
        <v>9567</v>
      </c>
    </row>
    <row r="784" spans="1:11" ht="30" x14ac:dyDescent="0.25">
      <c r="A784" s="440">
        <v>45175</v>
      </c>
      <c r="B784" s="391"/>
      <c r="C784" s="303" t="s">
        <v>12091</v>
      </c>
      <c r="D784" s="302"/>
      <c r="E784" s="302">
        <v>1000000</v>
      </c>
      <c r="F784" s="48">
        <f t="shared" ref="F784:F845" si="24">F783+E784-D784</f>
        <v>7225211</v>
      </c>
      <c r="G784" s="397" t="s">
        <v>9567</v>
      </c>
    </row>
    <row r="785" spans="1:11" ht="30" x14ac:dyDescent="0.25">
      <c r="A785" s="440">
        <v>45176</v>
      </c>
      <c r="B785" s="391"/>
      <c r="C785" s="307" t="s">
        <v>12097</v>
      </c>
      <c r="D785" s="304">
        <v>250000</v>
      </c>
      <c r="E785" s="304"/>
      <c r="F785" s="48">
        <f t="shared" si="24"/>
        <v>6975211</v>
      </c>
      <c r="G785" s="397" t="s">
        <v>9567</v>
      </c>
    </row>
    <row r="786" spans="1:11" ht="30" x14ac:dyDescent="0.25">
      <c r="A786" s="440">
        <v>45176</v>
      </c>
      <c r="B786" s="391"/>
      <c r="C786" s="307" t="s">
        <v>12097</v>
      </c>
      <c r="D786" s="304">
        <v>250000</v>
      </c>
      <c r="E786" s="304"/>
      <c r="F786" s="48">
        <f t="shared" si="24"/>
        <v>6725211</v>
      </c>
      <c r="G786" s="397" t="s">
        <v>9567</v>
      </c>
    </row>
    <row r="787" spans="1:11" ht="30" x14ac:dyDescent="0.25">
      <c r="A787" s="440">
        <v>45176</v>
      </c>
      <c r="B787" s="391"/>
      <c r="C787" s="307" t="s">
        <v>12097</v>
      </c>
      <c r="D787" s="304">
        <v>3600</v>
      </c>
      <c r="E787" s="304"/>
      <c r="F787" s="48">
        <f t="shared" si="24"/>
        <v>6721611</v>
      </c>
      <c r="G787" s="397" t="s">
        <v>9567</v>
      </c>
    </row>
    <row r="788" spans="1:11" ht="30" x14ac:dyDescent="0.25">
      <c r="A788" s="440">
        <v>45176</v>
      </c>
      <c r="B788" s="391"/>
      <c r="C788" s="307" t="s">
        <v>12098</v>
      </c>
      <c r="D788" s="304">
        <v>40000</v>
      </c>
      <c r="E788" s="304"/>
      <c r="F788" s="48">
        <f t="shared" si="24"/>
        <v>6681611</v>
      </c>
      <c r="G788" s="397" t="s">
        <v>9567</v>
      </c>
    </row>
    <row r="789" spans="1:11" x14ac:dyDescent="0.25">
      <c r="A789" s="440">
        <v>45178</v>
      </c>
      <c r="B789" s="391"/>
      <c r="C789" s="292" t="s">
        <v>12071</v>
      </c>
      <c r="D789" s="302">
        <v>500000</v>
      </c>
      <c r="E789" s="302"/>
      <c r="F789" s="48">
        <f t="shared" si="24"/>
        <v>6181611</v>
      </c>
      <c r="G789" s="397" t="s">
        <v>9567</v>
      </c>
    </row>
    <row r="790" spans="1:11" x14ac:dyDescent="0.25">
      <c r="A790" s="440">
        <v>45178</v>
      </c>
      <c r="B790" s="391"/>
      <c r="C790" s="307" t="s">
        <v>11804</v>
      </c>
      <c r="D790" s="304">
        <v>174000</v>
      </c>
      <c r="E790" s="304"/>
      <c r="F790" s="48">
        <f t="shared" si="24"/>
        <v>6007611</v>
      </c>
      <c r="G790" s="397" t="s">
        <v>9567</v>
      </c>
    </row>
    <row r="791" spans="1:11" x14ac:dyDescent="0.25">
      <c r="A791" s="440">
        <v>45178</v>
      </c>
      <c r="B791" s="391"/>
      <c r="C791" s="307" t="s">
        <v>12106</v>
      </c>
      <c r="D791" s="302">
        <v>100000</v>
      </c>
      <c r="E791" s="302"/>
      <c r="F791" s="48">
        <f t="shared" si="24"/>
        <v>5907611</v>
      </c>
      <c r="G791" s="397" t="s">
        <v>9567</v>
      </c>
    </row>
    <row r="792" spans="1:11" x14ac:dyDescent="0.25">
      <c r="A792" s="440">
        <v>45178</v>
      </c>
      <c r="B792" s="391"/>
      <c r="C792" s="292" t="s">
        <v>12112</v>
      </c>
      <c r="D792" s="302">
        <v>5000</v>
      </c>
      <c r="E792" s="302"/>
      <c r="F792" s="48">
        <f t="shared" si="24"/>
        <v>5902611</v>
      </c>
      <c r="G792" s="397" t="s">
        <v>9567</v>
      </c>
    </row>
    <row r="793" spans="1:11" x14ac:dyDescent="0.25">
      <c r="A793" s="440">
        <v>45178</v>
      </c>
      <c r="B793" s="391"/>
      <c r="C793" s="292" t="s">
        <v>12112</v>
      </c>
      <c r="D793" s="302">
        <v>5000</v>
      </c>
      <c r="E793" s="302"/>
      <c r="F793" s="48">
        <f t="shared" si="24"/>
        <v>5897611</v>
      </c>
      <c r="G793" s="397" t="s">
        <v>9567</v>
      </c>
    </row>
    <row r="794" spans="1:11" ht="30" x14ac:dyDescent="0.25">
      <c r="A794" s="440">
        <v>45180</v>
      </c>
      <c r="B794" s="391"/>
      <c r="C794" s="303" t="s">
        <v>12115</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12120</v>
      </c>
      <c r="D796" s="302">
        <v>200000</v>
      </c>
      <c r="E796" s="302"/>
      <c r="F796" s="48">
        <f t="shared" si="24"/>
        <v>5459611</v>
      </c>
      <c r="G796" s="397" t="s">
        <v>9567</v>
      </c>
    </row>
    <row r="797" spans="1:11" ht="30" x14ac:dyDescent="0.25">
      <c r="A797" s="440">
        <v>45181</v>
      </c>
      <c r="B797" s="391"/>
      <c r="C797" s="303" t="s">
        <v>12121</v>
      </c>
      <c r="D797" s="302">
        <v>85250</v>
      </c>
      <c r="E797" s="302"/>
      <c r="F797" s="48">
        <f t="shared" si="24"/>
        <v>5374361</v>
      </c>
      <c r="G797" s="397" t="s">
        <v>9567</v>
      </c>
    </row>
    <row r="798" spans="1:11" s="354" customFormat="1" x14ac:dyDescent="0.25">
      <c r="A798" s="440">
        <v>45181</v>
      </c>
      <c r="B798" s="454"/>
      <c r="C798" s="306" t="s">
        <v>11985</v>
      </c>
      <c r="D798" s="304">
        <v>1500000</v>
      </c>
      <c r="E798" s="304"/>
      <c r="F798" s="48">
        <f t="shared" si="24"/>
        <v>3874361</v>
      </c>
      <c r="G798" s="397" t="s">
        <v>9567</v>
      </c>
      <c r="K798" s="376"/>
    </row>
    <row r="799" spans="1:11" s="354" customFormat="1" ht="30" x14ac:dyDescent="0.25">
      <c r="A799" s="440">
        <v>45182</v>
      </c>
      <c r="B799" s="454"/>
      <c r="C799" s="307" t="s">
        <v>12125</v>
      </c>
      <c r="D799" s="304">
        <v>50000</v>
      </c>
      <c r="E799" s="304"/>
      <c r="F799" s="48">
        <f t="shared" si="24"/>
        <v>3824361</v>
      </c>
      <c r="G799" s="397" t="s">
        <v>9567</v>
      </c>
      <c r="K799" s="376"/>
    </row>
    <row r="800" spans="1:11" s="354" customFormat="1" x14ac:dyDescent="0.25">
      <c r="A800" s="440">
        <v>45182</v>
      </c>
      <c r="B800" s="454"/>
      <c r="C800" s="307" t="s">
        <v>12143</v>
      </c>
      <c r="D800" s="304">
        <v>50000</v>
      </c>
      <c r="E800" s="304"/>
      <c r="F800" s="48">
        <f t="shared" si="24"/>
        <v>3774361</v>
      </c>
      <c r="G800" s="397" t="s">
        <v>9567</v>
      </c>
      <c r="K800" s="376"/>
    </row>
    <row r="801" spans="1:11" s="354" customFormat="1" ht="30" x14ac:dyDescent="0.25">
      <c r="A801" s="440">
        <v>45184</v>
      </c>
      <c r="B801" s="454"/>
      <c r="C801" s="307" t="s">
        <v>12144</v>
      </c>
      <c r="D801" s="304">
        <v>80000</v>
      </c>
      <c r="E801" s="304"/>
      <c r="F801" s="48">
        <f t="shared" si="24"/>
        <v>3694361</v>
      </c>
      <c r="G801" s="397" t="s">
        <v>9567</v>
      </c>
      <c r="K801" s="376"/>
    </row>
    <row r="802" spans="1:11" s="354" customFormat="1" ht="30" x14ac:dyDescent="0.25">
      <c r="A802" s="440">
        <v>45184</v>
      </c>
      <c r="B802" s="454"/>
      <c r="C802" s="307" t="s">
        <v>12151</v>
      </c>
      <c r="D802" s="304"/>
      <c r="E802" s="304">
        <v>3426842</v>
      </c>
      <c r="F802" s="48">
        <f t="shared" si="24"/>
        <v>7121203</v>
      </c>
      <c r="G802" s="397" t="s">
        <v>9567</v>
      </c>
      <c r="K802" s="376"/>
    </row>
    <row r="803" spans="1:11" s="354" customFormat="1" x14ac:dyDescent="0.25">
      <c r="A803" s="440">
        <v>45184</v>
      </c>
      <c r="B803" s="454"/>
      <c r="C803" s="306" t="s">
        <v>12153</v>
      </c>
      <c r="D803" s="304">
        <v>20000</v>
      </c>
      <c r="E803" s="304"/>
      <c r="F803" s="48">
        <f t="shared" si="24"/>
        <v>7101203</v>
      </c>
      <c r="G803" s="397" t="s">
        <v>9567</v>
      </c>
      <c r="K803" s="376"/>
    </row>
    <row r="804" spans="1:11" s="354" customFormat="1" ht="30" x14ac:dyDescent="0.25">
      <c r="A804" s="440">
        <v>45184</v>
      </c>
      <c r="B804" s="454"/>
      <c r="C804" s="307" t="s">
        <v>12161</v>
      </c>
      <c r="D804" s="304">
        <v>35000</v>
      </c>
      <c r="E804" s="304"/>
      <c r="F804" s="48">
        <f t="shared" si="24"/>
        <v>7066203</v>
      </c>
      <c r="G804" s="397" t="s">
        <v>9567</v>
      </c>
      <c r="K804" s="376"/>
    </row>
    <row r="805" spans="1:11" s="354" customFormat="1" ht="30" x14ac:dyDescent="0.25">
      <c r="A805" s="440">
        <v>45184</v>
      </c>
      <c r="B805" s="454"/>
      <c r="C805" s="307" t="s">
        <v>12160</v>
      </c>
      <c r="D805" s="304">
        <v>100000</v>
      </c>
      <c r="E805" s="304"/>
      <c r="F805" s="48">
        <f t="shared" si="24"/>
        <v>6966203</v>
      </c>
      <c r="G805" s="397" t="s">
        <v>9567</v>
      </c>
      <c r="K805" s="376"/>
    </row>
    <row r="806" spans="1:11" s="354" customFormat="1" x14ac:dyDescent="0.25">
      <c r="A806" s="440">
        <v>45188</v>
      </c>
      <c r="B806" s="454"/>
      <c r="C806" s="306" t="s">
        <v>12177</v>
      </c>
      <c r="D806" s="304"/>
      <c r="E806" s="304">
        <v>60000</v>
      </c>
      <c r="F806" s="48">
        <f t="shared" si="24"/>
        <v>7026203</v>
      </c>
      <c r="G806" s="397" t="s">
        <v>9567</v>
      </c>
      <c r="K806" s="376"/>
    </row>
    <row r="807" spans="1:11" s="354" customFormat="1" x14ac:dyDescent="0.25">
      <c r="A807" s="440">
        <v>45188</v>
      </c>
      <c r="B807" s="454"/>
      <c r="C807" s="306" t="s">
        <v>12179</v>
      </c>
      <c r="D807" s="304"/>
      <c r="E807" s="304">
        <v>250000</v>
      </c>
      <c r="F807" s="48">
        <f t="shared" si="24"/>
        <v>7276203</v>
      </c>
      <c r="G807" s="397" t="s">
        <v>9567</v>
      </c>
      <c r="K807" s="376"/>
    </row>
    <row r="808" spans="1:11" s="354" customFormat="1" x14ac:dyDescent="0.25">
      <c r="A808" s="440">
        <v>45188</v>
      </c>
      <c r="B808" s="454"/>
      <c r="C808" s="306" t="s">
        <v>12180</v>
      </c>
      <c r="D808" s="304">
        <v>500000</v>
      </c>
      <c r="E808" s="304"/>
      <c r="F808" s="48">
        <f t="shared" si="24"/>
        <v>6776203</v>
      </c>
      <c r="G808" s="397" t="s">
        <v>9567</v>
      </c>
      <c r="K808" s="376"/>
    </row>
    <row r="809" spans="1:11" s="354" customFormat="1" x14ac:dyDescent="0.25">
      <c r="A809" s="440">
        <v>45188</v>
      </c>
      <c r="B809" s="454"/>
      <c r="C809" s="306" t="s">
        <v>12182</v>
      </c>
      <c r="D809" s="304">
        <v>50000</v>
      </c>
      <c r="E809" s="304"/>
      <c r="F809" s="48">
        <f t="shared" si="24"/>
        <v>6726203</v>
      </c>
      <c r="G809" s="397" t="s">
        <v>9567</v>
      </c>
      <c r="K809" s="376"/>
    </row>
    <row r="810" spans="1:11" s="354" customFormat="1" x14ac:dyDescent="0.25">
      <c r="A810" s="440">
        <v>45191</v>
      </c>
      <c r="B810" s="454"/>
      <c r="C810" s="306" t="s">
        <v>11985</v>
      </c>
      <c r="D810" s="304">
        <v>100000</v>
      </c>
      <c r="E810" s="304"/>
      <c r="F810" s="48">
        <f t="shared" si="24"/>
        <v>6626203</v>
      </c>
      <c r="G810" s="397" t="s">
        <v>9567</v>
      </c>
      <c r="K810" s="376"/>
    </row>
    <row r="811" spans="1:11" s="354" customFormat="1" x14ac:dyDescent="0.25">
      <c r="A811" s="440">
        <v>45191</v>
      </c>
      <c r="B811" s="454"/>
      <c r="C811" s="306" t="s">
        <v>12214</v>
      </c>
      <c r="D811" s="304">
        <v>69000</v>
      </c>
      <c r="E811" s="304"/>
      <c r="F811" s="48">
        <f t="shared" si="24"/>
        <v>6557203</v>
      </c>
      <c r="G811" s="397" t="s">
        <v>9567</v>
      </c>
      <c r="K811" s="376"/>
    </row>
    <row r="812" spans="1:11" s="354" customFormat="1" x14ac:dyDescent="0.25">
      <c r="A812" s="440">
        <v>45192</v>
      </c>
      <c r="B812" s="454"/>
      <c r="C812" s="306" t="s">
        <v>11985</v>
      </c>
      <c r="D812" s="304">
        <v>50000</v>
      </c>
      <c r="E812" s="304"/>
      <c r="F812" s="48">
        <f t="shared" si="24"/>
        <v>6507203</v>
      </c>
      <c r="G812" s="397" t="s">
        <v>9567</v>
      </c>
      <c r="K812" s="376"/>
    </row>
    <row r="813" spans="1:11" s="354" customFormat="1" ht="30" x14ac:dyDescent="0.25">
      <c r="A813" s="440">
        <v>45195</v>
      </c>
      <c r="B813" s="454"/>
      <c r="C813" s="307" t="s">
        <v>12219</v>
      </c>
      <c r="D813" s="304">
        <v>37000</v>
      </c>
      <c r="E813" s="304"/>
      <c r="F813" s="48">
        <f t="shared" si="24"/>
        <v>6470203</v>
      </c>
      <c r="G813" s="397" t="s">
        <v>9567</v>
      </c>
      <c r="K813" s="376"/>
    </row>
    <row r="814" spans="1:11" s="354" customFormat="1" ht="30" x14ac:dyDescent="0.25">
      <c r="A814" s="440">
        <v>45195</v>
      </c>
      <c r="B814" s="454"/>
      <c r="C814" s="307" t="s">
        <v>12220</v>
      </c>
      <c r="D814" s="304">
        <v>143450</v>
      </c>
      <c r="E814" s="304"/>
      <c r="F814" s="48">
        <f t="shared" si="24"/>
        <v>6326753</v>
      </c>
      <c r="G814" s="397" t="s">
        <v>9567</v>
      </c>
      <c r="K814" s="376"/>
    </row>
    <row r="815" spans="1:11" s="354" customFormat="1" x14ac:dyDescent="0.25">
      <c r="A815" s="440">
        <v>45197</v>
      </c>
      <c r="B815" s="454"/>
      <c r="C815" s="306" t="s">
        <v>11985</v>
      </c>
      <c r="D815" s="304">
        <v>100000</v>
      </c>
      <c r="E815" s="304"/>
      <c r="F815" s="48">
        <f t="shared" si="24"/>
        <v>6226753</v>
      </c>
      <c r="G815" s="397" t="s">
        <v>9567</v>
      </c>
      <c r="K815" s="376"/>
    </row>
    <row r="816" spans="1:11" s="354" customFormat="1" x14ac:dyDescent="0.25">
      <c r="A816" s="440">
        <v>45198</v>
      </c>
      <c r="B816" s="454"/>
      <c r="C816" s="306" t="s">
        <v>12254</v>
      </c>
      <c r="D816" s="304">
        <v>132000</v>
      </c>
      <c r="E816" s="304"/>
      <c r="F816" s="48">
        <f t="shared" si="24"/>
        <v>6094753</v>
      </c>
      <c r="G816" s="397" t="s">
        <v>9567</v>
      </c>
      <c r="K816" s="376"/>
    </row>
    <row r="817" spans="1:11" s="354" customFormat="1" x14ac:dyDescent="0.25">
      <c r="A817" s="440">
        <v>45201</v>
      </c>
      <c r="B817" s="454"/>
      <c r="C817" s="306" t="s">
        <v>11985</v>
      </c>
      <c r="D817" s="304">
        <v>100000</v>
      </c>
      <c r="E817" s="304"/>
      <c r="F817" s="48">
        <f t="shared" si="24"/>
        <v>5994753</v>
      </c>
      <c r="G817" s="397" t="s">
        <v>9567</v>
      </c>
      <c r="K817" s="376"/>
    </row>
    <row r="818" spans="1:11" s="354" customFormat="1" x14ac:dyDescent="0.25">
      <c r="A818" s="440">
        <v>45201</v>
      </c>
      <c r="B818" s="454"/>
      <c r="C818" s="306" t="s">
        <v>12275</v>
      </c>
      <c r="D818" s="304"/>
      <c r="E818" s="304">
        <v>25000</v>
      </c>
      <c r="F818" s="48">
        <f t="shared" si="24"/>
        <v>6019753</v>
      </c>
      <c r="G818" s="397" t="s">
        <v>9567</v>
      </c>
      <c r="K818" s="376"/>
    </row>
    <row r="819" spans="1:11" s="354" customFormat="1" x14ac:dyDescent="0.25">
      <c r="A819" s="440">
        <v>45202</v>
      </c>
      <c r="B819" s="454"/>
      <c r="C819" s="306" t="s">
        <v>11985</v>
      </c>
      <c r="D819" s="304">
        <v>100000</v>
      </c>
      <c r="E819" s="304"/>
      <c r="F819" s="48">
        <f t="shared" si="24"/>
        <v>5919753</v>
      </c>
      <c r="G819" s="397" t="s">
        <v>9567</v>
      </c>
      <c r="K819" s="376"/>
    </row>
    <row r="820" spans="1:11" x14ac:dyDescent="0.25">
      <c r="A820" s="440">
        <v>45203</v>
      </c>
      <c r="B820" s="391"/>
      <c r="C820" s="292" t="s">
        <v>12276</v>
      </c>
      <c r="D820" s="302">
        <v>5000</v>
      </c>
      <c r="E820" s="302"/>
      <c r="F820" s="48">
        <f t="shared" si="24"/>
        <v>5914753</v>
      </c>
      <c r="G820" s="397" t="s">
        <v>9567</v>
      </c>
    </row>
    <row r="821" spans="1:11" x14ac:dyDescent="0.25">
      <c r="A821" s="440">
        <v>45203</v>
      </c>
      <c r="B821" s="391"/>
      <c r="C821" s="292" t="s">
        <v>12277</v>
      </c>
      <c r="D821" s="302">
        <v>10000</v>
      </c>
      <c r="E821" s="302"/>
      <c r="F821" s="48">
        <f t="shared" si="24"/>
        <v>5904753</v>
      </c>
      <c r="G821" s="397" t="s">
        <v>9567</v>
      </c>
    </row>
    <row r="822" spans="1:11" x14ac:dyDescent="0.25">
      <c r="A822" s="440">
        <v>45208</v>
      </c>
      <c r="B822" s="391"/>
      <c r="C822" s="292" t="s">
        <v>12299</v>
      </c>
      <c r="D822" s="302">
        <v>72000</v>
      </c>
      <c r="E822" s="302"/>
      <c r="F822" s="48">
        <f t="shared" si="24"/>
        <v>5832753</v>
      </c>
      <c r="G822" s="397" t="s">
        <v>9567</v>
      </c>
    </row>
    <row r="823" spans="1:11" x14ac:dyDescent="0.25">
      <c r="A823" s="440">
        <v>45208</v>
      </c>
      <c r="B823" s="391"/>
      <c r="C823" s="306" t="s">
        <v>12313</v>
      </c>
      <c r="D823" s="437">
        <v>105000</v>
      </c>
      <c r="E823" s="437"/>
      <c r="F823" s="48">
        <f t="shared" si="24"/>
        <v>5727753</v>
      </c>
      <c r="G823" s="397" t="s">
        <v>9567</v>
      </c>
    </row>
    <row r="824" spans="1:11" x14ac:dyDescent="0.25">
      <c r="A824" s="440">
        <v>45208</v>
      </c>
      <c r="B824" s="391"/>
      <c r="C824" s="292" t="s">
        <v>12317</v>
      </c>
      <c r="D824" s="302">
        <v>50000</v>
      </c>
      <c r="E824" s="302"/>
      <c r="F824" s="48">
        <f t="shared" si="24"/>
        <v>5677753</v>
      </c>
      <c r="G824" s="397" t="s">
        <v>9567</v>
      </c>
    </row>
    <row r="825" spans="1:11" ht="30" x14ac:dyDescent="0.25">
      <c r="A825" s="440">
        <v>45210</v>
      </c>
      <c r="B825" s="391"/>
      <c r="C825" s="307" t="s">
        <v>12160</v>
      </c>
      <c r="D825" s="304">
        <v>300000</v>
      </c>
      <c r="E825" s="304"/>
      <c r="F825" s="48">
        <f t="shared" si="24"/>
        <v>5377753</v>
      </c>
      <c r="G825" s="397" t="s">
        <v>9567</v>
      </c>
    </row>
    <row r="826" spans="1:11" x14ac:dyDescent="0.25">
      <c r="A826" s="440">
        <v>45212</v>
      </c>
      <c r="B826" s="391"/>
      <c r="C826" s="292" t="s">
        <v>12336</v>
      </c>
      <c r="D826" s="302">
        <v>100000</v>
      </c>
      <c r="E826" s="302"/>
      <c r="F826" s="48">
        <f t="shared" si="24"/>
        <v>5277753</v>
      </c>
      <c r="G826" s="397" t="s">
        <v>9567</v>
      </c>
    </row>
    <row r="827" spans="1:11" x14ac:dyDescent="0.25">
      <c r="A827" s="440">
        <v>45212</v>
      </c>
      <c r="B827" s="454"/>
      <c r="C827" s="306" t="s">
        <v>12337</v>
      </c>
      <c r="D827" s="304">
        <v>100000</v>
      </c>
      <c r="E827" s="304"/>
      <c r="F827" s="48">
        <f t="shared" si="24"/>
        <v>5177753</v>
      </c>
      <c r="G827" s="397" t="s">
        <v>9567</v>
      </c>
    </row>
    <row r="828" spans="1:11" x14ac:dyDescent="0.25">
      <c r="A828" s="440">
        <v>45213</v>
      </c>
      <c r="B828" s="454"/>
      <c r="C828" s="306" t="s">
        <v>12337</v>
      </c>
      <c r="D828" s="304">
        <v>100000</v>
      </c>
      <c r="E828" s="304"/>
      <c r="F828" s="48">
        <f t="shared" si="24"/>
        <v>5077753</v>
      </c>
      <c r="G828" s="397" t="s">
        <v>9567</v>
      </c>
    </row>
    <row r="829" spans="1:11" x14ac:dyDescent="0.25">
      <c r="A829" s="440">
        <v>45213</v>
      </c>
      <c r="B829" s="454"/>
      <c r="C829" s="306" t="s">
        <v>12357</v>
      </c>
      <c r="D829" s="304">
        <v>15000</v>
      </c>
      <c r="E829" s="304"/>
      <c r="F829" s="48">
        <f t="shared" si="24"/>
        <v>5062753</v>
      </c>
      <c r="G829" s="397" t="s">
        <v>9567</v>
      </c>
    </row>
    <row r="830" spans="1:11" x14ac:dyDescent="0.25">
      <c r="A830" s="440">
        <v>45217</v>
      </c>
      <c r="B830" s="454"/>
      <c r="C830" s="306" t="s">
        <v>12367</v>
      </c>
      <c r="D830" s="304">
        <v>150000</v>
      </c>
      <c r="E830" s="304"/>
      <c r="F830" s="48">
        <f t="shared" si="24"/>
        <v>4912753</v>
      </c>
      <c r="G830" s="397" t="s">
        <v>9567</v>
      </c>
    </row>
    <row r="831" spans="1:11" x14ac:dyDescent="0.25">
      <c r="A831" s="440">
        <v>45217</v>
      </c>
      <c r="B831" s="454"/>
      <c r="C831" s="306" t="s">
        <v>12380</v>
      </c>
      <c r="D831" s="304">
        <v>69120</v>
      </c>
      <c r="E831" s="304"/>
      <c r="F831" s="48">
        <f t="shared" si="24"/>
        <v>4843633</v>
      </c>
      <c r="G831" s="397" t="s">
        <v>9567</v>
      </c>
    </row>
    <row r="832" spans="1:11" ht="18" customHeight="1" x14ac:dyDescent="0.25">
      <c r="A832" s="440">
        <v>45218</v>
      </c>
      <c r="B832" s="454"/>
      <c r="C832" s="307" t="s">
        <v>12397</v>
      </c>
      <c r="D832" s="304">
        <v>25000</v>
      </c>
      <c r="E832" s="304"/>
      <c r="F832" s="48">
        <f t="shared" si="24"/>
        <v>4818633</v>
      </c>
      <c r="G832" s="397" t="s">
        <v>9567</v>
      </c>
    </row>
    <row r="833" spans="1:11" ht="18" customHeight="1" x14ac:dyDescent="0.25">
      <c r="A833" s="440">
        <v>45218</v>
      </c>
      <c r="B833" s="454"/>
      <c r="C833" s="307" t="s">
        <v>12452</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12425</v>
      </c>
      <c r="D836" s="304">
        <v>254000</v>
      </c>
      <c r="E836" s="304"/>
      <c r="F836" s="48">
        <f t="shared" si="24"/>
        <v>4614633</v>
      </c>
      <c r="G836" s="397" t="s">
        <v>9567</v>
      </c>
      <c r="K836" s="376"/>
    </row>
    <row r="837" spans="1:11" x14ac:dyDescent="0.25">
      <c r="A837" s="440">
        <v>45224</v>
      </c>
      <c r="B837" s="454"/>
      <c r="C837" s="307" t="s">
        <v>12032</v>
      </c>
      <c r="D837" s="304">
        <v>30000</v>
      </c>
      <c r="E837" s="304"/>
      <c r="F837" s="48">
        <f t="shared" si="24"/>
        <v>4584633</v>
      </c>
      <c r="G837" s="397" t="s">
        <v>9567</v>
      </c>
    </row>
    <row r="838" spans="1:11" x14ac:dyDescent="0.25">
      <c r="A838" s="440">
        <v>45225</v>
      </c>
      <c r="B838" s="454"/>
      <c r="C838" s="307" t="s">
        <v>12449</v>
      </c>
      <c r="D838" s="304">
        <v>120000</v>
      </c>
      <c r="E838" s="304"/>
      <c r="F838" s="48">
        <f t="shared" si="24"/>
        <v>4464633</v>
      </c>
      <c r="G838" s="397" t="s">
        <v>9567</v>
      </c>
    </row>
    <row r="839" spans="1:11" x14ac:dyDescent="0.25">
      <c r="A839" s="440">
        <v>45226</v>
      </c>
      <c r="B839" s="454"/>
      <c r="C839" s="306" t="s">
        <v>12464</v>
      </c>
      <c r="D839" s="304">
        <v>100000</v>
      </c>
      <c r="E839" s="304"/>
      <c r="F839" s="48">
        <f t="shared" si="24"/>
        <v>4364633</v>
      </c>
      <c r="G839" s="397" t="s">
        <v>9567</v>
      </c>
    </row>
    <row r="840" spans="1:11" x14ac:dyDescent="0.25">
      <c r="A840" s="440">
        <v>45227</v>
      </c>
      <c r="B840" s="454"/>
      <c r="C840" s="307" t="s">
        <v>12465</v>
      </c>
      <c r="D840" s="304">
        <v>200000</v>
      </c>
      <c r="E840" s="304"/>
      <c r="F840" s="48">
        <f t="shared" si="24"/>
        <v>4164633</v>
      </c>
      <c r="G840" s="397" t="s">
        <v>9567</v>
      </c>
    </row>
    <row r="841" spans="1:11" x14ac:dyDescent="0.25">
      <c r="A841" s="440">
        <v>45231</v>
      </c>
      <c r="B841" s="454"/>
      <c r="C841" s="306" t="s">
        <v>12491</v>
      </c>
      <c r="D841" s="304"/>
      <c r="E841" s="304">
        <v>2000000</v>
      </c>
      <c r="F841" s="48">
        <f t="shared" si="24"/>
        <v>6164633</v>
      </c>
      <c r="G841" s="397" t="s">
        <v>9567</v>
      </c>
    </row>
    <row r="842" spans="1:11" x14ac:dyDescent="0.25">
      <c r="A842" s="440">
        <v>45232</v>
      </c>
      <c r="B842" s="454"/>
      <c r="C842" s="307" t="s">
        <v>12495</v>
      </c>
      <c r="D842" s="304">
        <v>199000</v>
      </c>
      <c r="E842" s="304"/>
      <c r="F842" s="48">
        <f t="shared" si="24"/>
        <v>5965633</v>
      </c>
      <c r="G842" s="397" t="s">
        <v>9567</v>
      </c>
    </row>
    <row r="843" spans="1:11" ht="30" x14ac:dyDescent="0.25">
      <c r="A843" s="440">
        <v>45232</v>
      </c>
      <c r="B843" s="454"/>
      <c r="C843" s="307" t="s">
        <v>12496</v>
      </c>
      <c r="D843" s="304">
        <v>147310</v>
      </c>
      <c r="E843" s="304"/>
      <c r="F843" s="48">
        <f t="shared" si="24"/>
        <v>5818323</v>
      </c>
      <c r="G843" s="397" t="s">
        <v>9567</v>
      </c>
    </row>
    <row r="844" spans="1:11" ht="30" x14ac:dyDescent="0.25">
      <c r="A844" s="440">
        <v>45232</v>
      </c>
      <c r="B844" s="454"/>
      <c r="C844" s="307" t="s">
        <v>12497</v>
      </c>
      <c r="D844" s="304">
        <v>100000</v>
      </c>
      <c r="E844" s="304"/>
      <c r="F844" s="48">
        <f t="shared" si="24"/>
        <v>5718323</v>
      </c>
      <c r="G844" s="397" t="s">
        <v>9567</v>
      </c>
    </row>
    <row r="845" spans="1:11" x14ac:dyDescent="0.25">
      <c r="A845" s="440">
        <v>45236</v>
      </c>
      <c r="B845" s="391"/>
      <c r="C845" s="306" t="s">
        <v>12538</v>
      </c>
      <c r="D845" s="437">
        <v>105000</v>
      </c>
      <c r="E845" s="437"/>
      <c r="F845" s="48">
        <f t="shared" si="24"/>
        <v>5613323</v>
      </c>
      <c r="G845" s="397" t="s">
        <v>9567</v>
      </c>
    </row>
    <row r="846" spans="1:11" x14ac:dyDescent="0.25">
      <c r="A846" s="440">
        <v>45237</v>
      </c>
      <c r="B846" s="391"/>
      <c r="C846" s="292" t="s">
        <v>12547</v>
      </c>
      <c r="D846" s="302"/>
      <c r="E846" s="302">
        <v>5000</v>
      </c>
      <c r="F846" s="48">
        <f t="shared" ref="F846:F864" si="25">F845+E846-D846</f>
        <v>5618323</v>
      </c>
      <c r="G846" s="397" t="s">
        <v>9567</v>
      </c>
    </row>
    <row r="847" spans="1:11" x14ac:dyDescent="0.25">
      <c r="A847" s="440">
        <v>45239</v>
      </c>
      <c r="B847" s="391"/>
      <c r="C847" s="292" t="s">
        <v>12558</v>
      </c>
      <c r="D847" s="302">
        <v>170000</v>
      </c>
      <c r="E847" s="302"/>
      <c r="F847" s="48">
        <f t="shared" si="25"/>
        <v>5448323</v>
      </c>
      <c r="G847" s="397" t="s">
        <v>9567</v>
      </c>
    </row>
    <row r="848" spans="1:11" x14ac:dyDescent="0.25">
      <c r="A848" s="440">
        <v>45240</v>
      </c>
      <c r="B848" s="391"/>
      <c r="C848" s="292" t="s">
        <v>12559</v>
      </c>
      <c r="D848" s="302">
        <v>100000</v>
      </c>
      <c r="E848" s="302"/>
      <c r="F848" s="48">
        <f t="shared" si="25"/>
        <v>5348323</v>
      </c>
      <c r="G848" s="397" t="s">
        <v>9567</v>
      </c>
    </row>
    <row r="849" spans="1:11" x14ac:dyDescent="0.25">
      <c r="A849" s="440">
        <v>45241</v>
      </c>
      <c r="B849" s="391"/>
      <c r="C849" s="292" t="s">
        <v>12609</v>
      </c>
      <c r="D849" s="302">
        <v>100000</v>
      </c>
      <c r="E849" s="302"/>
      <c r="F849" s="48">
        <f t="shared" si="25"/>
        <v>5248323</v>
      </c>
      <c r="G849" s="397" t="s">
        <v>9567</v>
      </c>
    </row>
    <row r="850" spans="1:11" x14ac:dyDescent="0.25">
      <c r="A850" s="440">
        <v>45243</v>
      </c>
      <c r="B850" s="391"/>
      <c r="C850" s="292" t="s">
        <v>12601</v>
      </c>
      <c r="D850" s="302">
        <v>25000</v>
      </c>
      <c r="E850" s="302"/>
      <c r="F850" s="48">
        <f t="shared" si="25"/>
        <v>5223323</v>
      </c>
      <c r="G850" s="397" t="s">
        <v>9567</v>
      </c>
    </row>
    <row r="851" spans="1:11" x14ac:dyDescent="0.25">
      <c r="A851" s="440">
        <v>45243</v>
      </c>
      <c r="B851" s="391"/>
      <c r="C851" s="292" t="s">
        <v>12595</v>
      </c>
      <c r="D851" s="302">
        <v>80000</v>
      </c>
      <c r="E851" s="302"/>
      <c r="F851" s="48">
        <f t="shared" si="25"/>
        <v>5143323</v>
      </c>
      <c r="G851" s="397" t="s">
        <v>9567</v>
      </c>
    </row>
    <row r="852" spans="1:11" ht="30" x14ac:dyDescent="0.25">
      <c r="A852" s="440">
        <v>45244</v>
      </c>
      <c r="B852" s="391"/>
      <c r="C852" s="303" t="s">
        <v>12599</v>
      </c>
      <c r="D852" s="304">
        <v>100000</v>
      </c>
      <c r="E852" s="304"/>
      <c r="F852" s="48">
        <f t="shared" si="25"/>
        <v>5043323</v>
      </c>
      <c r="G852" s="397" t="s">
        <v>9567</v>
      </c>
    </row>
    <row r="853" spans="1:11" x14ac:dyDescent="0.25">
      <c r="A853" s="440">
        <v>45244</v>
      </c>
      <c r="B853" s="391"/>
      <c r="C853" s="292" t="s">
        <v>12609</v>
      </c>
      <c r="D853" s="302">
        <v>100000</v>
      </c>
      <c r="E853" s="302"/>
      <c r="F853" s="48">
        <f t="shared" si="25"/>
        <v>4943323</v>
      </c>
      <c r="G853" s="397" t="s">
        <v>9567</v>
      </c>
    </row>
    <row r="854" spans="1:11" x14ac:dyDescent="0.25">
      <c r="A854" s="440">
        <v>45245</v>
      </c>
      <c r="B854" s="391"/>
      <c r="C854" s="292" t="s">
        <v>12615</v>
      </c>
      <c r="D854" s="302">
        <v>150000</v>
      </c>
      <c r="E854" s="302"/>
      <c r="F854" s="48">
        <f t="shared" si="25"/>
        <v>4793323</v>
      </c>
      <c r="G854" s="397" t="s">
        <v>9567</v>
      </c>
    </row>
    <row r="855" spans="1:11" ht="45" x14ac:dyDescent="0.25">
      <c r="A855" s="440">
        <v>45245</v>
      </c>
      <c r="B855" s="391"/>
      <c r="C855" s="303" t="s">
        <v>12624</v>
      </c>
      <c r="D855" s="304">
        <v>288788</v>
      </c>
      <c r="E855" s="304"/>
      <c r="F855" s="48">
        <f t="shared" si="25"/>
        <v>4504535</v>
      </c>
      <c r="G855" s="397" t="s">
        <v>9567</v>
      </c>
    </row>
    <row r="856" spans="1:11" ht="45" x14ac:dyDescent="0.25">
      <c r="A856" s="440">
        <v>45245</v>
      </c>
      <c r="B856" s="391"/>
      <c r="C856" s="303" t="s">
        <v>12624</v>
      </c>
      <c r="D856" s="304">
        <v>203128</v>
      </c>
      <c r="E856" s="304"/>
      <c r="F856" s="48">
        <f t="shared" si="25"/>
        <v>4301407</v>
      </c>
      <c r="G856" s="397" t="s">
        <v>9567</v>
      </c>
    </row>
    <row r="857" spans="1:11" x14ac:dyDescent="0.25">
      <c r="A857" s="440">
        <v>45245</v>
      </c>
      <c r="B857" s="391"/>
      <c r="C857" s="292" t="s">
        <v>12609</v>
      </c>
      <c r="D857" s="302">
        <v>100000</v>
      </c>
      <c r="E857" s="302"/>
      <c r="F857" s="48">
        <f t="shared" si="25"/>
        <v>4201407</v>
      </c>
      <c r="G857" s="397" t="s">
        <v>9567</v>
      </c>
      <c r="I857" s="277"/>
    </row>
    <row r="858" spans="1:11" x14ac:dyDescent="0.25">
      <c r="A858" s="440">
        <v>45246</v>
      </c>
      <c r="B858" s="391"/>
      <c r="C858" s="292" t="s">
        <v>12609</v>
      </c>
      <c r="D858" s="302">
        <v>100000</v>
      </c>
      <c r="E858" s="302"/>
      <c r="F858" s="48">
        <f t="shared" si="25"/>
        <v>4101407</v>
      </c>
      <c r="G858" s="397" t="s">
        <v>9567</v>
      </c>
    </row>
    <row r="859" spans="1:11" x14ac:dyDescent="0.25">
      <c r="A859" s="440">
        <v>45247</v>
      </c>
      <c r="B859" s="391"/>
      <c r="C859" s="292" t="s">
        <v>12609</v>
      </c>
      <c r="D859" s="302">
        <v>200000</v>
      </c>
      <c r="E859" s="302"/>
      <c r="F859" s="48">
        <f t="shared" si="25"/>
        <v>3901407</v>
      </c>
      <c r="G859" s="397" t="s">
        <v>9567</v>
      </c>
    </row>
    <row r="860" spans="1:11" s="354" customFormat="1" ht="30" x14ac:dyDescent="0.25">
      <c r="A860" s="440">
        <v>45247</v>
      </c>
      <c r="B860" s="454"/>
      <c r="C860" s="307" t="s">
        <v>12625</v>
      </c>
      <c r="D860" s="304">
        <v>200000</v>
      </c>
      <c r="E860" s="304"/>
      <c r="F860" s="48">
        <f t="shared" si="25"/>
        <v>3701407</v>
      </c>
      <c r="G860" s="397" t="s">
        <v>9567</v>
      </c>
      <c r="K860" s="376"/>
    </row>
    <row r="861" spans="1:11" x14ac:dyDescent="0.25">
      <c r="A861" s="440">
        <v>45248</v>
      </c>
      <c r="B861" s="391"/>
      <c r="C861" s="292" t="s">
        <v>12650</v>
      </c>
      <c r="D861" s="302"/>
      <c r="E861" s="302">
        <v>3800000</v>
      </c>
      <c r="F861" s="48">
        <f t="shared" si="25"/>
        <v>7501407</v>
      </c>
      <c r="G861" s="397" t="s">
        <v>9567</v>
      </c>
    </row>
    <row r="862" spans="1:11" x14ac:dyDescent="0.25">
      <c r="A862" s="440">
        <v>45248</v>
      </c>
      <c r="B862" s="391"/>
      <c r="C862" s="292" t="s">
        <v>12651</v>
      </c>
      <c r="D862" s="302">
        <v>735690</v>
      </c>
      <c r="E862" s="302"/>
      <c r="F862" s="48">
        <f t="shared" si="25"/>
        <v>6765717</v>
      </c>
      <c r="G862" s="397" t="s">
        <v>9567</v>
      </c>
    </row>
    <row r="863" spans="1:11" x14ac:dyDescent="0.25">
      <c r="A863" s="440">
        <v>45248</v>
      </c>
      <c r="B863" s="391"/>
      <c r="C863" s="292" t="s">
        <v>12652</v>
      </c>
      <c r="D863" s="302">
        <v>249000</v>
      </c>
      <c r="E863" s="302"/>
      <c r="F863" s="48">
        <f t="shared" si="25"/>
        <v>6516717</v>
      </c>
      <c r="G863" s="397" t="s">
        <v>9567</v>
      </c>
    </row>
    <row r="864" spans="1:11" x14ac:dyDescent="0.25">
      <c r="A864" s="440">
        <v>45248</v>
      </c>
      <c r="B864" s="391"/>
      <c r="C864" s="292" t="s">
        <v>12653</v>
      </c>
      <c r="D864" s="302">
        <v>16000</v>
      </c>
      <c r="E864" s="302"/>
      <c r="F864" s="48">
        <f t="shared" si="25"/>
        <v>6500717</v>
      </c>
      <c r="G864" s="397" t="s">
        <v>9567</v>
      </c>
    </row>
    <row r="865" spans="1:12" x14ac:dyDescent="0.25">
      <c r="A865" s="440">
        <v>45248</v>
      </c>
      <c r="B865" s="391"/>
      <c r="C865" s="292" t="s">
        <v>12654</v>
      </c>
      <c r="D865" s="302">
        <v>184000</v>
      </c>
      <c r="E865" s="302"/>
      <c r="F865" s="48">
        <f t="shared" ref="F865:F928" si="26">F864+E865-D865</f>
        <v>6316717</v>
      </c>
      <c r="G865" s="397" t="s">
        <v>9567</v>
      </c>
    </row>
    <row r="866" spans="1:12" x14ac:dyDescent="0.25">
      <c r="A866" s="440">
        <v>45248</v>
      </c>
      <c r="B866" s="391"/>
      <c r="C866" s="292" t="s">
        <v>12655</v>
      </c>
      <c r="D866" s="302">
        <v>6000</v>
      </c>
      <c r="E866" s="302"/>
      <c r="F866" s="48">
        <f t="shared" si="26"/>
        <v>6310717</v>
      </c>
      <c r="G866" s="397" t="s">
        <v>9567</v>
      </c>
    </row>
    <row r="867" spans="1:12" x14ac:dyDescent="0.25">
      <c r="A867" s="440">
        <v>45248</v>
      </c>
      <c r="B867" s="391"/>
      <c r="C867" s="292" t="s">
        <v>12656</v>
      </c>
      <c r="D867" s="302">
        <v>59000</v>
      </c>
      <c r="E867" s="302"/>
      <c r="F867" s="48">
        <f t="shared" si="26"/>
        <v>6251717</v>
      </c>
      <c r="G867" s="397" t="s">
        <v>9567</v>
      </c>
    </row>
    <row r="868" spans="1:12" x14ac:dyDescent="0.25">
      <c r="A868" s="440">
        <v>45248</v>
      </c>
      <c r="B868" s="391"/>
      <c r="C868" s="292" t="s">
        <v>12657</v>
      </c>
      <c r="D868" s="302">
        <v>1000000</v>
      </c>
      <c r="E868" s="302"/>
      <c r="F868" s="48">
        <f t="shared" si="26"/>
        <v>5251717</v>
      </c>
      <c r="G868" s="397" t="s">
        <v>9567</v>
      </c>
      <c r="I868">
        <v>237616</v>
      </c>
      <c r="J868">
        <v>941759</v>
      </c>
      <c r="L868" s="2"/>
    </row>
    <row r="869" spans="1:12" s="354" customFormat="1" x14ac:dyDescent="0.25">
      <c r="A869" s="440">
        <v>45250</v>
      </c>
      <c r="B869" s="454"/>
      <c r="C869" s="306" t="s">
        <v>12667</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12668</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12671</v>
      </c>
      <c r="D871" s="304">
        <v>50000</v>
      </c>
      <c r="E871" s="304"/>
      <c r="F871" s="48">
        <f t="shared" si="26"/>
        <v>4051717</v>
      </c>
      <c r="G871" s="397" t="s">
        <v>9567</v>
      </c>
      <c r="K871" s="376"/>
      <c r="L871" s="376"/>
    </row>
    <row r="872" spans="1:12" s="354" customFormat="1" x14ac:dyDescent="0.25">
      <c r="A872" s="440">
        <v>45250</v>
      </c>
      <c r="B872" s="454"/>
      <c r="C872" s="306" t="s">
        <v>12673</v>
      </c>
      <c r="D872" s="304">
        <v>50000</v>
      </c>
      <c r="E872" s="304"/>
      <c r="F872" s="48">
        <f t="shared" si="26"/>
        <v>4001717</v>
      </c>
      <c r="G872" s="397" t="s">
        <v>9567</v>
      </c>
      <c r="K872" s="376"/>
      <c r="L872" s="376"/>
    </row>
    <row r="873" spans="1:12" s="354" customFormat="1" x14ac:dyDescent="0.25">
      <c r="A873" s="440">
        <v>45250</v>
      </c>
      <c r="B873" s="454"/>
      <c r="C873" s="306" t="s">
        <v>12674</v>
      </c>
      <c r="D873" s="304">
        <v>50000</v>
      </c>
      <c r="E873" s="304"/>
      <c r="F873" s="48">
        <f t="shared" si="26"/>
        <v>3951717</v>
      </c>
      <c r="G873" s="397" t="s">
        <v>9567</v>
      </c>
      <c r="K873" s="376"/>
    </row>
    <row r="874" spans="1:12" s="354" customFormat="1" x14ac:dyDescent="0.25">
      <c r="A874" s="440">
        <v>45251</v>
      </c>
      <c r="B874" s="454"/>
      <c r="C874" s="306" t="s">
        <v>12675</v>
      </c>
      <c r="D874" s="304">
        <v>50000</v>
      </c>
      <c r="E874" s="304"/>
      <c r="F874" s="48">
        <f t="shared" si="26"/>
        <v>3901717</v>
      </c>
      <c r="G874" s="397" t="s">
        <v>9567</v>
      </c>
      <c r="K874" s="376"/>
    </row>
    <row r="875" spans="1:12" s="354" customFormat="1" x14ac:dyDescent="0.25">
      <c r="A875" s="440">
        <v>45251</v>
      </c>
      <c r="B875" s="454"/>
      <c r="C875" s="306" t="s">
        <v>12676</v>
      </c>
      <c r="D875" s="304">
        <v>45000</v>
      </c>
      <c r="E875" s="304"/>
      <c r="F875" s="48">
        <f t="shared" si="26"/>
        <v>3856717</v>
      </c>
      <c r="G875" s="397" t="s">
        <v>9567</v>
      </c>
      <c r="K875" s="376"/>
    </row>
    <row r="876" spans="1:12" s="354" customFormat="1" x14ac:dyDescent="0.25">
      <c r="A876" s="440">
        <v>45251</v>
      </c>
      <c r="B876" s="454"/>
      <c r="C876" s="306" t="s">
        <v>12677</v>
      </c>
      <c r="D876" s="304">
        <v>15000</v>
      </c>
      <c r="E876" s="304"/>
      <c r="F876" s="48">
        <f t="shared" si="26"/>
        <v>3841717</v>
      </c>
      <c r="G876" s="397" t="s">
        <v>9567</v>
      </c>
      <c r="K876" s="376"/>
    </row>
    <row r="877" spans="1:12" s="354" customFormat="1" x14ac:dyDescent="0.25">
      <c r="A877" s="440">
        <v>45251</v>
      </c>
      <c r="B877" s="454"/>
      <c r="C877" s="306" t="s">
        <v>12650</v>
      </c>
      <c r="D877" s="304"/>
      <c r="E877" s="304">
        <v>800000</v>
      </c>
      <c r="F877" s="48">
        <f t="shared" si="26"/>
        <v>4641717</v>
      </c>
      <c r="G877" s="397" t="s">
        <v>9567</v>
      </c>
      <c r="J877" s="354" t="s">
        <v>12732</v>
      </c>
      <c r="K877" s="376"/>
    </row>
    <row r="878" spans="1:12" s="354" customFormat="1" x14ac:dyDescent="0.25">
      <c r="A878" s="440">
        <v>45251</v>
      </c>
      <c r="B878" s="454"/>
      <c r="C878" s="306" t="s">
        <v>12650</v>
      </c>
      <c r="D878" s="304"/>
      <c r="E878" s="304">
        <v>260000</v>
      </c>
      <c r="F878" s="48">
        <f t="shared" si="26"/>
        <v>4901717</v>
      </c>
      <c r="G878" s="397" t="s">
        <v>9567</v>
      </c>
      <c r="K878" s="376"/>
    </row>
    <row r="879" spans="1:12" s="354" customFormat="1" x14ac:dyDescent="0.25">
      <c r="A879" s="440">
        <v>45252</v>
      </c>
      <c r="B879" s="454"/>
      <c r="C879" s="306" t="s">
        <v>12694</v>
      </c>
      <c r="D879" s="304">
        <v>20000</v>
      </c>
      <c r="E879" s="304"/>
      <c r="F879" s="48">
        <f t="shared" si="26"/>
        <v>4881717</v>
      </c>
      <c r="G879" s="397" t="s">
        <v>9567</v>
      </c>
      <c r="J879" s="376">
        <v>800000</v>
      </c>
      <c r="K879" s="376">
        <v>267000</v>
      </c>
    </row>
    <row r="880" spans="1:12" s="354" customFormat="1" x14ac:dyDescent="0.25">
      <c r="A880" s="440">
        <v>45252</v>
      </c>
      <c r="B880" s="454"/>
      <c r="C880" s="306" t="s">
        <v>12695</v>
      </c>
      <c r="D880" s="304">
        <v>21000</v>
      </c>
      <c r="E880" s="304"/>
      <c r="F880" s="48">
        <f t="shared" si="26"/>
        <v>4860717</v>
      </c>
      <c r="G880" s="397" t="s">
        <v>9567</v>
      </c>
      <c r="J880" s="376">
        <v>260000</v>
      </c>
      <c r="K880" s="376">
        <v>50000</v>
      </c>
    </row>
    <row r="881" spans="1:18" s="354" customFormat="1" x14ac:dyDescent="0.25">
      <c r="A881" s="440">
        <v>45253</v>
      </c>
      <c r="B881" s="454"/>
      <c r="C881" s="306" t="s">
        <v>12609</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12705</v>
      </c>
      <c r="D882" s="304">
        <v>267000</v>
      </c>
      <c r="E882" s="304"/>
      <c r="F882" s="48">
        <f t="shared" si="26"/>
        <v>4573717</v>
      </c>
      <c r="G882" s="397" t="s">
        <v>9567</v>
      </c>
      <c r="J882" s="376"/>
      <c r="K882" s="376">
        <v>397000</v>
      </c>
    </row>
    <row r="883" spans="1:18" s="354" customFormat="1" x14ac:dyDescent="0.25">
      <c r="A883" s="440">
        <v>45254</v>
      </c>
      <c r="B883" s="454"/>
      <c r="C883" s="306" t="s">
        <v>12609</v>
      </c>
      <c r="D883" s="304">
        <v>80000</v>
      </c>
      <c r="E883" s="304"/>
      <c r="F883" s="48">
        <f t="shared" si="26"/>
        <v>4493717</v>
      </c>
      <c r="G883" s="397" t="s">
        <v>9567</v>
      </c>
      <c r="J883" s="376"/>
      <c r="K883" s="376">
        <v>68000</v>
      </c>
    </row>
    <row r="884" spans="1:18" s="354" customFormat="1" x14ac:dyDescent="0.25">
      <c r="A884" s="440">
        <v>45254</v>
      </c>
      <c r="B884" s="454"/>
      <c r="C884" s="306" t="s">
        <v>12706</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12497</v>
      </c>
      <c r="D887" s="302">
        <v>50000</v>
      </c>
      <c r="E887" s="302"/>
      <c r="F887" s="48">
        <f t="shared" si="26"/>
        <v>323717</v>
      </c>
      <c r="G887" s="397" t="s">
        <v>9567</v>
      </c>
    </row>
    <row r="888" spans="1:18" x14ac:dyDescent="0.25">
      <c r="A888" s="440">
        <v>45261</v>
      </c>
      <c r="B888" s="391"/>
      <c r="C888" s="292" t="s">
        <v>12739</v>
      </c>
      <c r="D888" s="302">
        <v>50000</v>
      </c>
      <c r="E888" s="302"/>
      <c r="F888" s="48">
        <f t="shared" si="26"/>
        <v>273717</v>
      </c>
      <c r="G888" s="397" t="s">
        <v>9567</v>
      </c>
    </row>
    <row r="889" spans="1:18" x14ac:dyDescent="0.25">
      <c r="A889" s="440">
        <v>45261</v>
      </c>
      <c r="B889" s="391"/>
      <c r="C889" s="292" t="s">
        <v>12740</v>
      </c>
      <c r="D889" s="302">
        <v>50000</v>
      </c>
      <c r="E889" s="302"/>
      <c r="F889" s="48">
        <f t="shared" si="26"/>
        <v>223717</v>
      </c>
      <c r="G889" s="397" t="s">
        <v>9567</v>
      </c>
    </row>
    <row r="890" spans="1:18" x14ac:dyDescent="0.25">
      <c r="A890" s="440">
        <v>45263</v>
      </c>
      <c r="B890" s="391"/>
      <c r="C890" s="292" t="s">
        <v>12741</v>
      </c>
      <c r="D890" s="302">
        <v>100000</v>
      </c>
      <c r="E890" s="302"/>
      <c r="F890" s="48">
        <f t="shared" si="26"/>
        <v>123717</v>
      </c>
      <c r="G890" s="397" t="s">
        <v>9567</v>
      </c>
    </row>
    <row r="891" spans="1:18" x14ac:dyDescent="0.25">
      <c r="A891" s="440">
        <v>45264</v>
      </c>
      <c r="B891" s="391"/>
      <c r="C891" s="292" t="s">
        <v>12741</v>
      </c>
      <c r="D891" s="302">
        <v>30000</v>
      </c>
      <c r="E891" s="302"/>
      <c r="F891" s="48">
        <f t="shared" si="26"/>
        <v>93717</v>
      </c>
      <c r="G891" s="397" t="s">
        <v>9567</v>
      </c>
    </row>
    <row r="892" spans="1:18" s="354" customFormat="1" x14ac:dyDescent="0.25">
      <c r="A892" s="440">
        <v>45266</v>
      </c>
      <c r="B892" s="454"/>
      <c r="C892" s="306" t="s">
        <v>12747</v>
      </c>
      <c r="D892" s="437">
        <v>105000</v>
      </c>
      <c r="E892" s="437"/>
      <c r="F892" s="48">
        <f t="shared" si="26"/>
        <v>-11283</v>
      </c>
      <c r="G892" s="397" t="s">
        <v>9567</v>
      </c>
      <c r="K892" s="376"/>
    </row>
    <row r="893" spans="1:18" s="354" customFormat="1" ht="30" x14ac:dyDescent="0.25">
      <c r="A893" s="440">
        <v>45266</v>
      </c>
      <c r="B893" s="454"/>
      <c r="C893" s="307" t="s">
        <v>12750</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12757</v>
      </c>
      <c r="D894" s="304"/>
      <c r="E894" s="304">
        <v>1000000</v>
      </c>
      <c r="F894" s="48">
        <f t="shared" si="26"/>
        <v>888717</v>
      </c>
      <c r="G894" s="397" t="s">
        <v>9567</v>
      </c>
      <c r="K894" s="376" t="s">
        <v>12696</v>
      </c>
      <c r="L894" s="376">
        <v>18039638</v>
      </c>
      <c r="M894" s="376">
        <f>L894*13%</f>
        <v>2345152.94</v>
      </c>
      <c r="N894" s="376">
        <f>M894+L894</f>
        <v>20384790.940000001</v>
      </c>
    </row>
    <row r="895" spans="1:18" s="354" customFormat="1" x14ac:dyDescent="0.25">
      <c r="A895" s="440">
        <v>45267</v>
      </c>
      <c r="B895" s="454"/>
      <c r="C895" s="306" t="s">
        <v>12751</v>
      </c>
      <c r="D895" s="304">
        <v>850000</v>
      </c>
      <c r="E895" s="304"/>
      <c r="F895" s="48">
        <f t="shared" si="26"/>
        <v>38717</v>
      </c>
      <c r="G895" s="397" t="s">
        <v>9567</v>
      </c>
      <c r="K895" s="376" t="s">
        <v>12697</v>
      </c>
      <c r="L895" s="376">
        <v>1459032</v>
      </c>
      <c r="M895" s="376">
        <f>L895*13%</f>
        <v>189674.16</v>
      </c>
      <c r="N895" s="376">
        <f>M895+L895</f>
        <v>1648706.16</v>
      </c>
    </row>
    <row r="896" spans="1:18" s="354" customFormat="1" ht="45" x14ac:dyDescent="0.25">
      <c r="A896" s="440">
        <v>45267</v>
      </c>
      <c r="B896" s="454"/>
      <c r="C896" s="307" t="s">
        <v>12756</v>
      </c>
      <c r="D896" s="304"/>
      <c r="E896" s="304">
        <v>520000</v>
      </c>
      <c r="F896" s="48">
        <f t="shared" si="26"/>
        <v>558717</v>
      </c>
      <c r="G896" s="397" t="s">
        <v>9567</v>
      </c>
      <c r="K896" s="376" t="s">
        <v>12699</v>
      </c>
      <c r="L896" s="376">
        <v>6295230</v>
      </c>
      <c r="M896" s="376">
        <f>L896*13%</f>
        <v>818379.9</v>
      </c>
      <c r="N896" s="376">
        <f>M896+L896</f>
        <v>7113609.9000000004</v>
      </c>
    </row>
    <row r="897" spans="1:14" s="354" customFormat="1" x14ac:dyDescent="0.25">
      <c r="A897" s="440">
        <v>45267</v>
      </c>
      <c r="B897" s="454"/>
      <c r="C897" s="306" t="s">
        <v>12780</v>
      </c>
      <c r="D897" s="304">
        <v>500000</v>
      </c>
      <c r="E897" s="304"/>
      <c r="F897" s="48">
        <f t="shared" si="26"/>
        <v>58717</v>
      </c>
      <c r="G897" s="397" t="s">
        <v>9567</v>
      </c>
      <c r="K897" s="376" t="s">
        <v>12698</v>
      </c>
      <c r="L897" s="376">
        <v>2728770</v>
      </c>
      <c r="M897" s="376">
        <f>L897*13%</f>
        <v>354740.10000000003</v>
      </c>
      <c r="N897" s="376">
        <f>M897+L897</f>
        <v>3083510.1</v>
      </c>
    </row>
    <row r="898" spans="1:14" s="354" customFormat="1" x14ac:dyDescent="0.25">
      <c r="A898" s="440">
        <v>45279</v>
      </c>
      <c r="B898" s="454"/>
      <c r="C898" s="306" t="s">
        <v>12829</v>
      </c>
      <c r="D898" s="304">
        <v>150000</v>
      </c>
      <c r="E898" s="304"/>
      <c r="F898" s="48">
        <f t="shared" si="26"/>
        <v>-91283</v>
      </c>
      <c r="G898" s="397" t="s">
        <v>9567</v>
      </c>
      <c r="K898" s="376" t="s">
        <v>12700</v>
      </c>
      <c r="L898" s="376">
        <v>445900</v>
      </c>
      <c r="M898" s="376">
        <f>L898*13%</f>
        <v>57967</v>
      </c>
      <c r="N898" s="376">
        <f>M898+L898</f>
        <v>503867</v>
      </c>
    </row>
    <row r="899" spans="1:14" s="354" customFormat="1" x14ac:dyDescent="0.25">
      <c r="A899" s="440">
        <v>45280</v>
      </c>
      <c r="B899" s="454"/>
      <c r="C899" s="306" t="s">
        <v>12833</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12834</v>
      </c>
      <c r="D900" s="304">
        <v>16000</v>
      </c>
      <c r="E900" s="304"/>
      <c r="F900" s="48">
        <f t="shared" si="26"/>
        <v>-7283</v>
      </c>
      <c r="G900" s="397" t="s">
        <v>9567</v>
      </c>
      <c r="K900" s="376"/>
    </row>
    <row r="901" spans="1:14" s="354" customFormat="1" x14ac:dyDescent="0.25">
      <c r="A901" s="440">
        <v>45280</v>
      </c>
      <c r="B901" s="454"/>
      <c r="C901" s="306" t="s">
        <v>12835</v>
      </c>
      <c r="D901" s="304">
        <v>1000</v>
      </c>
      <c r="E901" s="304"/>
      <c r="F901" s="48">
        <f t="shared" si="26"/>
        <v>-8283</v>
      </c>
      <c r="G901" s="397" t="s">
        <v>9567</v>
      </c>
      <c r="K901" s="598" t="s">
        <v>8193</v>
      </c>
      <c r="L901" s="376">
        <v>25868184.940000001</v>
      </c>
      <c r="N901" s="376">
        <v>25868184.940000001</v>
      </c>
    </row>
    <row r="902" spans="1:14" s="354" customFormat="1" x14ac:dyDescent="0.25">
      <c r="A902" s="440">
        <v>45281</v>
      </c>
      <c r="B902" s="454"/>
      <c r="C902" s="306" t="s">
        <v>12859</v>
      </c>
      <c r="D902" s="304">
        <v>50000</v>
      </c>
      <c r="E902" s="304"/>
      <c r="F902" s="48">
        <f t="shared" si="26"/>
        <v>-58283</v>
      </c>
      <c r="G902" s="397" t="s">
        <v>9567</v>
      </c>
      <c r="K902" s="598" t="s">
        <v>12233</v>
      </c>
      <c r="L902" s="517">
        <f>L899-L901</f>
        <v>3100385.0599999987</v>
      </c>
      <c r="N902" s="517">
        <f>N899-N901</f>
        <v>6866299.1600000001</v>
      </c>
    </row>
    <row r="903" spans="1:14" s="354" customFormat="1" x14ac:dyDescent="0.25">
      <c r="A903" s="440">
        <v>45288</v>
      </c>
      <c r="B903" s="454"/>
      <c r="C903" s="306" t="s">
        <v>11972</v>
      </c>
      <c r="D903" s="304">
        <v>300000</v>
      </c>
      <c r="E903" s="304"/>
      <c r="F903" s="48">
        <f t="shared" si="26"/>
        <v>-358283</v>
      </c>
      <c r="G903" s="397" t="s">
        <v>9567</v>
      </c>
      <c r="K903" s="598" t="s">
        <v>12701</v>
      </c>
      <c r="L903" s="376">
        <f>L902*7%</f>
        <v>217026.95419999992</v>
      </c>
      <c r="M903" s="376"/>
      <c r="N903" s="376">
        <f>N902*7%</f>
        <v>480640.94120000006</v>
      </c>
    </row>
    <row r="904" spans="1:14" s="354" customFormat="1" x14ac:dyDescent="0.25">
      <c r="A904" s="440">
        <v>45289</v>
      </c>
      <c r="B904" s="454"/>
      <c r="C904" s="306" t="s">
        <v>12875</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12876</v>
      </c>
      <c r="D905" s="304">
        <v>14780</v>
      </c>
      <c r="E905" s="304"/>
      <c r="F905" s="48">
        <f t="shared" si="26"/>
        <v>-473063</v>
      </c>
      <c r="G905" s="397" t="s">
        <v>9567</v>
      </c>
      <c r="K905" s="376"/>
    </row>
    <row r="906" spans="1:14" ht="45" x14ac:dyDescent="0.25">
      <c r="A906" s="440">
        <v>45289</v>
      </c>
      <c r="B906" s="391"/>
      <c r="C906" s="303" t="s">
        <v>12888</v>
      </c>
      <c r="D906" s="304">
        <v>132000</v>
      </c>
      <c r="E906" s="304"/>
      <c r="F906" s="48">
        <f t="shared" si="26"/>
        <v>-605063</v>
      </c>
      <c r="G906" s="397" t="s">
        <v>9567</v>
      </c>
      <c r="L906" s="591"/>
    </row>
    <row r="907" spans="1:14" x14ac:dyDescent="0.25">
      <c r="A907" s="440">
        <v>44927</v>
      </c>
      <c r="B907" s="391"/>
      <c r="C907" s="306" t="s">
        <v>11972</v>
      </c>
      <c r="D907" s="304">
        <v>197000</v>
      </c>
      <c r="E907" s="304"/>
      <c r="F907" s="48">
        <f t="shared" si="26"/>
        <v>-802063</v>
      </c>
      <c r="G907" s="397" t="s">
        <v>9567</v>
      </c>
      <c r="K907" s="376"/>
      <c r="L907" s="376"/>
      <c r="M907" s="2"/>
    </row>
    <row r="908" spans="1:14" x14ac:dyDescent="0.25">
      <c r="A908" s="440">
        <v>44927</v>
      </c>
      <c r="B908" s="391"/>
      <c r="C908" s="292" t="s">
        <v>12892</v>
      </c>
      <c r="D908" s="302">
        <v>80000</v>
      </c>
      <c r="E908" s="302"/>
      <c r="F908" s="48">
        <f t="shared" si="26"/>
        <v>-882063</v>
      </c>
      <c r="G908" s="397" t="s">
        <v>9567</v>
      </c>
      <c r="K908" s="376"/>
      <c r="L908" s="376"/>
      <c r="M908" s="376"/>
    </row>
    <row r="909" spans="1:14" x14ac:dyDescent="0.25">
      <c r="A909" s="440">
        <v>44929</v>
      </c>
      <c r="B909" s="391"/>
      <c r="C909" s="292" t="s">
        <v>12909</v>
      </c>
      <c r="D909" s="302">
        <v>50000</v>
      </c>
      <c r="E909" s="302"/>
      <c r="F909" s="48">
        <f t="shared" si="26"/>
        <v>-932063</v>
      </c>
      <c r="G909" s="397" t="s">
        <v>9567</v>
      </c>
      <c r="K909" s="376"/>
      <c r="L909" s="376"/>
      <c r="M909" s="376"/>
    </row>
    <row r="910" spans="1:14" x14ac:dyDescent="0.25">
      <c r="A910" s="440">
        <v>44929</v>
      </c>
      <c r="B910" s="391"/>
      <c r="C910" s="292" t="s">
        <v>12910</v>
      </c>
      <c r="D910" s="302">
        <v>30000</v>
      </c>
      <c r="E910" s="302"/>
      <c r="F910" s="48">
        <f t="shared" si="26"/>
        <v>-962063</v>
      </c>
      <c r="G910" s="397" t="s">
        <v>9567</v>
      </c>
    </row>
    <row r="911" spans="1:14" x14ac:dyDescent="0.25">
      <c r="A911" s="440">
        <v>44930</v>
      </c>
      <c r="B911" s="391"/>
      <c r="C911" s="306" t="s">
        <v>12924</v>
      </c>
      <c r="D911" s="302">
        <v>1400000</v>
      </c>
      <c r="E911" s="302"/>
      <c r="F911" s="48">
        <f t="shared" si="26"/>
        <v>-2362063</v>
      </c>
      <c r="G911" s="397" t="s">
        <v>9567</v>
      </c>
      <c r="M911" s="277"/>
    </row>
    <row r="912" spans="1:14" x14ac:dyDescent="0.25">
      <c r="A912" s="440">
        <v>44930</v>
      </c>
      <c r="B912" s="391"/>
      <c r="C912" s="292" t="s">
        <v>12912</v>
      </c>
      <c r="D912" s="302"/>
      <c r="E912" s="302">
        <v>2920000</v>
      </c>
      <c r="F912" s="48">
        <f t="shared" si="26"/>
        <v>557937</v>
      </c>
      <c r="G912" s="397" t="s">
        <v>9567</v>
      </c>
    </row>
    <row r="913" spans="1:7" x14ac:dyDescent="0.25">
      <c r="A913" s="440">
        <v>44930</v>
      </c>
      <c r="B913" s="391"/>
      <c r="C913" s="306" t="s">
        <v>12923</v>
      </c>
      <c r="D913" s="437">
        <v>105000</v>
      </c>
      <c r="E913" s="437"/>
      <c r="F913" s="48">
        <f t="shared" si="26"/>
        <v>452937</v>
      </c>
      <c r="G913" s="397" t="s">
        <v>9567</v>
      </c>
    </row>
    <row r="914" spans="1:7" x14ac:dyDescent="0.25">
      <c r="A914" s="440">
        <v>44931</v>
      </c>
      <c r="B914" s="391"/>
      <c r="C914" s="292" t="s">
        <v>12927</v>
      </c>
      <c r="D914" s="302">
        <v>1282120</v>
      </c>
      <c r="E914" s="302"/>
      <c r="F914" s="48">
        <f t="shared" si="26"/>
        <v>-829183</v>
      </c>
      <c r="G914" s="397" t="s">
        <v>9567</v>
      </c>
    </row>
    <row r="915" spans="1:7" x14ac:dyDescent="0.25">
      <c r="A915" s="440">
        <v>44931</v>
      </c>
      <c r="B915" s="391"/>
      <c r="C915" s="292" t="s">
        <v>12928</v>
      </c>
      <c r="D915" s="302">
        <v>5000</v>
      </c>
      <c r="E915" s="302"/>
      <c r="F915" s="48">
        <f t="shared" si="26"/>
        <v>-834183</v>
      </c>
      <c r="G915" s="397" t="s">
        <v>9567</v>
      </c>
    </row>
    <row r="916" spans="1:7" x14ac:dyDescent="0.25">
      <c r="A916" s="440">
        <v>45301</v>
      </c>
      <c r="B916" s="391"/>
      <c r="C916" s="292" t="s">
        <v>12971</v>
      </c>
      <c r="D916" s="302">
        <v>750000</v>
      </c>
      <c r="E916" s="302"/>
      <c r="F916" s="48">
        <f t="shared" si="26"/>
        <v>-1584183</v>
      </c>
      <c r="G916" s="397" t="s">
        <v>9567</v>
      </c>
    </row>
    <row r="917" spans="1:7" x14ac:dyDescent="0.25">
      <c r="A917" s="440">
        <v>45303</v>
      </c>
      <c r="B917" s="391"/>
      <c r="C917" s="292" t="s">
        <v>12972</v>
      </c>
      <c r="D917" s="302">
        <v>700000</v>
      </c>
      <c r="E917" s="302"/>
      <c r="F917" s="48">
        <f t="shared" si="26"/>
        <v>-2284183</v>
      </c>
      <c r="G917" s="397" t="s">
        <v>9567</v>
      </c>
    </row>
    <row r="918" spans="1:7" x14ac:dyDescent="0.25">
      <c r="A918" s="440">
        <v>45303</v>
      </c>
      <c r="B918" s="391"/>
      <c r="C918" s="292" t="s">
        <v>12397</v>
      </c>
      <c r="D918" s="302">
        <v>25000</v>
      </c>
      <c r="E918" s="302"/>
      <c r="F918" s="48">
        <f t="shared" si="26"/>
        <v>-2309183</v>
      </c>
      <c r="G918" s="397" t="s">
        <v>9567</v>
      </c>
    </row>
    <row r="919" spans="1:7" x14ac:dyDescent="0.25">
      <c r="A919" s="440">
        <v>45303</v>
      </c>
      <c r="B919" s="391"/>
      <c r="C919" s="292" t="s">
        <v>12973</v>
      </c>
      <c r="D919" s="302"/>
      <c r="E919" s="302">
        <v>100000</v>
      </c>
      <c r="F919" s="48">
        <f t="shared" si="26"/>
        <v>-2209183</v>
      </c>
      <c r="G919" s="397" t="s">
        <v>9567</v>
      </c>
    </row>
    <row r="920" spans="1:7" x14ac:dyDescent="0.25">
      <c r="A920" s="440">
        <v>45303</v>
      </c>
      <c r="B920" s="391"/>
      <c r="C920" s="313" t="s">
        <v>12974</v>
      </c>
      <c r="D920" s="302">
        <v>7000</v>
      </c>
      <c r="E920" s="302"/>
      <c r="F920" s="48">
        <f t="shared" si="26"/>
        <v>-2216183</v>
      </c>
      <c r="G920" s="397" t="s">
        <v>9567</v>
      </c>
    </row>
    <row r="921" spans="1:7" x14ac:dyDescent="0.25">
      <c r="A921" s="440">
        <v>45303</v>
      </c>
      <c r="B921" s="391"/>
      <c r="C921" s="292" t="s">
        <v>12975</v>
      </c>
      <c r="D921" s="302">
        <v>11000</v>
      </c>
      <c r="E921" s="302"/>
      <c r="F921" s="48">
        <f t="shared" si="26"/>
        <v>-2227183</v>
      </c>
      <c r="G921" s="397" t="s">
        <v>9567</v>
      </c>
    </row>
    <row r="922" spans="1:7" x14ac:dyDescent="0.25">
      <c r="A922" s="440">
        <v>45303</v>
      </c>
      <c r="B922" s="391"/>
      <c r="C922" s="292" t="s">
        <v>12976</v>
      </c>
      <c r="D922" s="302">
        <v>600000</v>
      </c>
      <c r="E922" s="302"/>
      <c r="F922" s="48">
        <f t="shared" si="26"/>
        <v>-2827183</v>
      </c>
      <c r="G922" s="397" t="s">
        <v>9567</v>
      </c>
    </row>
    <row r="923" spans="1:7" x14ac:dyDescent="0.25">
      <c r="A923" s="440">
        <v>45303</v>
      </c>
      <c r="B923" s="391"/>
      <c r="C923" s="292" t="s">
        <v>12978</v>
      </c>
      <c r="D923" s="302">
        <v>500000</v>
      </c>
      <c r="E923" s="302"/>
      <c r="F923" s="48">
        <f t="shared" si="26"/>
        <v>-3327183</v>
      </c>
      <c r="G923" s="397" t="s">
        <v>9567</v>
      </c>
    </row>
    <row r="924" spans="1:7" x14ac:dyDescent="0.25">
      <c r="A924" s="440">
        <v>45303</v>
      </c>
      <c r="B924" s="391"/>
      <c r="C924" s="292" t="s">
        <v>12977</v>
      </c>
      <c r="D924" s="302">
        <v>250000</v>
      </c>
      <c r="E924" s="302"/>
      <c r="F924" s="48">
        <f t="shared" si="26"/>
        <v>-3577183</v>
      </c>
      <c r="G924" s="397" t="s">
        <v>9567</v>
      </c>
    </row>
    <row r="925" spans="1:7" x14ac:dyDescent="0.25">
      <c r="A925" s="440">
        <v>45310</v>
      </c>
      <c r="B925" s="391"/>
      <c r="C925" s="292" t="s">
        <v>12979</v>
      </c>
      <c r="D925" s="302">
        <v>80000</v>
      </c>
      <c r="E925" s="302"/>
      <c r="F925" s="48">
        <f t="shared" si="26"/>
        <v>-3657183</v>
      </c>
      <c r="G925" s="397" t="s">
        <v>9567</v>
      </c>
    </row>
    <row r="926" spans="1:7" x14ac:dyDescent="0.25">
      <c r="A926" s="440">
        <v>45310</v>
      </c>
      <c r="B926" s="391"/>
      <c r="C926" s="292" t="s">
        <v>12980</v>
      </c>
      <c r="D926" s="302"/>
      <c r="E926" s="302">
        <v>700000</v>
      </c>
      <c r="F926" s="48">
        <f t="shared" si="26"/>
        <v>-2957183</v>
      </c>
      <c r="G926" s="397" t="s">
        <v>9567</v>
      </c>
    </row>
    <row r="927" spans="1:7" x14ac:dyDescent="0.25">
      <c r="A927" s="440">
        <v>45310</v>
      </c>
      <c r="B927" s="391"/>
      <c r="C927" s="292" t="s">
        <v>12980</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13039</v>
      </c>
      <c r="D929" s="302">
        <v>400000</v>
      </c>
      <c r="E929" s="302"/>
      <c r="F929" s="48">
        <f t="shared" ref="F929:F992" si="28">F928+E929-D929</f>
        <v>-2667183</v>
      </c>
      <c r="G929" s="397" t="s">
        <v>9567</v>
      </c>
    </row>
    <row r="930" spans="1:11" x14ac:dyDescent="0.25">
      <c r="A930" s="440">
        <v>45311</v>
      </c>
      <c r="B930" s="391"/>
      <c r="C930" s="610" t="s">
        <v>13043</v>
      </c>
      <c r="D930" s="611"/>
      <c r="E930" s="611">
        <v>9316872</v>
      </c>
      <c r="F930" s="48">
        <f t="shared" si="28"/>
        <v>6649689</v>
      </c>
      <c r="G930" s="397" t="s">
        <v>9567</v>
      </c>
    </row>
    <row r="931" spans="1:11" x14ac:dyDescent="0.25">
      <c r="A931" s="440">
        <v>45311</v>
      </c>
      <c r="B931" s="391"/>
      <c r="C931" s="292" t="s">
        <v>13046</v>
      </c>
      <c r="D931" s="302">
        <v>32000</v>
      </c>
      <c r="E931" s="302"/>
      <c r="F931" s="48">
        <f t="shared" si="28"/>
        <v>6617689</v>
      </c>
      <c r="G931" s="397" t="s">
        <v>9567</v>
      </c>
    </row>
    <row r="932" spans="1:11" x14ac:dyDescent="0.25">
      <c r="A932" s="440">
        <v>45311</v>
      </c>
      <c r="B932" s="391"/>
      <c r="C932" s="292" t="s">
        <v>13053</v>
      </c>
      <c r="D932" s="302">
        <v>100000</v>
      </c>
      <c r="E932" s="302"/>
      <c r="F932" s="48">
        <f t="shared" si="28"/>
        <v>6517689</v>
      </c>
      <c r="G932" s="397" t="s">
        <v>9567</v>
      </c>
    </row>
    <row r="933" spans="1:11" x14ac:dyDescent="0.25">
      <c r="A933" s="440">
        <v>45316</v>
      </c>
      <c r="B933" s="391"/>
      <c r="C933" s="313" t="s">
        <v>12974</v>
      </c>
      <c r="D933" s="302">
        <v>7000</v>
      </c>
      <c r="E933" s="302"/>
      <c r="F933" s="48">
        <f t="shared" si="28"/>
        <v>6510689</v>
      </c>
      <c r="G933" s="397" t="s">
        <v>9567</v>
      </c>
    </row>
    <row r="934" spans="1:11" s="354" customFormat="1" x14ac:dyDescent="0.25">
      <c r="A934" s="440">
        <v>45317</v>
      </c>
      <c r="B934" s="454"/>
      <c r="C934" s="306" t="s">
        <v>13106</v>
      </c>
      <c r="D934" s="304">
        <v>10000</v>
      </c>
      <c r="E934" s="304"/>
      <c r="F934" s="48">
        <f t="shared" si="28"/>
        <v>6500689</v>
      </c>
      <c r="G934" s="397" t="s">
        <v>9567</v>
      </c>
      <c r="K934" s="376"/>
    </row>
    <row r="935" spans="1:11" s="354" customFormat="1" x14ac:dyDescent="0.25">
      <c r="A935" s="440">
        <v>45317</v>
      </c>
      <c r="B935" s="454"/>
      <c r="C935" s="306" t="s">
        <v>13039</v>
      </c>
      <c r="D935" s="304">
        <v>100000</v>
      </c>
      <c r="E935" s="304"/>
      <c r="F935" s="48">
        <f t="shared" si="28"/>
        <v>6400689</v>
      </c>
      <c r="G935" s="397" t="s">
        <v>9567</v>
      </c>
      <c r="K935" s="376"/>
    </row>
    <row r="936" spans="1:11" s="354" customFormat="1" x14ac:dyDescent="0.25">
      <c r="A936" s="440">
        <v>45318</v>
      </c>
      <c r="B936" s="454"/>
      <c r="C936" s="306" t="s">
        <v>13039</v>
      </c>
      <c r="D936" s="304">
        <v>500000</v>
      </c>
      <c r="E936" s="304"/>
      <c r="F936" s="48">
        <f t="shared" si="28"/>
        <v>5900689</v>
      </c>
      <c r="G936" s="397" t="s">
        <v>9567</v>
      </c>
      <c r="K936" s="376"/>
    </row>
    <row r="937" spans="1:11" s="354" customFormat="1" x14ac:dyDescent="0.25">
      <c r="A937" s="440">
        <v>45320</v>
      </c>
      <c r="B937" s="454"/>
      <c r="C937" s="306" t="s">
        <v>13039</v>
      </c>
      <c r="D937" s="304">
        <v>200000</v>
      </c>
      <c r="E937" s="304"/>
      <c r="F937" s="48">
        <f t="shared" si="28"/>
        <v>5700689</v>
      </c>
      <c r="G937" s="397" t="s">
        <v>9567</v>
      </c>
      <c r="K937" s="376"/>
    </row>
    <row r="938" spans="1:11" s="354" customFormat="1" x14ac:dyDescent="0.25">
      <c r="A938" s="440">
        <v>45320</v>
      </c>
      <c r="B938" s="454"/>
      <c r="C938" s="306" t="s">
        <v>13120</v>
      </c>
      <c r="D938" s="304">
        <v>5000</v>
      </c>
      <c r="E938" s="304"/>
      <c r="F938" s="48">
        <f t="shared" si="28"/>
        <v>5695689</v>
      </c>
      <c r="G938" s="397" t="s">
        <v>9567</v>
      </c>
      <c r="K938" s="376"/>
    </row>
    <row r="939" spans="1:11" s="354" customFormat="1" x14ac:dyDescent="0.25">
      <c r="A939" s="440">
        <v>45320</v>
      </c>
      <c r="B939" s="454"/>
      <c r="C939" s="306" t="s">
        <v>13121</v>
      </c>
      <c r="D939" s="304">
        <v>20000</v>
      </c>
      <c r="E939" s="304"/>
      <c r="F939" s="48">
        <f t="shared" si="28"/>
        <v>5675689</v>
      </c>
      <c r="G939" s="397" t="s">
        <v>9567</v>
      </c>
      <c r="K939" s="376"/>
    </row>
    <row r="940" spans="1:11" s="354" customFormat="1" x14ac:dyDescent="0.25">
      <c r="A940" s="440">
        <v>45320</v>
      </c>
      <c r="B940" s="454"/>
      <c r="C940" s="306" t="s">
        <v>13122</v>
      </c>
      <c r="D940" s="304">
        <v>20000</v>
      </c>
      <c r="E940" s="304"/>
      <c r="F940" s="48">
        <f t="shared" si="28"/>
        <v>5655689</v>
      </c>
      <c r="G940" s="397" t="s">
        <v>9567</v>
      </c>
      <c r="K940" s="376"/>
    </row>
    <row r="941" spans="1:11" s="354" customFormat="1" ht="30" x14ac:dyDescent="0.25">
      <c r="A941" s="440">
        <v>45320</v>
      </c>
      <c r="B941" s="454"/>
      <c r="C941" s="307" t="s">
        <v>13124</v>
      </c>
      <c r="D941" s="304">
        <v>950000</v>
      </c>
      <c r="E941" s="304"/>
      <c r="F941" s="48">
        <f t="shared" si="28"/>
        <v>4705689</v>
      </c>
      <c r="G941" s="397" t="s">
        <v>9567</v>
      </c>
      <c r="K941" s="376"/>
    </row>
    <row r="942" spans="1:11" s="354" customFormat="1" ht="21" customHeight="1" x14ac:dyDescent="0.25">
      <c r="A942" s="440">
        <v>45320</v>
      </c>
      <c r="B942" s="454"/>
      <c r="C942" s="306" t="s">
        <v>13125</v>
      </c>
      <c r="D942" s="304">
        <v>47000</v>
      </c>
      <c r="E942" s="304"/>
      <c r="F942" s="48">
        <f t="shared" si="28"/>
        <v>4658689</v>
      </c>
      <c r="G942" s="397" t="s">
        <v>9567</v>
      </c>
      <c r="K942" s="376"/>
    </row>
    <row r="943" spans="1:11" s="354" customFormat="1" x14ac:dyDescent="0.25">
      <c r="A943" s="440">
        <v>45325</v>
      </c>
      <c r="B943" s="454"/>
      <c r="C943" s="306" t="s">
        <v>13169</v>
      </c>
      <c r="D943" s="304">
        <v>100000</v>
      </c>
      <c r="E943" s="304"/>
      <c r="F943" s="48">
        <f t="shared" si="28"/>
        <v>4558689</v>
      </c>
      <c r="G943" s="397" t="s">
        <v>9567</v>
      </c>
      <c r="K943" s="376"/>
    </row>
    <row r="944" spans="1:11" s="354" customFormat="1" x14ac:dyDescent="0.25">
      <c r="A944" s="440">
        <v>45329</v>
      </c>
      <c r="B944" s="454"/>
      <c r="C944" s="306" t="s">
        <v>13186</v>
      </c>
      <c r="D944" s="437">
        <v>105000</v>
      </c>
      <c r="E944" s="437"/>
      <c r="F944" s="48">
        <f t="shared" si="28"/>
        <v>4453689</v>
      </c>
      <c r="G944" s="397" t="s">
        <v>9567</v>
      </c>
      <c r="K944" s="376"/>
    </row>
    <row r="945" spans="1:11" x14ac:dyDescent="0.25">
      <c r="A945" s="440">
        <v>45331</v>
      </c>
      <c r="B945" s="391"/>
      <c r="C945" s="292" t="s">
        <v>13192</v>
      </c>
      <c r="D945" s="302">
        <v>25000</v>
      </c>
      <c r="E945" s="302"/>
      <c r="F945" s="48">
        <f t="shared" si="28"/>
        <v>4428689</v>
      </c>
      <c r="G945" s="397" t="s">
        <v>9567</v>
      </c>
    </row>
    <row r="946" spans="1:11" x14ac:dyDescent="0.25">
      <c r="A946" s="440">
        <v>45332</v>
      </c>
      <c r="B946" s="391"/>
      <c r="C946" s="292" t="s">
        <v>13221</v>
      </c>
      <c r="D946" s="302"/>
      <c r="E946" s="302">
        <v>85000</v>
      </c>
      <c r="F946" s="48">
        <f t="shared" si="28"/>
        <v>4513689</v>
      </c>
      <c r="G946" s="397" t="s">
        <v>9567</v>
      </c>
    </row>
    <row r="947" spans="1:11" x14ac:dyDescent="0.25">
      <c r="A947" s="440">
        <v>45335</v>
      </c>
      <c r="B947" s="391"/>
      <c r="C947" s="292" t="s">
        <v>13247</v>
      </c>
      <c r="D947" s="302">
        <v>25000</v>
      </c>
      <c r="E947" s="302"/>
      <c r="F947" s="48">
        <f t="shared" si="28"/>
        <v>4488689</v>
      </c>
      <c r="G947" s="397" t="s">
        <v>9567</v>
      </c>
    </row>
    <row r="948" spans="1:11" x14ac:dyDescent="0.25">
      <c r="A948" s="440">
        <v>45337</v>
      </c>
      <c r="B948" s="391"/>
      <c r="C948" s="292" t="s">
        <v>13259</v>
      </c>
      <c r="D948" s="302">
        <v>15000</v>
      </c>
      <c r="E948" s="302"/>
      <c r="F948" s="48">
        <f t="shared" si="28"/>
        <v>4473689</v>
      </c>
      <c r="G948" s="397" t="s">
        <v>9567</v>
      </c>
    </row>
    <row r="949" spans="1:11" x14ac:dyDescent="0.25">
      <c r="A949" s="440">
        <v>45339</v>
      </c>
      <c r="B949" s="391"/>
      <c r="C949" s="292" t="s">
        <v>11985</v>
      </c>
      <c r="D949" s="302">
        <v>50000</v>
      </c>
      <c r="E949" s="302"/>
      <c r="F949" s="48">
        <f t="shared" si="28"/>
        <v>4423689</v>
      </c>
      <c r="G949" s="397" t="s">
        <v>9567</v>
      </c>
    </row>
    <row r="950" spans="1:11" ht="30" x14ac:dyDescent="0.25">
      <c r="A950" s="440">
        <v>45340</v>
      </c>
      <c r="B950" s="391"/>
      <c r="C950" s="303" t="s">
        <v>13275</v>
      </c>
      <c r="D950" s="302"/>
      <c r="E950" s="302">
        <v>250000</v>
      </c>
      <c r="F950" s="48">
        <f>F949+E950-D950</f>
        <v>4673689</v>
      </c>
      <c r="G950" s="397" t="s">
        <v>9567</v>
      </c>
    </row>
    <row r="951" spans="1:11" x14ac:dyDescent="0.25">
      <c r="A951" s="440">
        <v>45341</v>
      </c>
      <c r="B951" s="391"/>
      <c r="C951" s="292" t="s">
        <v>13276</v>
      </c>
      <c r="D951" s="302">
        <v>300000</v>
      </c>
      <c r="E951" s="302"/>
      <c r="F951" s="48">
        <f t="shared" si="28"/>
        <v>4373689</v>
      </c>
      <c r="G951" s="397" t="s">
        <v>9567</v>
      </c>
    </row>
    <row r="952" spans="1:11" ht="30" x14ac:dyDescent="0.25">
      <c r="A952" s="440">
        <v>45344</v>
      </c>
      <c r="B952" s="391"/>
      <c r="C952" s="303" t="s">
        <v>13290</v>
      </c>
      <c r="D952" s="302"/>
      <c r="E952" s="302">
        <v>1800000</v>
      </c>
      <c r="F952" s="48">
        <f t="shared" si="28"/>
        <v>6173689</v>
      </c>
      <c r="G952" s="397" t="s">
        <v>9567</v>
      </c>
    </row>
    <row r="953" spans="1:11" x14ac:dyDescent="0.25">
      <c r="A953" s="440">
        <v>45344</v>
      </c>
      <c r="B953" s="391"/>
      <c r="C953" s="306" t="s">
        <v>13039</v>
      </c>
      <c r="D953" s="304">
        <v>100000</v>
      </c>
      <c r="E953" s="304"/>
      <c r="F953" s="48">
        <f t="shared" si="28"/>
        <v>6073689</v>
      </c>
      <c r="G953" s="397" t="s">
        <v>9567</v>
      </c>
    </row>
    <row r="954" spans="1:11" ht="30" x14ac:dyDescent="0.25">
      <c r="A954" s="440">
        <v>45345</v>
      </c>
      <c r="B954" s="391"/>
      <c r="C954" s="303" t="s">
        <v>13290</v>
      </c>
      <c r="D954" s="302"/>
      <c r="E954" s="302">
        <v>900000</v>
      </c>
      <c r="F954" s="48">
        <f t="shared" si="28"/>
        <v>6973689</v>
      </c>
      <c r="G954" s="397" t="s">
        <v>9567</v>
      </c>
    </row>
    <row r="955" spans="1:11" ht="30" x14ac:dyDescent="0.25">
      <c r="A955" s="440">
        <v>45345</v>
      </c>
      <c r="B955" s="391"/>
      <c r="C955" s="303" t="s">
        <v>13290</v>
      </c>
      <c r="D955" s="302"/>
      <c r="E955" s="302">
        <v>900000</v>
      </c>
      <c r="F955" s="48">
        <f t="shared" si="28"/>
        <v>7873689</v>
      </c>
      <c r="G955" s="397" t="s">
        <v>9567</v>
      </c>
    </row>
    <row r="956" spans="1:11" x14ac:dyDescent="0.25">
      <c r="A956" s="440">
        <v>45345</v>
      </c>
      <c r="B956" s="391"/>
      <c r="C956" s="292" t="s">
        <v>13293</v>
      </c>
      <c r="D956" s="302"/>
      <c r="E956" s="302">
        <v>1460000</v>
      </c>
      <c r="F956" s="48">
        <f t="shared" si="28"/>
        <v>9333689</v>
      </c>
      <c r="G956" s="397" t="s">
        <v>9567</v>
      </c>
    </row>
    <row r="957" spans="1:11" s="354" customFormat="1" x14ac:dyDescent="0.25">
      <c r="A957" s="440">
        <v>45345</v>
      </c>
      <c r="B957" s="454"/>
      <c r="C957" s="306" t="s">
        <v>13294</v>
      </c>
      <c r="D957" s="304">
        <v>20000</v>
      </c>
      <c r="E957" s="304"/>
      <c r="F957" s="48">
        <f t="shared" si="28"/>
        <v>9313689</v>
      </c>
      <c r="G957" s="397" t="s">
        <v>9567</v>
      </c>
      <c r="K957" s="376"/>
    </row>
    <row r="958" spans="1:11" x14ac:dyDescent="0.25">
      <c r="A958" s="440">
        <v>45348</v>
      </c>
      <c r="B958" s="391"/>
      <c r="C958" s="292" t="s">
        <v>11985</v>
      </c>
      <c r="D958" s="302">
        <v>50000</v>
      </c>
      <c r="E958" s="302"/>
      <c r="F958" s="48">
        <f t="shared" si="28"/>
        <v>9263689</v>
      </c>
      <c r="G958" s="397" t="s">
        <v>9567</v>
      </c>
    </row>
    <row r="959" spans="1:11" x14ac:dyDescent="0.25">
      <c r="A959" s="440">
        <v>45349</v>
      </c>
      <c r="B959" s="391"/>
      <c r="C959" s="292" t="s">
        <v>13312</v>
      </c>
      <c r="D959" s="302">
        <v>50000</v>
      </c>
      <c r="E959" s="302"/>
      <c r="F959" s="48">
        <f t="shared" si="28"/>
        <v>9213689</v>
      </c>
      <c r="G959" s="397" t="s">
        <v>9567</v>
      </c>
    </row>
    <row r="960" spans="1:11" x14ac:dyDescent="0.25">
      <c r="A960" s="440">
        <v>45350</v>
      </c>
      <c r="B960" s="391"/>
      <c r="C960" s="292" t="s">
        <v>13313</v>
      </c>
      <c r="D960" s="302">
        <v>70000</v>
      </c>
      <c r="E960" s="302"/>
      <c r="F960" s="48">
        <f t="shared" si="28"/>
        <v>9143689</v>
      </c>
      <c r="G960" s="397" t="s">
        <v>9567</v>
      </c>
    </row>
    <row r="961" spans="1:11" x14ac:dyDescent="0.25">
      <c r="A961" s="440">
        <v>45350</v>
      </c>
      <c r="B961" s="391"/>
      <c r="C961" s="292" t="s">
        <v>13313</v>
      </c>
      <c r="D961" s="302">
        <v>130000</v>
      </c>
      <c r="E961" s="302"/>
      <c r="F961" s="48">
        <f t="shared" si="28"/>
        <v>9013689</v>
      </c>
      <c r="G961" s="397" t="s">
        <v>9567</v>
      </c>
    </row>
    <row r="962" spans="1:11" x14ac:dyDescent="0.25">
      <c r="A962" s="440">
        <v>45351</v>
      </c>
      <c r="B962" s="391"/>
      <c r="C962" s="292" t="s">
        <v>13331</v>
      </c>
      <c r="D962" s="302">
        <v>100000</v>
      </c>
      <c r="E962" s="302"/>
      <c r="F962" s="48">
        <f t="shared" si="28"/>
        <v>8913689</v>
      </c>
      <c r="G962" s="397" t="s">
        <v>9567</v>
      </c>
    </row>
    <row r="963" spans="1:11" x14ac:dyDescent="0.25">
      <c r="A963" s="440">
        <v>45356</v>
      </c>
      <c r="B963" s="391"/>
      <c r="C963" s="292" t="s">
        <v>13346</v>
      </c>
      <c r="D963" s="302">
        <v>100000</v>
      </c>
      <c r="E963" s="302"/>
      <c r="F963" s="48">
        <f t="shared" si="28"/>
        <v>8813689</v>
      </c>
      <c r="G963" s="397" t="s">
        <v>9567</v>
      </c>
    </row>
    <row r="964" spans="1:11" x14ac:dyDescent="0.25">
      <c r="A964" s="440">
        <v>45357</v>
      </c>
      <c r="B964" s="391"/>
      <c r="C964" s="292" t="s">
        <v>13356</v>
      </c>
      <c r="D964" s="302">
        <v>40000</v>
      </c>
      <c r="E964" s="302"/>
      <c r="F964" s="48">
        <f t="shared" si="28"/>
        <v>8773689</v>
      </c>
      <c r="G964" s="397" t="s">
        <v>9567</v>
      </c>
    </row>
    <row r="965" spans="1:11" x14ac:dyDescent="0.25">
      <c r="A965" s="440">
        <v>45360</v>
      </c>
      <c r="B965" s="391"/>
      <c r="C965" s="292" t="s">
        <v>13368</v>
      </c>
      <c r="D965" s="302">
        <v>200000</v>
      </c>
      <c r="E965" s="302"/>
      <c r="F965" s="48">
        <f t="shared" si="28"/>
        <v>8573689</v>
      </c>
      <c r="G965" s="397" t="s">
        <v>9567</v>
      </c>
    </row>
    <row r="966" spans="1:11" x14ac:dyDescent="0.25">
      <c r="A966" s="440">
        <v>45360</v>
      </c>
      <c r="B966" s="391"/>
      <c r="C966" s="306" t="s">
        <v>13372</v>
      </c>
      <c r="D966" s="437">
        <v>105000</v>
      </c>
      <c r="E966" s="437"/>
      <c r="F966" s="48">
        <f t="shared" si="28"/>
        <v>8468689</v>
      </c>
      <c r="G966" s="397" t="s">
        <v>9567</v>
      </c>
    </row>
    <row r="967" spans="1:11" x14ac:dyDescent="0.25">
      <c r="A967" s="440">
        <v>45361</v>
      </c>
      <c r="B967" s="391"/>
      <c r="C967" s="292" t="s">
        <v>13373</v>
      </c>
      <c r="D967" s="302">
        <v>100000</v>
      </c>
      <c r="E967" s="302"/>
      <c r="F967" s="48">
        <f t="shared" si="28"/>
        <v>8368689</v>
      </c>
      <c r="G967" s="397" t="s">
        <v>9567</v>
      </c>
    </row>
    <row r="968" spans="1:11" x14ac:dyDescent="0.25">
      <c r="A968" s="440">
        <v>45362</v>
      </c>
      <c r="B968" s="391"/>
      <c r="C968" s="610" t="s">
        <v>13043</v>
      </c>
      <c r="D968" s="611"/>
      <c r="E968" s="611">
        <v>4658436</v>
      </c>
      <c r="F968" s="48">
        <f t="shared" si="28"/>
        <v>13027125</v>
      </c>
      <c r="G968" s="397" t="s">
        <v>9567</v>
      </c>
    </row>
    <row r="969" spans="1:11" x14ac:dyDescent="0.25">
      <c r="A969" s="440">
        <v>45362</v>
      </c>
      <c r="B969" s="391"/>
      <c r="C969" s="610" t="s">
        <v>13847</v>
      </c>
      <c r="D969" s="611">
        <v>4658436</v>
      </c>
      <c r="E969" s="611"/>
      <c r="F969" s="48">
        <f t="shared" si="28"/>
        <v>8368689</v>
      </c>
      <c r="G969" s="397" t="s">
        <v>9567</v>
      </c>
    </row>
    <row r="970" spans="1:11" s="354" customFormat="1" x14ac:dyDescent="0.25">
      <c r="A970" s="440">
        <v>45362</v>
      </c>
      <c r="B970" s="454"/>
      <c r="C970" s="306" t="s">
        <v>11985</v>
      </c>
      <c r="D970" s="304">
        <v>150000</v>
      </c>
      <c r="E970" s="304"/>
      <c r="F970" s="48">
        <f t="shared" si="28"/>
        <v>8218689</v>
      </c>
      <c r="G970" s="397" t="s">
        <v>9567</v>
      </c>
      <c r="K970" s="376"/>
    </row>
    <row r="971" spans="1:11" s="354" customFormat="1" x14ac:dyDescent="0.25">
      <c r="A971" s="440">
        <v>45364</v>
      </c>
      <c r="B971" s="454"/>
      <c r="C971" s="635" t="s">
        <v>13399</v>
      </c>
      <c r="D971" s="304"/>
      <c r="E971" s="304">
        <v>5060000</v>
      </c>
      <c r="F971" s="48">
        <f t="shared" si="28"/>
        <v>13278689</v>
      </c>
      <c r="G971" s="397" t="s">
        <v>9567</v>
      </c>
      <c r="K971" s="376"/>
    </row>
    <row r="972" spans="1:11" s="354" customFormat="1" x14ac:dyDescent="0.25">
      <c r="A972" s="440">
        <v>45365</v>
      </c>
      <c r="B972" s="454"/>
      <c r="C972" s="306" t="s">
        <v>11985</v>
      </c>
      <c r="D972" s="304">
        <v>160000</v>
      </c>
      <c r="E972" s="304"/>
      <c r="F972" s="48">
        <f t="shared" si="28"/>
        <v>13118689</v>
      </c>
      <c r="G972" s="397" t="s">
        <v>9567</v>
      </c>
      <c r="K972" s="376"/>
    </row>
    <row r="973" spans="1:11" s="354" customFormat="1" x14ac:dyDescent="0.25">
      <c r="A973" s="440">
        <v>45365</v>
      </c>
      <c r="B973" s="454"/>
      <c r="C973" s="306" t="s">
        <v>13410</v>
      </c>
      <c r="D973" s="304">
        <v>75000</v>
      </c>
      <c r="E973" s="304"/>
      <c r="F973" s="48">
        <f t="shared" si="28"/>
        <v>13043689</v>
      </c>
      <c r="G973" s="397" t="s">
        <v>9567</v>
      </c>
      <c r="K973" s="376"/>
    </row>
    <row r="974" spans="1:11" s="354" customFormat="1" x14ac:dyDescent="0.25">
      <c r="A974" s="440">
        <v>45365</v>
      </c>
      <c r="B974" s="454"/>
      <c r="C974" s="306" t="s">
        <v>13411</v>
      </c>
      <c r="D974" s="304">
        <v>85000</v>
      </c>
      <c r="E974" s="304"/>
      <c r="F974" s="48">
        <f t="shared" si="28"/>
        <v>12958689</v>
      </c>
      <c r="G974" s="397" t="s">
        <v>9567</v>
      </c>
      <c r="K974" s="376"/>
    </row>
    <row r="975" spans="1:11" s="354" customFormat="1" x14ac:dyDescent="0.25">
      <c r="A975" s="440">
        <v>45373</v>
      </c>
      <c r="B975" s="454"/>
      <c r="C975" s="306" t="s">
        <v>11985</v>
      </c>
      <c r="D975" s="304">
        <v>45000</v>
      </c>
      <c r="E975" s="304"/>
      <c r="F975" s="48">
        <f t="shared" si="28"/>
        <v>12913689</v>
      </c>
      <c r="G975" s="397" t="s">
        <v>9567</v>
      </c>
      <c r="K975" s="376"/>
    </row>
    <row r="976" spans="1:11" s="354" customFormat="1" x14ac:dyDescent="0.25">
      <c r="A976" s="440">
        <v>45373</v>
      </c>
      <c r="B976" s="454"/>
      <c r="C976" s="306" t="s">
        <v>13439</v>
      </c>
      <c r="D976" s="304"/>
      <c r="E976" s="304">
        <v>500000</v>
      </c>
      <c r="F976" s="48">
        <f t="shared" si="28"/>
        <v>13413689</v>
      </c>
      <c r="G976" s="397" t="s">
        <v>9567</v>
      </c>
      <c r="K976" s="376"/>
    </row>
    <row r="977" spans="1:11" s="354" customFormat="1" x14ac:dyDescent="0.25">
      <c r="A977" s="440">
        <v>45379</v>
      </c>
      <c r="B977" s="454"/>
      <c r="C977" s="306" t="s">
        <v>13449</v>
      </c>
      <c r="D977" s="304">
        <v>34000</v>
      </c>
      <c r="E977" s="304"/>
      <c r="F977" s="48">
        <f t="shared" si="28"/>
        <v>13379689</v>
      </c>
      <c r="G977" s="397" t="s">
        <v>9567</v>
      </c>
      <c r="K977" s="376"/>
    </row>
    <row r="978" spans="1:11" s="354" customFormat="1" x14ac:dyDescent="0.25">
      <c r="A978" s="440">
        <v>45379</v>
      </c>
      <c r="B978" s="454"/>
      <c r="C978" s="306" t="s">
        <v>13435</v>
      </c>
      <c r="D978" s="304">
        <v>225000</v>
      </c>
      <c r="E978" s="304"/>
      <c r="F978" s="48">
        <f t="shared" si="28"/>
        <v>13154689</v>
      </c>
      <c r="G978" s="397" t="s">
        <v>9567</v>
      </c>
      <c r="K978" s="376"/>
    </row>
    <row r="979" spans="1:11" s="354" customFormat="1" x14ac:dyDescent="0.25">
      <c r="A979" s="440">
        <v>45380</v>
      </c>
      <c r="B979" s="454"/>
      <c r="C979" s="306" t="s">
        <v>13436</v>
      </c>
      <c r="D979" s="304">
        <v>50000</v>
      </c>
      <c r="E979" s="304"/>
      <c r="F979" s="48">
        <f t="shared" si="28"/>
        <v>13104689</v>
      </c>
      <c r="G979" s="397" t="s">
        <v>9567</v>
      </c>
      <c r="K979" s="376"/>
    </row>
    <row r="980" spans="1:11" s="354" customFormat="1" x14ac:dyDescent="0.25">
      <c r="A980" s="440">
        <v>45380</v>
      </c>
      <c r="B980" s="454"/>
      <c r="C980" s="306" t="s">
        <v>13437</v>
      </c>
      <c r="D980" s="304">
        <v>35000</v>
      </c>
      <c r="E980" s="304"/>
      <c r="F980" s="48">
        <f t="shared" si="28"/>
        <v>13069689</v>
      </c>
      <c r="G980" s="397" t="s">
        <v>9567</v>
      </c>
      <c r="K980" s="376"/>
    </row>
    <row r="981" spans="1:11" s="354" customFormat="1" x14ac:dyDescent="0.25">
      <c r="A981" s="440">
        <v>45380</v>
      </c>
      <c r="B981" s="454"/>
      <c r="C981" s="306" t="s">
        <v>13436</v>
      </c>
      <c r="D981" s="304">
        <v>15500</v>
      </c>
      <c r="E981" s="304"/>
      <c r="F981" s="48">
        <f t="shared" si="28"/>
        <v>13054189</v>
      </c>
      <c r="G981" s="397" t="s">
        <v>9567</v>
      </c>
      <c r="I981" s="517"/>
      <c r="K981" s="376"/>
    </row>
    <row r="982" spans="1:11" s="354" customFormat="1" x14ac:dyDescent="0.25">
      <c r="A982" s="440">
        <v>45380</v>
      </c>
      <c r="B982" s="454"/>
      <c r="C982" s="306" t="s">
        <v>13438</v>
      </c>
      <c r="D982" s="304">
        <v>9500</v>
      </c>
      <c r="E982" s="304"/>
      <c r="F982" s="48">
        <f t="shared" si="28"/>
        <v>13044689</v>
      </c>
      <c r="G982" s="397" t="s">
        <v>9567</v>
      </c>
      <c r="K982" s="376"/>
    </row>
    <row r="983" spans="1:11" s="354" customFormat="1" x14ac:dyDescent="0.25">
      <c r="A983" s="440">
        <v>45383</v>
      </c>
      <c r="B983" s="454"/>
      <c r="C983" s="306" t="s">
        <v>13453</v>
      </c>
      <c r="D983" s="304"/>
      <c r="E983" s="304">
        <v>223000</v>
      </c>
      <c r="F983" s="48">
        <f t="shared" si="28"/>
        <v>13267689</v>
      </c>
      <c r="G983" s="397" t="s">
        <v>9567</v>
      </c>
      <c r="K983" s="376"/>
    </row>
    <row r="984" spans="1:11" s="354" customFormat="1" ht="30" x14ac:dyDescent="0.25">
      <c r="A984" s="440">
        <v>45384</v>
      </c>
      <c r="B984" s="454"/>
      <c r="C984" s="307" t="s">
        <v>13465</v>
      </c>
      <c r="D984" s="304"/>
      <c r="E984" s="304">
        <v>1000000</v>
      </c>
      <c r="F984" s="48">
        <f t="shared" si="28"/>
        <v>14267689</v>
      </c>
      <c r="G984" s="397" t="s">
        <v>9567</v>
      </c>
      <c r="K984" s="376"/>
    </row>
    <row r="985" spans="1:11" s="354" customFormat="1" ht="30" x14ac:dyDescent="0.25">
      <c r="A985" s="440">
        <v>45384</v>
      </c>
      <c r="B985" s="454"/>
      <c r="C985" s="307" t="s">
        <v>13465</v>
      </c>
      <c r="D985" s="304"/>
      <c r="E985" s="304">
        <v>1000000</v>
      </c>
      <c r="F985" s="48">
        <f t="shared" si="28"/>
        <v>15267689</v>
      </c>
      <c r="G985" s="397" t="s">
        <v>9567</v>
      </c>
      <c r="K985" s="376"/>
    </row>
    <row r="986" spans="1:11" s="354" customFormat="1" x14ac:dyDescent="0.25">
      <c r="A986" s="440">
        <v>45384</v>
      </c>
      <c r="B986" s="454"/>
      <c r="C986" s="306" t="s">
        <v>13471</v>
      </c>
      <c r="D986" s="437">
        <v>105000</v>
      </c>
      <c r="E986" s="437"/>
      <c r="F986" s="48">
        <f t="shared" si="28"/>
        <v>15162689</v>
      </c>
      <c r="G986" s="397" t="s">
        <v>9567</v>
      </c>
      <c r="K986" s="376"/>
    </row>
    <row r="987" spans="1:11" s="354" customFormat="1" x14ac:dyDescent="0.25">
      <c r="A987" s="440">
        <v>45385</v>
      </c>
      <c r="B987" s="454"/>
      <c r="C987" s="306" t="s">
        <v>13478</v>
      </c>
      <c r="D987" s="304">
        <v>500000</v>
      </c>
      <c r="E987" s="304"/>
      <c r="F987" s="48">
        <f t="shared" si="28"/>
        <v>14662689</v>
      </c>
      <c r="G987" s="397" t="s">
        <v>9567</v>
      </c>
      <c r="K987" s="376"/>
    </row>
    <row r="988" spans="1:11" s="354" customFormat="1" x14ac:dyDescent="0.25">
      <c r="A988" s="440">
        <v>45385</v>
      </c>
      <c r="B988" s="454"/>
      <c r="C988" s="306" t="s">
        <v>13632</v>
      </c>
      <c r="D988" s="304">
        <v>30000</v>
      </c>
      <c r="E988" s="304"/>
      <c r="F988" s="48">
        <f t="shared" si="28"/>
        <v>14632689</v>
      </c>
      <c r="G988" s="397" t="s">
        <v>9567</v>
      </c>
      <c r="K988" s="376"/>
    </row>
    <row r="989" spans="1:11" x14ac:dyDescent="0.25">
      <c r="A989" s="440">
        <v>45385</v>
      </c>
      <c r="B989" s="391"/>
      <c r="C989" s="292" t="s">
        <v>13479</v>
      </c>
      <c r="D989" s="302">
        <v>15000</v>
      </c>
      <c r="E989" s="302"/>
      <c r="F989" s="48">
        <f t="shared" si="28"/>
        <v>14617689</v>
      </c>
      <c r="G989" s="397" t="s">
        <v>9567</v>
      </c>
    </row>
    <row r="990" spans="1:11" x14ac:dyDescent="0.25">
      <c r="A990" s="440">
        <v>45386</v>
      </c>
      <c r="B990" s="454"/>
      <c r="C990" s="306" t="s">
        <v>13478</v>
      </c>
      <c r="D990" s="304">
        <v>425000</v>
      </c>
      <c r="E990" s="304"/>
      <c r="F990" s="48">
        <f t="shared" si="28"/>
        <v>14192689</v>
      </c>
      <c r="G990" s="397" t="s">
        <v>9567</v>
      </c>
    </row>
    <row r="991" spans="1:11" x14ac:dyDescent="0.25">
      <c r="A991" s="440">
        <v>45386</v>
      </c>
      <c r="B991" s="391"/>
      <c r="C991" s="292" t="s">
        <v>13488</v>
      </c>
      <c r="D991" s="302">
        <v>50000</v>
      </c>
      <c r="E991" s="302"/>
      <c r="F991" s="48">
        <f t="shared" si="28"/>
        <v>14142689</v>
      </c>
      <c r="G991" s="397" t="s">
        <v>9567</v>
      </c>
    </row>
    <row r="992" spans="1:11" x14ac:dyDescent="0.25">
      <c r="A992" s="440">
        <v>45386</v>
      </c>
      <c r="B992" s="391"/>
      <c r="C992" s="292" t="s">
        <v>13489</v>
      </c>
      <c r="D992" s="302">
        <v>200000</v>
      </c>
      <c r="E992" s="302"/>
      <c r="F992" s="48">
        <f t="shared" si="28"/>
        <v>13942689</v>
      </c>
      <c r="G992" s="397" t="s">
        <v>9567</v>
      </c>
    </row>
    <row r="993" spans="1:7" x14ac:dyDescent="0.25">
      <c r="A993" s="440">
        <v>45386</v>
      </c>
      <c r="B993" s="391"/>
      <c r="C993" s="292" t="s">
        <v>13490</v>
      </c>
      <c r="D993" s="302">
        <v>100000</v>
      </c>
      <c r="E993" s="302"/>
      <c r="F993" s="48">
        <f t="shared" ref="F993:F1057" si="29">F992+E993-D993</f>
        <v>13842689</v>
      </c>
      <c r="G993" s="397" t="s">
        <v>9567</v>
      </c>
    </row>
    <row r="994" spans="1:7" x14ac:dyDescent="0.25">
      <c r="A994" s="440">
        <v>45386</v>
      </c>
      <c r="B994" s="391"/>
      <c r="C994" s="292" t="s">
        <v>13492</v>
      </c>
      <c r="D994" s="302"/>
      <c r="E994" s="302">
        <v>999000</v>
      </c>
      <c r="F994" s="48">
        <f t="shared" si="29"/>
        <v>14841689</v>
      </c>
      <c r="G994" s="397" t="s">
        <v>9567</v>
      </c>
    </row>
    <row r="995" spans="1:7" x14ac:dyDescent="0.25">
      <c r="A995" s="440">
        <v>45386</v>
      </c>
      <c r="B995" s="391"/>
      <c r="C995" s="292" t="s">
        <v>13492</v>
      </c>
      <c r="D995" s="302"/>
      <c r="E995" s="302">
        <v>999000</v>
      </c>
      <c r="F995" s="48">
        <f t="shared" si="29"/>
        <v>15840689</v>
      </c>
      <c r="G995" s="397" t="s">
        <v>9567</v>
      </c>
    </row>
    <row r="996" spans="1:7" x14ac:dyDescent="0.25">
      <c r="A996" s="440">
        <v>45386</v>
      </c>
      <c r="B996" s="391"/>
      <c r="C996" s="292" t="s">
        <v>13492</v>
      </c>
      <c r="D996" s="302"/>
      <c r="E996" s="302">
        <v>999000</v>
      </c>
      <c r="F996" s="48">
        <f t="shared" si="29"/>
        <v>16839689</v>
      </c>
      <c r="G996" s="397" t="s">
        <v>9567</v>
      </c>
    </row>
    <row r="997" spans="1:7" x14ac:dyDescent="0.25">
      <c r="A997" s="440">
        <v>45386</v>
      </c>
      <c r="B997" s="391"/>
      <c r="C997" s="292" t="s">
        <v>13492</v>
      </c>
      <c r="D997" s="302"/>
      <c r="E997" s="302">
        <v>999000</v>
      </c>
      <c r="F997" s="48">
        <f t="shared" si="29"/>
        <v>17838689</v>
      </c>
      <c r="G997" s="397" t="s">
        <v>9567</v>
      </c>
    </row>
    <row r="998" spans="1:7" x14ac:dyDescent="0.25">
      <c r="A998" s="440">
        <v>45387</v>
      </c>
      <c r="B998" s="391"/>
      <c r="C998" s="292" t="s">
        <v>13500</v>
      </c>
      <c r="D998" s="302"/>
      <c r="E998" s="302">
        <v>310000</v>
      </c>
      <c r="F998" s="48">
        <f t="shared" si="29"/>
        <v>18148689</v>
      </c>
      <c r="G998" s="397" t="s">
        <v>9567</v>
      </c>
    </row>
    <row r="999" spans="1:7" x14ac:dyDescent="0.25">
      <c r="A999" s="440">
        <v>45387</v>
      </c>
      <c r="B999" s="391"/>
      <c r="C999" s="292" t="s">
        <v>13494</v>
      </c>
      <c r="D999" s="302">
        <v>50000</v>
      </c>
      <c r="E999" s="302"/>
      <c r="F999" s="48">
        <f t="shared" si="29"/>
        <v>18098689</v>
      </c>
      <c r="G999" s="397" t="s">
        <v>9567</v>
      </c>
    </row>
    <row r="1000" spans="1:7" x14ac:dyDescent="0.25">
      <c r="A1000" s="440">
        <v>45387</v>
      </c>
      <c r="B1000" s="391"/>
      <c r="C1000" s="292" t="s">
        <v>13520</v>
      </c>
      <c r="D1000" s="302"/>
      <c r="E1000" s="302">
        <v>995000</v>
      </c>
      <c r="F1000" s="48">
        <f t="shared" si="29"/>
        <v>19093689</v>
      </c>
      <c r="G1000" s="397" t="s">
        <v>9567</v>
      </c>
    </row>
    <row r="1001" spans="1:7" x14ac:dyDescent="0.25">
      <c r="A1001" s="440">
        <v>45387</v>
      </c>
      <c r="B1001" s="391"/>
      <c r="C1001" s="292" t="s">
        <v>13520</v>
      </c>
      <c r="D1001" s="302"/>
      <c r="E1001" s="302">
        <v>995000</v>
      </c>
      <c r="F1001" s="48">
        <f t="shared" si="29"/>
        <v>20088689</v>
      </c>
      <c r="G1001" s="397" t="s">
        <v>9567</v>
      </c>
    </row>
    <row r="1002" spans="1:7" x14ac:dyDescent="0.25">
      <c r="A1002" s="440">
        <v>45388</v>
      </c>
      <c r="B1002" s="391"/>
      <c r="C1002" s="292" t="s">
        <v>13503</v>
      </c>
      <c r="D1002" s="302">
        <v>130000</v>
      </c>
      <c r="E1002" s="302"/>
      <c r="F1002" s="48">
        <f t="shared" si="29"/>
        <v>19958689</v>
      </c>
      <c r="G1002" s="397" t="s">
        <v>9567</v>
      </c>
    </row>
    <row r="1003" spans="1:7" x14ac:dyDescent="0.25">
      <c r="A1003" s="440">
        <v>45389</v>
      </c>
      <c r="B1003" s="391"/>
      <c r="C1003" s="292" t="s">
        <v>13513</v>
      </c>
      <c r="D1003" s="302">
        <v>20000</v>
      </c>
      <c r="E1003" s="302"/>
      <c r="F1003" s="48">
        <f t="shared" si="29"/>
        <v>19938689</v>
      </c>
      <c r="G1003" s="397" t="s">
        <v>9567</v>
      </c>
    </row>
    <row r="1004" spans="1:7" x14ac:dyDescent="0.25">
      <c r="A1004" s="440">
        <v>45389</v>
      </c>
      <c r="B1004" s="391"/>
      <c r="C1004" s="292" t="s">
        <v>13514</v>
      </c>
      <c r="D1004" s="302">
        <v>30000</v>
      </c>
      <c r="E1004" s="302"/>
      <c r="F1004" s="48">
        <f t="shared" si="29"/>
        <v>19908689</v>
      </c>
      <c r="G1004" s="397" t="s">
        <v>9567</v>
      </c>
    </row>
    <row r="1005" spans="1:7" x14ac:dyDescent="0.25">
      <c r="A1005" s="440">
        <v>45390</v>
      </c>
      <c r="B1005" s="391"/>
      <c r="C1005" s="292" t="s">
        <v>13515</v>
      </c>
      <c r="D1005" s="302">
        <v>200000</v>
      </c>
      <c r="E1005" s="302"/>
      <c r="F1005" s="48">
        <f t="shared" si="29"/>
        <v>19708689</v>
      </c>
      <c r="G1005" s="397" t="s">
        <v>9567</v>
      </c>
    </row>
    <row r="1006" spans="1:7" x14ac:dyDescent="0.25">
      <c r="A1006" s="440">
        <v>45390</v>
      </c>
      <c r="B1006" s="391"/>
      <c r="C1006" s="292" t="s">
        <v>13503</v>
      </c>
      <c r="D1006" s="302">
        <v>40000</v>
      </c>
      <c r="E1006" s="302"/>
      <c r="F1006" s="48">
        <f t="shared" si="29"/>
        <v>19668689</v>
      </c>
      <c r="G1006" s="397" t="s">
        <v>9567</v>
      </c>
    </row>
    <row r="1007" spans="1:7" x14ac:dyDescent="0.25">
      <c r="A1007" s="440">
        <v>45390</v>
      </c>
      <c r="B1007" s="391"/>
      <c r="C1007" s="292" t="s">
        <v>13516</v>
      </c>
      <c r="D1007" s="302">
        <v>100000</v>
      </c>
      <c r="E1007" s="302"/>
      <c r="F1007" s="48">
        <f t="shared" si="29"/>
        <v>19568689</v>
      </c>
      <c r="G1007" s="397" t="s">
        <v>9567</v>
      </c>
    </row>
    <row r="1008" spans="1:7" x14ac:dyDescent="0.25">
      <c r="A1008" s="440">
        <v>45390</v>
      </c>
      <c r="B1008" s="391"/>
      <c r="C1008" s="292" t="s">
        <v>13517</v>
      </c>
      <c r="D1008" s="302">
        <v>200000</v>
      </c>
      <c r="E1008" s="302"/>
      <c r="F1008" s="48">
        <f t="shared" si="29"/>
        <v>19368689</v>
      </c>
      <c r="G1008" s="397" t="s">
        <v>9567</v>
      </c>
    </row>
    <row r="1009" spans="1:12" x14ac:dyDescent="0.25">
      <c r="A1009" s="440">
        <v>45391</v>
      </c>
      <c r="B1009" s="391"/>
      <c r="C1009" s="292" t="s">
        <v>13518</v>
      </c>
      <c r="D1009" s="302">
        <v>20000</v>
      </c>
      <c r="E1009" s="302"/>
      <c r="F1009" s="48">
        <f t="shared" si="29"/>
        <v>19348689</v>
      </c>
      <c r="G1009" s="397" t="s">
        <v>9567</v>
      </c>
    </row>
    <row r="1010" spans="1:12" x14ac:dyDescent="0.25">
      <c r="A1010" s="440">
        <v>45391</v>
      </c>
      <c r="B1010" s="391"/>
      <c r="C1010" s="292" t="s">
        <v>13523</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13540</v>
      </c>
      <c r="D1013" s="302"/>
      <c r="E1013" s="310">
        <v>200000</v>
      </c>
      <c r="F1013" s="48">
        <f t="shared" si="29"/>
        <v>19388189</v>
      </c>
      <c r="G1013" s="397" t="s">
        <v>9567</v>
      </c>
    </row>
    <row r="1014" spans="1:12" ht="30" x14ac:dyDescent="0.25">
      <c r="A1014" s="440">
        <v>45405</v>
      </c>
      <c r="B1014" s="391"/>
      <c r="C1014" s="303" t="s">
        <v>13540</v>
      </c>
      <c r="D1014" s="302"/>
      <c r="E1014" s="310">
        <v>400000</v>
      </c>
      <c r="F1014" s="48">
        <f t="shared" si="29"/>
        <v>19788189</v>
      </c>
      <c r="G1014" s="397" t="s">
        <v>9567</v>
      </c>
      <c r="I1014" s="637"/>
      <c r="J1014" s="941"/>
      <c r="K1014" s="941"/>
      <c r="L1014" s="638"/>
    </row>
    <row r="1015" spans="1:12" ht="30" x14ac:dyDescent="0.25">
      <c r="A1015" s="440">
        <v>45405</v>
      </c>
      <c r="B1015" s="391"/>
      <c r="C1015" s="303" t="s">
        <v>13540</v>
      </c>
      <c r="D1015" s="302"/>
      <c r="E1015" s="310">
        <v>800000</v>
      </c>
      <c r="F1015" s="48">
        <f t="shared" si="29"/>
        <v>20588189</v>
      </c>
      <c r="G1015" s="397" t="s">
        <v>9567</v>
      </c>
      <c r="I1015" s="637"/>
      <c r="J1015" s="941"/>
      <c r="K1015" s="941"/>
      <c r="L1015" s="638"/>
    </row>
    <row r="1016" spans="1:12" ht="30" x14ac:dyDescent="0.25">
      <c r="A1016" s="440">
        <v>45405</v>
      </c>
      <c r="B1016" s="391"/>
      <c r="C1016" s="303" t="s">
        <v>13540</v>
      </c>
      <c r="D1016" s="302"/>
      <c r="E1016" s="310">
        <v>463000</v>
      </c>
      <c r="F1016" s="48">
        <f t="shared" si="29"/>
        <v>21051189</v>
      </c>
      <c r="G1016" s="397" t="s">
        <v>9567</v>
      </c>
      <c r="I1016" s="637"/>
      <c r="J1016" s="941"/>
      <c r="K1016" s="941"/>
      <c r="L1016" s="638"/>
    </row>
    <row r="1017" spans="1:12" ht="30" x14ac:dyDescent="0.25">
      <c r="A1017" s="440">
        <v>45405</v>
      </c>
      <c r="B1017" s="391"/>
      <c r="C1017" s="303" t="s">
        <v>13540</v>
      </c>
      <c r="D1017" s="302"/>
      <c r="E1017" s="310">
        <v>537000</v>
      </c>
      <c r="F1017" s="48">
        <f t="shared" si="29"/>
        <v>21588189</v>
      </c>
      <c r="G1017" s="397" t="s">
        <v>9567</v>
      </c>
      <c r="I1017" s="637"/>
      <c r="J1017" s="941"/>
      <c r="K1017" s="941"/>
      <c r="L1017" s="638"/>
    </row>
    <row r="1018" spans="1:12" ht="30" x14ac:dyDescent="0.25">
      <c r="A1018" s="440">
        <v>45406</v>
      </c>
      <c r="B1018" s="391"/>
      <c r="C1018" s="303" t="s">
        <v>13540</v>
      </c>
      <c r="D1018" s="302"/>
      <c r="E1018" s="310">
        <v>800000</v>
      </c>
      <c r="F1018" s="48">
        <f t="shared" si="29"/>
        <v>22388189</v>
      </c>
      <c r="G1018" s="397" t="s">
        <v>9567</v>
      </c>
      <c r="I1018" s="637"/>
      <c r="J1018" s="941"/>
      <c r="K1018" s="941"/>
      <c r="L1018" s="638"/>
    </row>
    <row r="1019" spans="1:12" ht="30" x14ac:dyDescent="0.25">
      <c r="A1019" s="440">
        <v>45406</v>
      </c>
      <c r="B1019" s="391"/>
      <c r="C1019" s="303" t="s">
        <v>13540</v>
      </c>
      <c r="D1019" s="302"/>
      <c r="E1019" s="310">
        <v>700000</v>
      </c>
      <c r="F1019" s="48">
        <f t="shared" si="29"/>
        <v>23088189</v>
      </c>
      <c r="G1019" s="397" t="s">
        <v>9567</v>
      </c>
      <c r="I1019" s="376">
        <f>SUM(E1013:E1020)</f>
        <v>4200000</v>
      </c>
      <c r="J1019" s="941"/>
      <c r="K1019" s="941"/>
      <c r="L1019" s="638"/>
    </row>
    <row r="1020" spans="1:12" ht="30" x14ac:dyDescent="0.25">
      <c r="A1020" s="440">
        <v>45411</v>
      </c>
      <c r="B1020" s="391"/>
      <c r="C1020" s="303" t="s">
        <v>13540</v>
      </c>
      <c r="D1020" s="302"/>
      <c r="E1020" s="310">
        <v>300000</v>
      </c>
      <c r="F1020" s="48">
        <f t="shared" si="29"/>
        <v>23388189</v>
      </c>
      <c r="G1020" s="397" t="s">
        <v>9567</v>
      </c>
      <c r="I1020" s="637"/>
      <c r="J1020" s="941"/>
      <c r="K1020" s="941"/>
      <c r="L1020" s="638"/>
    </row>
    <row r="1021" spans="1:12" x14ac:dyDescent="0.25">
      <c r="A1021" s="440">
        <v>45408</v>
      </c>
      <c r="B1021" s="391"/>
      <c r="C1021" s="303" t="s">
        <v>13574</v>
      </c>
      <c r="D1021" s="302"/>
      <c r="E1021" s="310">
        <v>250000</v>
      </c>
      <c r="F1021" s="48">
        <f t="shared" si="29"/>
        <v>23638189</v>
      </c>
      <c r="G1021" s="397" t="s">
        <v>9567</v>
      </c>
      <c r="I1021" s="376"/>
      <c r="J1021" s="941"/>
      <c r="K1021" s="941"/>
      <c r="L1021" s="638"/>
    </row>
    <row r="1022" spans="1:12" x14ac:dyDescent="0.25">
      <c r="A1022" s="440">
        <v>45406</v>
      </c>
      <c r="B1022" s="391"/>
      <c r="C1022" s="303" t="s">
        <v>11413</v>
      </c>
      <c r="D1022" s="302"/>
      <c r="E1022" s="310">
        <v>355000</v>
      </c>
      <c r="F1022" s="48">
        <f t="shared" si="29"/>
        <v>23993189</v>
      </c>
      <c r="G1022" s="397" t="s">
        <v>9567</v>
      </c>
      <c r="I1022" s="942"/>
      <c r="J1022" s="942"/>
      <c r="K1022" s="942"/>
      <c r="L1022" s="639"/>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13574</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13541</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13543</v>
      </c>
      <c r="D1029" s="304">
        <v>200000</v>
      </c>
      <c r="E1029" s="304"/>
      <c r="F1029" s="48">
        <f t="shared" si="29"/>
        <v>25540189</v>
      </c>
      <c r="G1029" s="397" t="s">
        <v>9567</v>
      </c>
      <c r="I1029" s="517"/>
      <c r="K1029" s="376"/>
    </row>
    <row r="1030" spans="1:11" s="354" customFormat="1" ht="22.5" customHeight="1" x14ac:dyDescent="0.25">
      <c r="A1030" s="440">
        <v>45407</v>
      </c>
      <c r="B1030" s="454"/>
      <c r="C1030" s="306" t="s">
        <v>13546</v>
      </c>
      <c r="D1030" s="304">
        <v>204000</v>
      </c>
      <c r="E1030" s="304"/>
      <c r="F1030" s="48">
        <f t="shared" si="29"/>
        <v>25336189</v>
      </c>
      <c r="G1030" s="397" t="s">
        <v>9567</v>
      </c>
      <c r="K1030" s="376"/>
    </row>
    <row r="1031" spans="1:11" s="354" customFormat="1" ht="22.5" customHeight="1" x14ac:dyDescent="0.25">
      <c r="A1031" s="440">
        <v>45408</v>
      </c>
      <c r="B1031" s="454"/>
      <c r="C1031" s="306" t="s">
        <v>13553</v>
      </c>
      <c r="D1031" s="304">
        <v>35600</v>
      </c>
      <c r="E1031" s="304"/>
      <c r="F1031" s="48">
        <f t="shared" si="29"/>
        <v>25300589</v>
      </c>
      <c r="G1031" s="397" t="s">
        <v>9567</v>
      </c>
      <c r="K1031" s="376"/>
    </row>
    <row r="1032" spans="1:11" s="354" customFormat="1" ht="22.5" customHeight="1" x14ac:dyDescent="0.25">
      <c r="A1032" s="440">
        <v>45408</v>
      </c>
      <c r="B1032" s="454"/>
      <c r="C1032" s="306" t="s">
        <v>13554</v>
      </c>
      <c r="D1032" s="308">
        <v>40000</v>
      </c>
      <c r="E1032" s="308"/>
      <c r="F1032" s="48">
        <f t="shared" si="29"/>
        <v>25260589</v>
      </c>
      <c r="G1032" s="397" t="s">
        <v>9567</v>
      </c>
      <c r="K1032" s="376"/>
    </row>
    <row r="1033" spans="1:11" s="354" customFormat="1" ht="22.5" customHeight="1" x14ac:dyDescent="0.25">
      <c r="A1033" s="440">
        <v>45408</v>
      </c>
      <c r="B1033" s="454"/>
      <c r="C1033" s="306" t="s">
        <v>13555</v>
      </c>
      <c r="D1033" s="308">
        <v>5000</v>
      </c>
      <c r="E1033" s="308"/>
      <c r="F1033" s="48">
        <f t="shared" si="29"/>
        <v>25255589</v>
      </c>
      <c r="G1033" s="397" t="s">
        <v>9567</v>
      </c>
      <c r="K1033" s="376"/>
    </row>
    <row r="1034" spans="1:11" s="354" customFormat="1" ht="22.5" customHeight="1" x14ac:dyDescent="0.25">
      <c r="A1034" s="440">
        <v>45409</v>
      </c>
      <c r="B1034" s="454"/>
      <c r="C1034" s="306" t="s">
        <v>13561</v>
      </c>
      <c r="D1034" s="308">
        <v>4500</v>
      </c>
      <c r="E1034" s="308"/>
      <c r="F1034" s="48">
        <f t="shared" si="29"/>
        <v>25251089</v>
      </c>
      <c r="G1034" s="397" t="s">
        <v>9567</v>
      </c>
      <c r="K1034" s="376"/>
    </row>
    <row r="1035" spans="1:11" x14ac:dyDescent="0.25">
      <c r="A1035" s="440">
        <v>45409</v>
      </c>
      <c r="B1035" s="391"/>
      <c r="C1035" s="640" t="s">
        <v>13562</v>
      </c>
      <c r="D1035" s="641">
        <v>500000</v>
      </c>
      <c r="E1035" s="641"/>
      <c r="F1035" s="48">
        <f t="shared" si="29"/>
        <v>24751089</v>
      </c>
      <c r="G1035" s="397" t="s">
        <v>9567</v>
      </c>
    </row>
    <row r="1036" spans="1:11" x14ac:dyDescent="0.25">
      <c r="A1036" s="440">
        <v>45409</v>
      </c>
      <c r="B1036" s="391"/>
      <c r="C1036" s="640" t="s">
        <v>13563</v>
      </c>
      <c r="D1036" s="641">
        <v>500000</v>
      </c>
      <c r="E1036" s="641"/>
      <c r="F1036" s="48">
        <f t="shared" si="29"/>
        <v>24251089</v>
      </c>
      <c r="G1036" s="397" t="s">
        <v>9567</v>
      </c>
    </row>
    <row r="1037" spans="1:11" x14ac:dyDescent="0.25">
      <c r="A1037" s="440">
        <v>45409</v>
      </c>
      <c r="B1037" s="391"/>
      <c r="C1037" s="292" t="s">
        <v>13564</v>
      </c>
      <c r="D1037" s="302"/>
      <c r="E1037" s="304">
        <v>5000000</v>
      </c>
      <c r="F1037" s="48">
        <f t="shared" si="29"/>
        <v>29251089</v>
      </c>
      <c r="G1037" s="397" t="s">
        <v>9567</v>
      </c>
    </row>
    <row r="1038" spans="1:11" x14ac:dyDescent="0.25">
      <c r="A1038" s="440">
        <v>45409</v>
      </c>
      <c r="B1038" s="391"/>
      <c r="C1038" s="292" t="s">
        <v>13568</v>
      </c>
      <c r="D1038" s="302">
        <v>15000</v>
      </c>
      <c r="E1038" s="304"/>
      <c r="F1038" s="48">
        <f t="shared" si="29"/>
        <v>29236089</v>
      </c>
      <c r="G1038" s="397" t="s">
        <v>9567</v>
      </c>
    </row>
    <row r="1039" spans="1:11" x14ac:dyDescent="0.25">
      <c r="A1039" s="440">
        <v>45409</v>
      </c>
      <c r="B1039" s="391"/>
      <c r="C1039" s="292" t="s">
        <v>13571</v>
      </c>
      <c r="D1039" s="302">
        <v>59160</v>
      </c>
      <c r="E1039" s="304"/>
      <c r="F1039" s="48">
        <f t="shared" si="29"/>
        <v>29176929</v>
      </c>
      <c r="G1039" s="397" t="s">
        <v>9567</v>
      </c>
    </row>
    <row r="1040" spans="1:11" x14ac:dyDescent="0.25">
      <c r="A1040" s="440">
        <v>45412</v>
      </c>
      <c r="B1040" s="391"/>
      <c r="C1040" s="292" t="s">
        <v>13572</v>
      </c>
      <c r="D1040" s="302">
        <v>100000</v>
      </c>
      <c r="E1040" s="304"/>
      <c r="F1040" s="48">
        <f t="shared" si="29"/>
        <v>29076929</v>
      </c>
      <c r="G1040" s="397" t="s">
        <v>9567</v>
      </c>
    </row>
    <row r="1041" spans="1:7" ht="30" x14ac:dyDescent="0.25">
      <c r="A1041" s="440">
        <v>45412</v>
      </c>
      <c r="B1041" s="391"/>
      <c r="C1041" s="303" t="s">
        <v>14201</v>
      </c>
      <c r="D1041" s="302"/>
      <c r="E1041" s="304">
        <v>150000</v>
      </c>
      <c r="F1041" s="48">
        <f t="shared" si="29"/>
        <v>29226929</v>
      </c>
      <c r="G1041" s="397" t="s">
        <v>9567</v>
      </c>
    </row>
    <row r="1042" spans="1:7" ht="30" x14ac:dyDescent="0.25">
      <c r="A1042" s="440">
        <v>45412</v>
      </c>
      <c r="B1042" s="391"/>
      <c r="C1042" s="303" t="s">
        <v>14201</v>
      </c>
      <c r="D1042" s="302"/>
      <c r="E1042" s="304">
        <v>150000</v>
      </c>
      <c r="F1042" s="48">
        <f t="shared" si="29"/>
        <v>29376929</v>
      </c>
      <c r="G1042" s="397" t="s">
        <v>9567</v>
      </c>
    </row>
    <row r="1043" spans="1:7" ht="19.5" customHeight="1" x14ac:dyDescent="0.25">
      <c r="A1043" s="440">
        <v>45414</v>
      </c>
      <c r="B1043" s="391"/>
      <c r="C1043" s="292" t="s">
        <v>13573</v>
      </c>
      <c r="D1043" s="302">
        <v>70000</v>
      </c>
      <c r="E1043" s="304"/>
      <c r="F1043" s="48">
        <f t="shared" si="29"/>
        <v>29306929</v>
      </c>
      <c r="G1043" s="397" t="s">
        <v>9567</v>
      </c>
    </row>
    <row r="1044" spans="1:7" ht="30" x14ac:dyDescent="0.25">
      <c r="A1044" s="440">
        <v>45414</v>
      </c>
      <c r="B1044" s="454"/>
      <c r="C1044" s="307" t="s">
        <v>13575</v>
      </c>
      <c r="D1044" s="304">
        <v>250000</v>
      </c>
      <c r="E1044" s="304"/>
      <c r="F1044" s="48">
        <f t="shared" si="29"/>
        <v>29056929</v>
      </c>
      <c r="G1044" s="397" t="s">
        <v>9567</v>
      </c>
    </row>
    <row r="1045" spans="1:7" x14ac:dyDescent="0.25">
      <c r="A1045" s="440">
        <v>45414</v>
      </c>
      <c r="B1045" s="391"/>
      <c r="C1045" s="292" t="s">
        <v>13576</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13587</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13612</v>
      </c>
      <c r="D1052" s="308">
        <v>20950</v>
      </c>
      <c r="E1052" s="308"/>
      <c r="F1052" s="48">
        <f t="shared" si="29"/>
        <v>29175859</v>
      </c>
      <c r="G1052" s="397" t="s">
        <v>9567</v>
      </c>
    </row>
    <row r="1053" spans="1:7" x14ac:dyDescent="0.25">
      <c r="A1053" s="440">
        <v>45420</v>
      </c>
      <c r="B1053" s="454"/>
      <c r="C1053" s="306" t="s">
        <v>13613</v>
      </c>
      <c r="D1053" s="437">
        <v>105000</v>
      </c>
      <c r="E1053" s="437"/>
      <c r="F1053" s="48">
        <f t="shared" si="29"/>
        <v>29070859</v>
      </c>
      <c r="G1053" s="397" t="s">
        <v>9567</v>
      </c>
    </row>
    <row r="1054" spans="1:7" x14ac:dyDescent="0.25">
      <c r="A1054" s="440">
        <v>45420</v>
      </c>
      <c r="B1054" s="454"/>
      <c r="C1054" s="306" t="s">
        <v>13614</v>
      </c>
      <c r="D1054" s="304">
        <v>85000</v>
      </c>
      <c r="E1054" s="304"/>
      <c r="F1054" s="48">
        <f t="shared" si="29"/>
        <v>28985859</v>
      </c>
      <c r="G1054" s="397" t="s">
        <v>9567</v>
      </c>
    </row>
    <row r="1055" spans="1:7" x14ac:dyDescent="0.25">
      <c r="A1055" s="440">
        <v>45420</v>
      </c>
      <c r="B1055" s="454"/>
      <c r="C1055" s="306" t="s">
        <v>13627</v>
      </c>
      <c r="D1055" s="304">
        <v>354000</v>
      </c>
      <c r="E1055" s="304"/>
      <c r="F1055" s="48">
        <f t="shared" si="29"/>
        <v>28631859</v>
      </c>
      <c r="G1055" s="397" t="s">
        <v>9567</v>
      </c>
    </row>
    <row r="1056" spans="1:7" x14ac:dyDescent="0.25">
      <c r="A1056" s="440">
        <v>45422</v>
      </c>
      <c r="B1056" s="454"/>
      <c r="C1056" s="306" t="s">
        <v>13635</v>
      </c>
      <c r="D1056" s="308">
        <v>15000</v>
      </c>
      <c r="E1056" s="308"/>
      <c r="F1056" s="48">
        <f t="shared" si="29"/>
        <v>28616859</v>
      </c>
      <c r="G1056" s="397" t="s">
        <v>9567</v>
      </c>
    </row>
    <row r="1057" spans="1:7" x14ac:dyDescent="0.25">
      <c r="A1057" s="440">
        <v>45422</v>
      </c>
      <c r="B1057" s="454"/>
      <c r="C1057" s="306" t="s">
        <v>13633</v>
      </c>
      <c r="D1057" s="308">
        <v>60000</v>
      </c>
      <c r="E1057" s="308"/>
      <c r="F1057" s="48">
        <f t="shared" si="29"/>
        <v>28556859</v>
      </c>
      <c r="G1057" s="397" t="s">
        <v>9567</v>
      </c>
    </row>
    <row r="1058" spans="1:7" x14ac:dyDescent="0.25">
      <c r="A1058" s="440">
        <v>45422</v>
      </c>
      <c r="B1058" s="454"/>
      <c r="C1058" s="306" t="s">
        <v>13634</v>
      </c>
      <c r="D1058" s="304">
        <v>13000</v>
      </c>
      <c r="E1058" s="304"/>
      <c r="F1058" s="48">
        <f t="shared" ref="F1058:F1121" si="30">F1057+E1058-D1058</f>
        <v>28543859</v>
      </c>
      <c r="G1058" s="397" t="s">
        <v>9567</v>
      </c>
    </row>
    <row r="1059" spans="1:7" x14ac:dyDescent="0.25">
      <c r="A1059" s="440">
        <v>45423</v>
      </c>
      <c r="B1059" s="454"/>
      <c r="C1059" s="306" t="s">
        <v>13636</v>
      </c>
      <c r="D1059" s="304">
        <v>200000</v>
      </c>
      <c r="E1059" s="304"/>
      <c r="F1059" s="48">
        <f t="shared" si="30"/>
        <v>28343859</v>
      </c>
      <c r="G1059" s="397" t="s">
        <v>9567</v>
      </c>
    </row>
    <row r="1060" spans="1:7" x14ac:dyDescent="0.25">
      <c r="A1060" s="440">
        <v>45423</v>
      </c>
      <c r="B1060" s="454"/>
      <c r="C1060" s="306" t="s">
        <v>13636</v>
      </c>
      <c r="D1060" s="304">
        <v>500000</v>
      </c>
      <c r="E1060" s="304"/>
      <c r="F1060" s="48">
        <f t="shared" si="30"/>
        <v>27843859</v>
      </c>
      <c r="G1060" s="397" t="s">
        <v>9567</v>
      </c>
    </row>
    <row r="1061" spans="1:7" x14ac:dyDescent="0.25">
      <c r="A1061" s="440">
        <v>45423</v>
      </c>
      <c r="B1061" s="454"/>
      <c r="C1061" s="306" t="s">
        <v>13640</v>
      </c>
      <c r="D1061" s="304">
        <v>1500000</v>
      </c>
      <c r="E1061" s="304"/>
      <c r="F1061" s="48">
        <f t="shared" si="30"/>
        <v>26343859</v>
      </c>
      <c r="G1061" s="397" t="s">
        <v>9567</v>
      </c>
    </row>
    <row r="1062" spans="1:7" x14ac:dyDescent="0.25">
      <c r="A1062" s="440">
        <v>45424</v>
      </c>
      <c r="B1062" s="454"/>
      <c r="C1062" s="306" t="s">
        <v>13651</v>
      </c>
      <c r="D1062" s="304">
        <v>220000</v>
      </c>
      <c r="E1062" s="304"/>
      <c r="F1062" s="48">
        <f t="shared" si="30"/>
        <v>26123859</v>
      </c>
      <c r="G1062" s="397" t="s">
        <v>9567</v>
      </c>
    </row>
    <row r="1063" spans="1:7" x14ac:dyDescent="0.25">
      <c r="A1063" s="440">
        <v>45425</v>
      </c>
      <c r="B1063" s="454"/>
      <c r="C1063" s="306" t="s">
        <v>13656</v>
      </c>
      <c r="D1063" s="304">
        <v>70000</v>
      </c>
      <c r="E1063" s="304"/>
      <c r="F1063" s="48">
        <f t="shared" si="30"/>
        <v>26053859</v>
      </c>
      <c r="G1063" s="397" t="s">
        <v>9567</v>
      </c>
    </row>
    <row r="1064" spans="1:7" x14ac:dyDescent="0.25">
      <c r="A1064" s="440">
        <v>45425</v>
      </c>
      <c r="B1064" s="454"/>
      <c r="C1064" s="306" t="s">
        <v>13657</v>
      </c>
      <c r="D1064" s="304">
        <v>25000</v>
      </c>
      <c r="E1064" s="304"/>
      <c r="F1064" s="48">
        <f t="shared" si="30"/>
        <v>26028859</v>
      </c>
      <c r="G1064" s="397" t="s">
        <v>9567</v>
      </c>
    </row>
    <row r="1065" spans="1:7" x14ac:dyDescent="0.25">
      <c r="A1065" s="440">
        <v>45429</v>
      </c>
      <c r="B1065" s="454"/>
      <c r="C1065" s="306" t="s">
        <v>13676</v>
      </c>
      <c r="D1065" s="304">
        <v>30000</v>
      </c>
      <c r="E1065" s="304"/>
      <c r="F1065" s="48">
        <f t="shared" si="30"/>
        <v>25998859</v>
      </c>
      <c r="G1065" s="397" t="s">
        <v>9567</v>
      </c>
    </row>
    <row r="1066" spans="1:7" x14ac:dyDescent="0.25">
      <c r="A1066" s="440">
        <v>45429</v>
      </c>
      <c r="B1066" s="454"/>
      <c r="C1066" s="306" t="s">
        <v>13677</v>
      </c>
      <c r="D1066" s="304">
        <v>100000</v>
      </c>
      <c r="E1066" s="304"/>
      <c r="F1066" s="48">
        <f t="shared" si="30"/>
        <v>25898859</v>
      </c>
      <c r="G1066" s="397" t="s">
        <v>9567</v>
      </c>
    </row>
    <row r="1067" spans="1:7" x14ac:dyDescent="0.25">
      <c r="A1067" s="440">
        <v>45429</v>
      </c>
      <c r="B1067" s="454"/>
      <c r="C1067" s="306" t="s">
        <v>12974</v>
      </c>
      <c r="D1067" s="304">
        <v>12000</v>
      </c>
      <c r="E1067" s="304"/>
      <c r="F1067" s="48">
        <f t="shared" si="30"/>
        <v>25886859</v>
      </c>
      <c r="G1067" s="397" t="s">
        <v>9567</v>
      </c>
    </row>
    <row r="1068" spans="1:7" x14ac:dyDescent="0.25">
      <c r="A1068" s="440">
        <v>45430</v>
      </c>
      <c r="B1068" s="454"/>
      <c r="C1068" s="306" t="s">
        <v>13636</v>
      </c>
      <c r="D1068" s="304">
        <v>150000</v>
      </c>
      <c r="E1068" s="304"/>
      <c r="F1068" s="48">
        <f t="shared" si="30"/>
        <v>25736859</v>
      </c>
      <c r="G1068" s="397" t="s">
        <v>9567</v>
      </c>
    </row>
    <row r="1069" spans="1:7" x14ac:dyDescent="0.25">
      <c r="A1069" s="440">
        <v>45430</v>
      </c>
      <c r="B1069" s="454"/>
      <c r="C1069" s="306" t="s">
        <v>13682</v>
      </c>
      <c r="D1069" s="304">
        <v>350000</v>
      </c>
      <c r="E1069" s="304"/>
      <c r="F1069" s="48">
        <f t="shared" si="30"/>
        <v>25386859</v>
      </c>
      <c r="G1069" s="397" t="s">
        <v>9567</v>
      </c>
    </row>
    <row r="1070" spans="1:7" ht="30" x14ac:dyDescent="0.25">
      <c r="A1070" s="440">
        <v>45430</v>
      </c>
      <c r="B1070" s="391"/>
      <c r="C1070" s="303" t="s">
        <v>13683</v>
      </c>
      <c r="D1070" s="304"/>
      <c r="E1070" s="304">
        <v>400000</v>
      </c>
      <c r="F1070" s="48">
        <f t="shared" si="30"/>
        <v>25786859</v>
      </c>
      <c r="G1070" s="397" t="s">
        <v>9567</v>
      </c>
    </row>
    <row r="1071" spans="1:7" ht="30" x14ac:dyDescent="0.25">
      <c r="A1071" s="440">
        <v>45430</v>
      </c>
      <c r="B1071" s="391"/>
      <c r="C1071" s="303" t="s">
        <v>13684</v>
      </c>
      <c r="D1071" s="304"/>
      <c r="E1071" s="458">
        <v>154000</v>
      </c>
      <c r="F1071" s="48">
        <f t="shared" si="30"/>
        <v>25940859</v>
      </c>
      <c r="G1071" s="397" t="s">
        <v>9567</v>
      </c>
    </row>
    <row r="1072" spans="1:7" ht="30" x14ac:dyDescent="0.25">
      <c r="A1072" s="440">
        <v>45430</v>
      </c>
      <c r="B1072" s="391"/>
      <c r="C1072" s="303" t="s">
        <v>13684</v>
      </c>
      <c r="D1072" s="304"/>
      <c r="E1072" s="458">
        <v>200000</v>
      </c>
      <c r="F1072" s="48">
        <f t="shared" si="30"/>
        <v>26140859</v>
      </c>
      <c r="G1072" s="397" t="s">
        <v>9567</v>
      </c>
    </row>
    <row r="1073" spans="1:7" ht="30" x14ac:dyDescent="0.25">
      <c r="A1073" s="440">
        <v>45430</v>
      </c>
      <c r="B1073" s="391"/>
      <c r="C1073" s="303" t="s">
        <v>13684</v>
      </c>
      <c r="D1073" s="304"/>
      <c r="E1073" s="458">
        <v>22000</v>
      </c>
      <c r="F1073" s="48">
        <f t="shared" si="30"/>
        <v>26162859</v>
      </c>
      <c r="G1073" s="397" t="s">
        <v>9567</v>
      </c>
    </row>
    <row r="1074" spans="1:7" x14ac:dyDescent="0.25">
      <c r="A1074" s="440">
        <v>45432</v>
      </c>
      <c r="B1074" s="391"/>
      <c r="C1074" s="306" t="s">
        <v>13636</v>
      </c>
      <c r="D1074" s="304">
        <v>250000</v>
      </c>
      <c r="E1074" s="304"/>
      <c r="F1074" s="48">
        <f t="shared" si="30"/>
        <v>25912859</v>
      </c>
      <c r="G1074" s="397" t="s">
        <v>9567</v>
      </c>
    </row>
    <row r="1075" spans="1:7" x14ac:dyDescent="0.25">
      <c r="A1075" s="440">
        <v>45432</v>
      </c>
      <c r="B1075" s="391"/>
      <c r="C1075" s="292" t="s">
        <v>13691</v>
      </c>
      <c r="D1075" s="304">
        <v>750000</v>
      </c>
      <c r="E1075" s="304"/>
      <c r="F1075" s="48">
        <f t="shared" si="30"/>
        <v>25162859</v>
      </c>
      <c r="G1075" s="397" t="s">
        <v>9567</v>
      </c>
    </row>
    <row r="1076" spans="1:7" x14ac:dyDescent="0.25">
      <c r="A1076" s="440">
        <v>45434</v>
      </c>
      <c r="B1076" s="391"/>
      <c r="C1076" s="292" t="s">
        <v>13707</v>
      </c>
      <c r="D1076" s="304">
        <v>995000</v>
      </c>
      <c r="E1076" s="304"/>
      <c r="F1076" s="48">
        <f t="shared" si="30"/>
        <v>24167859</v>
      </c>
      <c r="G1076" s="397" t="s">
        <v>9567</v>
      </c>
    </row>
    <row r="1077" spans="1:7" x14ac:dyDescent="0.25">
      <c r="A1077" s="440">
        <v>45434</v>
      </c>
      <c r="B1077" s="391"/>
      <c r="C1077" s="306" t="s">
        <v>13636</v>
      </c>
      <c r="D1077" s="304">
        <v>100000</v>
      </c>
      <c r="E1077" s="304"/>
      <c r="F1077" s="48">
        <f t="shared" si="30"/>
        <v>24067859</v>
      </c>
      <c r="G1077" s="397" t="s">
        <v>9567</v>
      </c>
    </row>
    <row r="1078" spans="1:7" x14ac:dyDescent="0.25">
      <c r="A1078" s="440">
        <v>45434</v>
      </c>
      <c r="B1078" s="391"/>
      <c r="C1078" s="292" t="s">
        <v>13710</v>
      </c>
      <c r="D1078" s="304">
        <v>200000</v>
      </c>
      <c r="E1078" s="304"/>
      <c r="F1078" s="48">
        <f t="shared" si="30"/>
        <v>23867859</v>
      </c>
      <c r="G1078" s="397" t="s">
        <v>9567</v>
      </c>
    </row>
    <row r="1079" spans="1:7" x14ac:dyDescent="0.25">
      <c r="A1079" s="440">
        <v>45435</v>
      </c>
      <c r="B1079" s="391"/>
      <c r="C1079" s="292" t="s">
        <v>13719</v>
      </c>
      <c r="D1079" s="304">
        <v>96000</v>
      </c>
      <c r="E1079" s="304"/>
      <c r="F1079" s="48">
        <f t="shared" si="30"/>
        <v>23771859</v>
      </c>
      <c r="G1079" s="397" t="s">
        <v>9567</v>
      </c>
    </row>
    <row r="1080" spans="1:7" ht="45" x14ac:dyDescent="0.25">
      <c r="A1080" s="440">
        <v>45441</v>
      </c>
      <c r="B1080" s="391"/>
      <c r="C1080" s="303" t="s">
        <v>13737</v>
      </c>
      <c r="D1080" s="304">
        <v>2000000</v>
      </c>
      <c r="E1080" s="304"/>
      <c r="F1080" s="48">
        <f t="shared" si="30"/>
        <v>21771859</v>
      </c>
      <c r="G1080" s="397" t="s">
        <v>9567</v>
      </c>
    </row>
    <row r="1081" spans="1:7" ht="30" x14ac:dyDescent="0.25">
      <c r="A1081" s="440">
        <v>45441</v>
      </c>
      <c r="B1081" s="391"/>
      <c r="C1081" s="303" t="s">
        <v>13740</v>
      </c>
      <c r="D1081" s="304"/>
      <c r="E1081" s="458">
        <v>1400000</v>
      </c>
      <c r="F1081" s="48">
        <f t="shared" si="30"/>
        <v>23171859</v>
      </c>
      <c r="G1081" s="397" t="s">
        <v>9567</v>
      </c>
    </row>
    <row r="1082" spans="1:7" x14ac:dyDescent="0.25">
      <c r="A1082" s="440">
        <v>45442</v>
      </c>
      <c r="B1082" s="391"/>
      <c r="C1082" s="292" t="s">
        <v>13741</v>
      </c>
      <c r="D1082" s="304">
        <v>47620</v>
      </c>
      <c r="E1082" s="304"/>
      <c r="F1082" s="48">
        <f t="shared" si="30"/>
        <v>23124239</v>
      </c>
      <c r="G1082" s="397" t="s">
        <v>9567</v>
      </c>
    </row>
    <row r="1083" spans="1:7" x14ac:dyDescent="0.25">
      <c r="A1083" s="440">
        <v>45443</v>
      </c>
      <c r="B1083" s="391"/>
      <c r="C1083" s="292" t="s">
        <v>13760</v>
      </c>
      <c r="D1083" s="304">
        <v>25000</v>
      </c>
      <c r="E1083" s="304"/>
      <c r="F1083" s="48">
        <f t="shared" si="30"/>
        <v>23099239</v>
      </c>
      <c r="G1083" s="397" t="s">
        <v>9567</v>
      </c>
    </row>
    <row r="1084" spans="1:7" x14ac:dyDescent="0.25">
      <c r="A1084" s="440">
        <v>45443</v>
      </c>
      <c r="B1084" s="391"/>
      <c r="C1084" s="292" t="s">
        <v>13761</v>
      </c>
      <c r="D1084" s="304">
        <v>10000</v>
      </c>
      <c r="E1084" s="304"/>
      <c r="F1084" s="48">
        <f t="shared" si="30"/>
        <v>23089239</v>
      </c>
      <c r="G1084" s="397" t="s">
        <v>9567</v>
      </c>
    </row>
    <row r="1085" spans="1:7" x14ac:dyDescent="0.25">
      <c r="A1085" s="440">
        <v>45444</v>
      </c>
      <c r="B1085" s="391"/>
      <c r="C1085" s="292" t="s">
        <v>13763</v>
      </c>
      <c r="D1085" s="304">
        <v>500000</v>
      </c>
      <c r="E1085" s="304"/>
      <c r="F1085" s="48">
        <f t="shared" si="30"/>
        <v>22589239</v>
      </c>
      <c r="G1085" s="397" t="s">
        <v>9567</v>
      </c>
    </row>
    <row r="1086" spans="1:7" x14ac:dyDescent="0.25">
      <c r="A1086" s="440">
        <v>45444</v>
      </c>
      <c r="B1086" s="391"/>
      <c r="C1086" s="292" t="s">
        <v>13772</v>
      </c>
      <c r="D1086" s="304">
        <v>1000000</v>
      </c>
      <c r="E1086" s="304"/>
      <c r="F1086" s="48">
        <f t="shared" si="30"/>
        <v>21589239</v>
      </c>
      <c r="G1086" s="397" t="s">
        <v>9567</v>
      </c>
    </row>
    <row r="1087" spans="1:7" x14ac:dyDescent="0.25">
      <c r="A1087" s="440">
        <v>45444</v>
      </c>
      <c r="B1087" s="391"/>
      <c r="C1087" s="292" t="s">
        <v>13837</v>
      </c>
      <c r="D1087" s="304">
        <v>200000</v>
      </c>
      <c r="E1087" s="304"/>
      <c r="F1087" s="48">
        <f t="shared" si="30"/>
        <v>21389239</v>
      </c>
      <c r="G1087" s="397" t="s">
        <v>9567</v>
      </c>
    </row>
    <row r="1088" spans="1:7" x14ac:dyDescent="0.25">
      <c r="A1088" s="440">
        <v>45446</v>
      </c>
      <c r="B1088" s="391"/>
      <c r="C1088" s="292" t="s">
        <v>13782</v>
      </c>
      <c r="D1088" s="304">
        <v>35000</v>
      </c>
      <c r="E1088" s="304"/>
      <c r="F1088" s="48">
        <f t="shared" si="30"/>
        <v>21354239</v>
      </c>
      <c r="G1088" s="397" t="s">
        <v>9567</v>
      </c>
    </row>
    <row r="1089" spans="1:7" x14ac:dyDescent="0.25">
      <c r="A1089" s="440">
        <v>45446</v>
      </c>
      <c r="B1089" s="391"/>
      <c r="C1089" s="306" t="s">
        <v>13794</v>
      </c>
      <c r="D1089" s="437">
        <v>105000</v>
      </c>
      <c r="E1089" s="304"/>
      <c r="F1089" s="48">
        <f t="shared" si="30"/>
        <v>21249239</v>
      </c>
      <c r="G1089" s="397" t="s">
        <v>9567</v>
      </c>
    </row>
    <row r="1090" spans="1:7" x14ac:dyDescent="0.25">
      <c r="A1090" s="440">
        <v>45449</v>
      </c>
      <c r="B1090" s="391"/>
      <c r="C1090" s="640" t="s">
        <v>13798</v>
      </c>
      <c r="D1090" s="641">
        <v>400000</v>
      </c>
      <c r="E1090" s="304"/>
      <c r="F1090" s="48">
        <f t="shared" si="30"/>
        <v>20849239</v>
      </c>
      <c r="G1090" s="397" t="s">
        <v>9567</v>
      </c>
    </row>
    <row r="1091" spans="1:7" x14ac:dyDescent="0.25">
      <c r="A1091" s="440">
        <v>45449</v>
      </c>
      <c r="B1091" s="391"/>
      <c r="C1091" s="640" t="s">
        <v>13799</v>
      </c>
      <c r="D1091" s="641">
        <v>400000</v>
      </c>
      <c r="E1091" s="304"/>
      <c r="F1091" s="48">
        <f t="shared" si="30"/>
        <v>20449239</v>
      </c>
      <c r="G1091" s="397" t="s">
        <v>9567</v>
      </c>
    </row>
    <row r="1092" spans="1:7" x14ac:dyDescent="0.25">
      <c r="A1092" s="440">
        <v>45450</v>
      </c>
      <c r="B1092" s="391"/>
      <c r="C1092" s="292" t="s">
        <v>13840</v>
      </c>
      <c r="D1092" s="304">
        <v>250000</v>
      </c>
      <c r="E1092" s="304"/>
      <c r="F1092" s="48">
        <f t="shared" si="30"/>
        <v>20199239</v>
      </c>
      <c r="G1092" s="397" t="s">
        <v>9567</v>
      </c>
    </row>
    <row r="1093" spans="1:7" x14ac:dyDescent="0.25">
      <c r="A1093" s="440">
        <v>45453</v>
      </c>
      <c r="B1093" s="391"/>
      <c r="C1093" s="292" t="s">
        <v>13828</v>
      </c>
      <c r="D1093" s="304">
        <v>100000</v>
      </c>
      <c r="E1093" s="304"/>
      <c r="F1093" s="48">
        <f t="shared" si="30"/>
        <v>20099239</v>
      </c>
      <c r="G1093" s="397" t="s">
        <v>9567</v>
      </c>
    </row>
    <row r="1094" spans="1:7" x14ac:dyDescent="0.25">
      <c r="A1094" s="440">
        <v>45453</v>
      </c>
      <c r="B1094" s="391"/>
      <c r="C1094" s="292" t="s">
        <v>13806</v>
      </c>
      <c r="D1094" s="304">
        <v>41812</v>
      </c>
      <c r="E1094" s="304"/>
      <c r="F1094" s="48">
        <f t="shared" si="30"/>
        <v>20057427</v>
      </c>
      <c r="G1094" s="397" t="s">
        <v>9567</v>
      </c>
    </row>
    <row r="1095" spans="1:7" x14ac:dyDescent="0.25">
      <c r="A1095" s="440">
        <v>45453</v>
      </c>
      <c r="B1095" s="391"/>
      <c r="C1095" s="292" t="s">
        <v>13815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13827</v>
      </c>
      <c r="D1097" s="304">
        <v>2000000</v>
      </c>
      <c r="E1097" s="304"/>
      <c r="F1097" s="48">
        <f t="shared" si="30"/>
        <v>18024427</v>
      </c>
      <c r="G1097" s="397" t="s">
        <v>9567</v>
      </c>
    </row>
    <row r="1098" spans="1:7" x14ac:dyDescent="0.25">
      <c r="A1098" s="440">
        <v>45454</v>
      </c>
      <c r="B1098" s="391"/>
      <c r="C1098" s="292" t="s">
        <v>13828</v>
      </c>
      <c r="D1098" s="304">
        <v>650000</v>
      </c>
      <c r="E1098" s="304"/>
      <c r="F1098" s="48">
        <f t="shared" si="30"/>
        <v>17374427</v>
      </c>
      <c r="G1098" s="397" t="s">
        <v>9567</v>
      </c>
    </row>
    <row r="1099" spans="1:7" x14ac:dyDescent="0.25">
      <c r="A1099" s="440">
        <v>45454</v>
      </c>
      <c r="B1099" s="391"/>
      <c r="C1099" s="292" t="s">
        <v>13829</v>
      </c>
      <c r="D1099" s="304">
        <v>100000</v>
      </c>
      <c r="E1099" s="304"/>
      <c r="F1099" s="48">
        <f t="shared" si="30"/>
        <v>17274427</v>
      </c>
      <c r="G1099" s="397" t="s">
        <v>9567</v>
      </c>
    </row>
    <row r="1100" spans="1:7" x14ac:dyDescent="0.25">
      <c r="A1100" s="440">
        <v>45455</v>
      </c>
      <c r="B1100" s="391"/>
      <c r="C1100" s="292" t="s">
        <v>13836</v>
      </c>
      <c r="D1100" s="304">
        <v>300000</v>
      </c>
      <c r="E1100" s="304"/>
      <c r="F1100" s="48">
        <f t="shared" si="30"/>
        <v>16974427</v>
      </c>
      <c r="G1100" s="397" t="s">
        <v>9567</v>
      </c>
    </row>
    <row r="1101" spans="1:7" x14ac:dyDescent="0.25">
      <c r="A1101" s="440">
        <v>45457</v>
      </c>
      <c r="B1101" s="391"/>
      <c r="C1101" s="292" t="s">
        <v>13848</v>
      </c>
      <c r="D1101" s="304">
        <v>50000</v>
      </c>
      <c r="E1101" s="304"/>
      <c r="F1101" s="48">
        <f t="shared" si="30"/>
        <v>16924427</v>
      </c>
      <c r="G1101" s="397" t="s">
        <v>9567</v>
      </c>
    </row>
    <row r="1102" spans="1:7" ht="30" x14ac:dyDescent="0.25">
      <c r="A1102" s="440">
        <v>45464</v>
      </c>
      <c r="B1102" s="391"/>
      <c r="C1102" s="303" t="s">
        <v>13869</v>
      </c>
      <c r="D1102" s="304"/>
      <c r="E1102" s="304">
        <v>82580</v>
      </c>
      <c r="F1102" s="48">
        <f t="shared" si="30"/>
        <v>17007007</v>
      </c>
      <c r="G1102" s="397" t="s">
        <v>9567</v>
      </c>
    </row>
    <row r="1103" spans="1:7" x14ac:dyDescent="0.25">
      <c r="A1103" s="440">
        <v>45470</v>
      </c>
      <c r="B1103" s="391"/>
      <c r="C1103" s="640" t="s">
        <v>13900</v>
      </c>
      <c r="D1103" s="641">
        <v>400000</v>
      </c>
      <c r="E1103" s="304"/>
      <c r="F1103" s="48">
        <f t="shared" si="30"/>
        <v>16607007</v>
      </c>
      <c r="G1103" s="397" t="s">
        <v>9567</v>
      </c>
    </row>
    <row r="1104" spans="1:7" x14ac:dyDescent="0.25">
      <c r="A1104" s="440">
        <v>45470</v>
      </c>
      <c r="B1104" s="391"/>
      <c r="C1104" s="292" t="s">
        <v>13828</v>
      </c>
      <c r="D1104" s="304">
        <v>500000</v>
      </c>
      <c r="E1104" s="304"/>
      <c r="F1104" s="48">
        <f t="shared" si="30"/>
        <v>16107007</v>
      </c>
      <c r="G1104" s="397" t="s">
        <v>9567</v>
      </c>
    </row>
    <row r="1105" spans="1:7" x14ac:dyDescent="0.25">
      <c r="A1105" s="440">
        <v>45470</v>
      </c>
      <c r="B1105" s="391"/>
      <c r="C1105" s="292" t="s">
        <v>13904</v>
      </c>
      <c r="D1105" s="304">
        <v>245000</v>
      </c>
      <c r="E1105" s="304"/>
      <c r="F1105" s="48">
        <f t="shared" si="30"/>
        <v>15862007</v>
      </c>
      <c r="G1105" s="397" t="s">
        <v>9567</v>
      </c>
    </row>
    <row r="1106" spans="1:7" x14ac:dyDescent="0.25">
      <c r="A1106" s="440">
        <v>45474</v>
      </c>
      <c r="B1106" s="391"/>
      <c r="C1106" s="292" t="s">
        <v>13928</v>
      </c>
      <c r="D1106" s="304">
        <v>500000</v>
      </c>
      <c r="E1106" s="304"/>
      <c r="F1106" s="48">
        <f t="shared" si="30"/>
        <v>15362007</v>
      </c>
      <c r="G1106" s="397" t="s">
        <v>9567</v>
      </c>
    </row>
    <row r="1107" spans="1:7" x14ac:dyDescent="0.25">
      <c r="A1107" s="440">
        <v>45474</v>
      </c>
      <c r="B1107" s="391"/>
      <c r="C1107" s="292" t="s">
        <v>13564</v>
      </c>
      <c r="D1107" s="304"/>
      <c r="E1107" s="304">
        <v>1300000</v>
      </c>
      <c r="F1107" s="48">
        <f t="shared" si="30"/>
        <v>16662007</v>
      </c>
      <c r="G1107" s="397" t="s">
        <v>9567</v>
      </c>
    </row>
    <row r="1108" spans="1:7" x14ac:dyDescent="0.25">
      <c r="A1108" s="440">
        <v>45474</v>
      </c>
      <c r="B1108" s="391"/>
      <c r="C1108" s="292" t="s">
        <v>13928</v>
      </c>
      <c r="D1108" s="304">
        <v>500000</v>
      </c>
      <c r="E1108" s="304"/>
      <c r="F1108" s="48">
        <f t="shared" si="30"/>
        <v>16162007</v>
      </c>
      <c r="G1108" s="397" t="s">
        <v>9567</v>
      </c>
    </row>
    <row r="1109" spans="1:7" x14ac:dyDescent="0.25">
      <c r="A1109" s="440">
        <v>45476</v>
      </c>
      <c r="B1109" s="391"/>
      <c r="C1109" s="306" t="s">
        <v>13953</v>
      </c>
      <c r="D1109" s="437">
        <v>105000</v>
      </c>
      <c r="E1109" s="304"/>
      <c r="F1109" s="48">
        <f t="shared" si="30"/>
        <v>16057007</v>
      </c>
      <c r="G1109" s="397" t="s">
        <v>9567</v>
      </c>
    </row>
    <row r="1110" spans="1:7" x14ac:dyDescent="0.25">
      <c r="A1110" s="440">
        <v>45477</v>
      </c>
      <c r="B1110" s="391"/>
      <c r="C1110" s="292" t="s">
        <v>13954</v>
      </c>
      <c r="D1110" s="304">
        <v>500000</v>
      </c>
      <c r="E1110" s="304"/>
      <c r="F1110" s="48">
        <f t="shared" si="30"/>
        <v>15557007</v>
      </c>
      <c r="G1110" s="397" t="s">
        <v>9567</v>
      </c>
    </row>
    <row r="1111" spans="1:7" x14ac:dyDescent="0.25">
      <c r="A1111" s="440">
        <v>45477</v>
      </c>
      <c r="B1111" s="391"/>
      <c r="C1111" s="292" t="s">
        <v>13928</v>
      </c>
      <c r="D1111" s="304">
        <v>500000</v>
      </c>
      <c r="E1111" s="304"/>
      <c r="F1111" s="48">
        <f t="shared" si="30"/>
        <v>15057007</v>
      </c>
      <c r="G1111" s="397" t="s">
        <v>9567</v>
      </c>
    </row>
    <row r="1112" spans="1:7" x14ac:dyDescent="0.25">
      <c r="A1112" s="440">
        <v>45478</v>
      </c>
      <c r="B1112" s="391"/>
      <c r="C1112" s="292" t="s">
        <v>13973</v>
      </c>
      <c r="D1112" s="304"/>
      <c r="E1112" s="304">
        <v>200000</v>
      </c>
      <c r="F1112" s="48">
        <f t="shared" si="30"/>
        <v>15257007</v>
      </c>
      <c r="G1112" s="397" t="s">
        <v>9567</v>
      </c>
    </row>
    <row r="1113" spans="1:7" x14ac:dyDescent="0.25">
      <c r="A1113" s="440">
        <v>45484</v>
      </c>
      <c r="B1113" s="391"/>
      <c r="C1113" s="292" t="s">
        <v>13997</v>
      </c>
      <c r="D1113" s="304">
        <v>115000</v>
      </c>
      <c r="E1113" s="304"/>
      <c r="F1113" s="48">
        <f t="shared" si="30"/>
        <v>15142007</v>
      </c>
      <c r="G1113" s="397" t="s">
        <v>9567</v>
      </c>
    </row>
    <row r="1114" spans="1:7" x14ac:dyDescent="0.25">
      <c r="A1114" s="440">
        <v>45485</v>
      </c>
      <c r="B1114" s="391"/>
      <c r="C1114" s="292" t="s">
        <v>14010</v>
      </c>
      <c r="D1114" s="304">
        <v>1000000</v>
      </c>
      <c r="E1114" s="304"/>
      <c r="F1114" s="48">
        <f t="shared" si="30"/>
        <v>14142007</v>
      </c>
      <c r="G1114" s="397" t="s">
        <v>9567</v>
      </c>
    </row>
    <row r="1115" spans="1:7" x14ac:dyDescent="0.25">
      <c r="A1115" s="440">
        <v>45491</v>
      </c>
      <c r="B1115" s="391"/>
      <c r="C1115" s="292" t="s">
        <v>11972</v>
      </c>
      <c r="D1115" s="304">
        <v>100000</v>
      </c>
      <c r="E1115" s="304"/>
      <c r="F1115" s="48">
        <f t="shared" si="30"/>
        <v>14042007</v>
      </c>
      <c r="G1115" s="397" t="s">
        <v>9567</v>
      </c>
    </row>
    <row r="1116" spans="1:7" x14ac:dyDescent="0.25">
      <c r="A1116" s="440">
        <v>45491</v>
      </c>
      <c r="B1116" s="391"/>
      <c r="C1116" s="292" t="s">
        <v>13997</v>
      </c>
      <c r="D1116" s="304">
        <v>136000</v>
      </c>
      <c r="E1116" s="304"/>
      <c r="F1116" s="48">
        <f t="shared" si="30"/>
        <v>13906007</v>
      </c>
      <c r="G1116" s="397" t="s">
        <v>9567</v>
      </c>
    </row>
    <row r="1117" spans="1:7" ht="30" x14ac:dyDescent="0.25">
      <c r="A1117" s="440">
        <v>45492</v>
      </c>
      <c r="B1117" s="391"/>
      <c r="C1117" s="303" t="s">
        <v>14023</v>
      </c>
      <c r="D1117" s="304">
        <v>80000</v>
      </c>
      <c r="E1117" s="304"/>
      <c r="F1117" s="48">
        <f t="shared" si="30"/>
        <v>13826007</v>
      </c>
      <c r="G1117" s="397" t="s">
        <v>9567</v>
      </c>
    </row>
    <row r="1118" spans="1:7" ht="30" x14ac:dyDescent="0.25">
      <c r="A1118" s="440">
        <v>45492</v>
      </c>
      <c r="B1118" s="391"/>
      <c r="C1118" s="303" t="s">
        <v>14024</v>
      </c>
      <c r="D1118" s="304">
        <v>1000000</v>
      </c>
      <c r="E1118" s="304"/>
      <c r="F1118" s="48">
        <f t="shared" si="30"/>
        <v>12826007</v>
      </c>
      <c r="G1118" s="397" t="s">
        <v>9567</v>
      </c>
    </row>
    <row r="1119" spans="1:7" x14ac:dyDescent="0.25">
      <c r="A1119" s="440">
        <v>45492</v>
      </c>
      <c r="B1119" s="391"/>
      <c r="C1119" s="640" t="s">
        <v>14026</v>
      </c>
      <c r="D1119" s="641">
        <v>400000</v>
      </c>
      <c r="E1119" s="304"/>
      <c r="F1119" s="48">
        <f t="shared" si="30"/>
        <v>12426007</v>
      </c>
      <c r="G1119" s="397" t="s">
        <v>9567</v>
      </c>
    </row>
    <row r="1120" spans="1:7" x14ac:dyDescent="0.25">
      <c r="A1120" s="440">
        <v>45492</v>
      </c>
      <c r="B1120" s="391"/>
      <c r="C1120" s="292" t="s">
        <v>14027</v>
      </c>
      <c r="D1120" s="304">
        <v>50000</v>
      </c>
      <c r="E1120" s="304"/>
      <c r="F1120" s="48">
        <f t="shared" si="30"/>
        <v>12376007</v>
      </c>
      <c r="G1120" s="397" t="s">
        <v>9567</v>
      </c>
    </row>
    <row r="1121" spans="1:7" x14ac:dyDescent="0.25">
      <c r="A1121" s="440">
        <v>45495</v>
      </c>
      <c r="B1121" s="391"/>
      <c r="C1121" s="292" t="s">
        <v>14045</v>
      </c>
      <c r="D1121" s="304">
        <v>50000</v>
      </c>
      <c r="E1121" s="304"/>
      <c r="F1121" s="48">
        <f t="shared" si="30"/>
        <v>12326007</v>
      </c>
      <c r="G1121" s="397" t="s">
        <v>9567</v>
      </c>
    </row>
    <row r="1122" spans="1:7" x14ac:dyDescent="0.25">
      <c r="A1122" s="440">
        <v>45495</v>
      </c>
      <c r="B1122" s="391"/>
      <c r="C1122" s="292" t="s">
        <v>14027</v>
      </c>
      <c r="D1122" s="304">
        <v>100000</v>
      </c>
      <c r="E1122" s="304"/>
      <c r="F1122" s="48">
        <f t="shared" ref="F1122:F1185" si="31">F1121+E1122-D1122</f>
        <v>12226007</v>
      </c>
      <c r="G1122" s="397" t="s">
        <v>9567</v>
      </c>
    </row>
    <row r="1123" spans="1:7" x14ac:dyDescent="0.25">
      <c r="A1123" s="440">
        <v>45498</v>
      </c>
      <c r="B1123" s="391"/>
      <c r="C1123" s="292" t="s">
        <v>14073</v>
      </c>
      <c r="D1123" s="304">
        <v>50000</v>
      </c>
      <c r="E1123" s="304"/>
      <c r="F1123" s="48">
        <f t="shared" si="31"/>
        <v>12176007</v>
      </c>
      <c r="G1123" s="397" t="s">
        <v>9567</v>
      </c>
    </row>
    <row r="1124" spans="1:7" x14ac:dyDescent="0.25">
      <c r="A1124" s="440">
        <v>45500</v>
      </c>
      <c r="B1124" s="391"/>
      <c r="C1124" s="292" t="s">
        <v>14085</v>
      </c>
      <c r="D1124" s="304">
        <v>420000</v>
      </c>
      <c r="E1124" s="304"/>
      <c r="F1124" s="48">
        <f t="shared" si="31"/>
        <v>11756007</v>
      </c>
      <c r="G1124" s="397" t="s">
        <v>9567</v>
      </c>
    </row>
    <row r="1125" spans="1:7" x14ac:dyDescent="0.25">
      <c r="A1125" s="440">
        <v>45503</v>
      </c>
      <c r="B1125" s="391"/>
      <c r="C1125" s="292" t="s">
        <v>14095</v>
      </c>
      <c r="D1125" s="304">
        <v>207000</v>
      </c>
      <c r="E1125" s="304"/>
      <c r="F1125" s="48">
        <f t="shared" si="31"/>
        <v>11549007</v>
      </c>
      <c r="G1125" s="397" t="s">
        <v>9567</v>
      </c>
    </row>
    <row r="1126" spans="1:7" x14ac:dyDescent="0.25">
      <c r="A1126" s="440">
        <v>45503</v>
      </c>
      <c r="B1126" s="391"/>
      <c r="C1126" s="292" t="s">
        <v>14130</v>
      </c>
      <c r="D1126" s="304">
        <v>20000</v>
      </c>
      <c r="E1126" s="304"/>
      <c r="F1126" s="48">
        <f t="shared" si="31"/>
        <v>11529007</v>
      </c>
      <c r="G1126" s="397" t="s">
        <v>9567</v>
      </c>
    </row>
    <row r="1127" spans="1:7" x14ac:dyDescent="0.25">
      <c r="A1127" s="440">
        <v>45503</v>
      </c>
      <c r="B1127" s="391"/>
      <c r="C1127" s="292" t="s">
        <v>14131</v>
      </c>
      <c r="D1127" s="304">
        <v>100000</v>
      </c>
      <c r="E1127" s="304"/>
      <c r="F1127" s="48">
        <f t="shared" si="31"/>
        <v>11429007</v>
      </c>
      <c r="G1127" s="397" t="s">
        <v>9567</v>
      </c>
    </row>
    <row r="1128" spans="1:7" x14ac:dyDescent="0.25">
      <c r="A1128" s="440">
        <v>45507</v>
      </c>
      <c r="B1128" s="391"/>
      <c r="C1128" s="306" t="s">
        <v>14140</v>
      </c>
      <c r="D1128" s="437">
        <v>105000</v>
      </c>
      <c r="E1128" s="304"/>
      <c r="F1128" s="48">
        <f t="shared" si="31"/>
        <v>11324007</v>
      </c>
      <c r="G1128" s="397" t="s">
        <v>9567</v>
      </c>
    </row>
    <row r="1129" spans="1:7" x14ac:dyDescent="0.25">
      <c r="A1129" s="440">
        <v>45510</v>
      </c>
      <c r="B1129" s="391"/>
      <c r="C1129" s="292" t="s">
        <v>14157</v>
      </c>
      <c r="D1129" s="304">
        <v>60000</v>
      </c>
      <c r="E1129" s="304"/>
      <c r="F1129" s="48">
        <f t="shared" si="31"/>
        <v>11264007</v>
      </c>
      <c r="G1129" s="397" t="s">
        <v>9567</v>
      </c>
    </row>
    <row r="1130" spans="1:7" x14ac:dyDescent="0.25">
      <c r="A1130" s="440">
        <v>45510</v>
      </c>
      <c r="B1130" s="391"/>
      <c r="C1130" s="292" t="s">
        <v>14164</v>
      </c>
      <c r="D1130" s="304">
        <f>85000*4</f>
        <v>340000</v>
      </c>
      <c r="E1130" s="304"/>
      <c r="F1130" s="48">
        <f t="shared" si="31"/>
        <v>10924007</v>
      </c>
      <c r="G1130" s="397" t="s">
        <v>9567</v>
      </c>
    </row>
    <row r="1131" spans="1:7" x14ac:dyDescent="0.25">
      <c r="A1131" s="440">
        <v>45510</v>
      </c>
      <c r="B1131" s="391"/>
      <c r="C1131" s="292" t="s">
        <v>14163</v>
      </c>
      <c r="D1131" s="304">
        <v>45000</v>
      </c>
      <c r="E1131" s="304"/>
      <c r="F1131" s="48">
        <f t="shared" si="31"/>
        <v>10879007</v>
      </c>
      <c r="G1131" s="397" t="s">
        <v>9567</v>
      </c>
    </row>
    <row r="1132" spans="1:7" x14ac:dyDescent="0.25">
      <c r="A1132" s="440">
        <v>45514</v>
      </c>
      <c r="B1132" s="391"/>
      <c r="C1132" s="292" t="s">
        <v>14206</v>
      </c>
      <c r="D1132" s="304">
        <v>100000</v>
      </c>
      <c r="E1132" s="304"/>
      <c r="F1132" s="48">
        <f t="shared" si="31"/>
        <v>10779007</v>
      </c>
      <c r="G1132" s="397" t="s">
        <v>9567</v>
      </c>
    </row>
    <row r="1133" spans="1:7" x14ac:dyDescent="0.25">
      <c r="A1133" s="440">
        <v>45519</v>
      </c>
      <c r="B1133" s="391"/>
      <c r="C1133" s="292" t="s">
        <v>14228</v>
      </c>
      <c r="D1133" s="304">
        <v>3000000</v>
      </c>
      <c r="E1133" s="304"/>
      <c r="F1133" s="48">
        <f t="shared" si="31"/>
        <v>7779007</v>
      </c>
      <c r="G1133" s="397" t="s">
        <v>9567</v>
      </c>
    </row>
    <row r="1134" spans="1:7" x14ac:dyDescent="0.25">
      <c r="A1134" s="440">
        <v>45519</v>
      </c>
      <c r="B1134" s="391"/>
      <c r="C1134" s="292" t="s">
        <v>14217</v>
      </c>
      <c r="D1134" s="304"/>
      <c r="E1134" s="304">
        <v>300000</v>
      </c>
      <c r="F1134" s="48">
        <f t="shared" si="31"/>
        <v>8079007</v>
      </c>
      <c r="G1134" s="397" t="s">
        <v>9567</v>
      </c>
    </row>
    <row r="1135" spans="1:7" x14ac:dyDescent="0.25">
      <c r="A1135" s="440">
        <v>45519</v>
      </c>
      <c r="B1135" s="391"/>
      <c r="C1135" s="292" t="s">
        <v>14218</v>
      </c>
      <c r="D1135" s="304"/>
      <c r="E1135" s="304">
        <v>120000</v>
      </c>
      <c r="F1135" s="48">
        <f t="shared" si="31"/>
        <v>8199007</v>
      </c>
      <c r="G1135" s="397" t="s">
        <v>9567</v>
      </c>
    </row>
    <row r="1136" spans="1:7" x14ac:dyDescent="0.25">
      <c r="A1136" s="440">
        <v>45519</v>
      </c>
      <c r="B1136" s="391"/>
      <c r="C1136" s="292" t="s">
        <v>14219</v>
      </c>
      <c r="D1136" s="304"/>
      <c r="E1136" s="304">
        <v>1500000</v>
      </c>
      <c r="F1136" s="48">
        <f t="shared" si="31"/>
        <v>9699007</v>
      </c>
      <c r="G1136" s="397" t="s">
        <v>9567</v>
      </c>
    </row>
    <row r="1137" spans="1:7" ht="30" x14ac:dyDescent="0.25">
      <c r="A1137" s="440">
        <v>45521</v>
      </c>
      <c r="B1137" s="391"/>
      <c r="C1137" s="307" t="s">
        <v>14226</v>
      </c>
      <c r="D1137" s="304"/>
      <c r="E1137" s="304">
        <v>3000000</v>
      </c>
      <c r="F1137" s="48">
        <f t="shared" si="31"/>
        <v>12699007</v>
      </c>
      <c r="G1137" s="397" t="s">
        <v>9567</v>
      </c>
    </row>
    <row r="1138" spans="1:7" ht="30" x14ac:dyDescent="0.25">
      <c r="A1138" s="440">
        <v>45521</v>
      </c>
      <c r="B1138" s="391"/>
      <c r="C1138" s="307" t="s">
        <v>14227</v>
      </c>
      <c r="D1138" s="304"/>
      <c r="E1138" s="304">
        <v>3689000</v>
      </c>
      <c r="F1138" s="48">
        <f t="shared" si="31"/>
        <v>16388007</v>
      </c>
      <c r="G1138" s="397" t="s">
        <v>9567</v>
      </c>
    </row>
    <row r="1139" spans="1:7" x14ac:dyDescent="0.25">
      <c r="A1139" s="440">
        <v>45522</v>
      </c>
      <c r="B1139" s="391"/>
      <c r="C1139" s="292" t="s">
        <v>14230</v>
      </c>
      <c r="D1139" s="304"/>
      <c r="E1139" s="304">
        <v>50000</v>
      </c>
      <c r="F1139" s="48">
        <f t="shared" si="31"/>
        <v>16438007</v>
      </c>
      <c r="G1139" s="397" t="s">
        <v>9567</v>
      </c>
    </row>
    <row r="1140" spans="1:7" x14ac:dyDescent="0.25">
      <c r="A1140" s="440">
        <v>45523</v>
      </c>
      <c r="B1140" s="391"/>
      <c r="C1140" s="292" t="s">
        <v>12876</v>
      </c>
      <c r="D1140" s="304">
        <v>15000</v>
      </c>
      <c r="E1140" s="304"/>
      <c r="F1140" s="48">
        <f t="shared" si="31"/>
        <v>16423007</v>
      </c>
      <c r="G1140" s="397" t="s">
        <v>9567</v>
      </c>
    </row>
    <row r="1141" spans="1:7" x14ac:dyDescent="0.25">
      <c r="A1141" s="440">
        <v>45523</v>
      </c>
      <c r="B1141" s="391"/>
      <c r="C1141" s="292" t="s">
        <v>14234</v>
      </c>
      <c r="D1141" s="304"/>
      <c r="E1141" s="304">
        <v>3500000</v>
      </c>
      <c r="F1141" s="48">
        <f t="shared" si="31"/>
        <v>19923007</v>
      </c>
      <c r="G1141" s="397" t="s">
        <v>9567</v>
      </c>
    </row>
    <row r="1142" spans="1:7" x14ac:dyDescent="0.25">
      <c r="A1142" s="440">
        <v>45523</v>
      </c>
      <c r="B1142" s="391"/>
      <c r="C1142" s="292" t="s">
        <v>14241</v>
      </c>
      <c r="D1142" s="304">
        <v>50000</v>
      </c>
      <c r="E1142" s="304"/>
      <c r="F1142" s="48">
        <f t="shared" si="31"/>
        <v>19873007</v>
      </c>
      <c r="G1142" s="397" t="s">
        <v>9567</v>
      </c>
    </row>
    <row r="1143" spans="1:7" x14ac:dyDescent="0.25">
      <c r="A1143" s="440">
        <v>45524</v>
      </c>
      <c r="B1143" s="391"/>
      <c r="C1143" s="292" t="s">
        <v>14250</v>
      </c>
      <c r="D1143" s="304">
        <v>25000</v>
      </c>
      <c r="E1143" s="304"/>
      <c r="F1143" s="48">
        <f t="shared" si="31"/>
        <v>19848007</v>
      </c>
      <c r="G1143" s="397" t="s">
        <v>9567</v>
      </c>
    </row>
    <row r="1144" spans="1:7" x14ac:dyDescent="0.25">
      <c r="A1144" s="440">
        <v>45525</v>
      </c>
      <c r="B1144" s="391"/>
      <c r="C1144" s="292" t="s">
        <v>14253</v>
      </c>
      <c r="D1144" s="304">
        <v>15000</v>
      </c>
      <c r="E1144" s="304"/>
      <c r="F1144" s="48">
        <f t="shared" si="31"/>
        <v>19833007</v>
      </c>
      <c r="G1144" s="397" t="s">
        <v>9567</v>
      </c>
    </row>
    <row r="1145" spans="1:7" x14ac:dyDescent="0.25">
      <c r="A1145" s="440">
        <v>45525</v>
      </c>
      <c r="B1145" s="391"/>
      <c r="C1145" s="292" t="s">
        <v>14257</v>
      </c>
      <c r="D1145" s="304">
        <v>98983</v>
      </c>
      <c r="E1145" s="304"/>
      <c r="F1145" s="48">
        <f t="shared" si="31"/>
        <v>19734024</v>
      </c>
      <c r="G1145" s="397" t="s">
        <v>9567</v>
      </c>
    </row>
    <row r="1146" spans="1:7" x14ac:dyDescent="0.25">
      <c r="A1146" s="440">
        <v>45526</v>
      </c>
      <c r="B1146" s="391"/>
      <c r="C1146" s="640" t="s">
        <v>14279</v>
      </c>
      <c r="D1146" s="641">
        <v>400000</v>
      </c>
      <c r="E1146" s="304"/>
      <c r="F1146" s="48">
        <f t="shared" si="31"/>
        <v>19334024</v>
      </c>
      <c r="G1146" s="397" t="s">
        <v>9567</v>
      </c>
    </row>
    <row r="1147" spans="1:7" x14ac:dyDescent="0.25">
      <c r="A1147" s="440">
        <v>45530</v>
      </c>
      <c r="B1147" s="391"/>
      <c r="C1147" s="292" t="s">
        <v>14297</v>
      </c>
      <c r="D1147" s="304">
        <v>18500</v>
      </c>
      <c r="E1147" s="304"/>
      <c r="F1147" s="48">
        <f t="shared" si="31"/>
        <v>19315524</v>
      </c>
      <c r="G1147" s="397" t="s">
        <v>9567</v>
      </c>
    </row>
    <row r="1148" spans="1:7" x14ac:dyDescent="0.25">
      <c r="A1148" s="440">
        <v>45535</v>
      </c>
      <c r="B1148" s="391"/>
      <c r="C1148" s="292" t="s">
        <v>14326</v>
      </c>
      <c r="D1148" s="304"/>
      <c r="E1148" s="304">
        <v>23000</v>
      </c>
      <c r="F1148" s="48">
        <f t="shared" si="31"/>
        <v>19338524</v>
      </c>
      <c r="G1148" s="397" t="s">
        <v>9567</v>
      </c>
    </row>
    <row r="1149" spans="1:7" x14ac:dyDescent="0.25">
      <c r="A1149" s="440">
        <v>45538</v>
      </c>
      <c r="B1149" s="391"/>
      <c r="C1149" s="292" t="s">
        <v>14326</v>
      </c>
      <c r="D1149" s="304"/>
      <c r="E1149" s="304">
        <v>251000</v>
      </c>
      <c r="F1149" s="48">
        <f t="shared" si="31"/>
        <v>19589524</v>
      </c>
      <c r="G1149" s="397" t="s">
        <v>9567</v>
      </c>
    </row>
    <row r="1150" spans="1:7" x14ac:dyDescent="0.25">
      <c r="A1150" s="440">
        <v>45539</v>
      </c>
      <c r="B1150" s="391"/>
      <c r="C1150" s="292" t="s">
        <v>14365</v>
      </c>
      <c r="D1150" s="304">
        <v>20000</v>
      </c>
      <c r="E1150" s="304"/>
      <c r="F1150" s="48">
        <f t="shared" si="31"/>
        <v>19569524</v>
      </c>
      <c r="G1150" s="397" t="s">
        <v>9567</v>
      </c>
    </row>
    <row r="1151" spans="1:7" x14ac:dyDescent="0.25">
      <c r="A1151" s="440">
        <v>45539</v>
      </c>
      <c r="B1151" s="391"/>
      <c r="C1151" s="292" t="s">
        <v>14364</v>
      </c>
      <c r="D1151" s="304">
        <v>20000</v>
      </c>
      <c r="E1151" s="304"/>
      <c r="F1151" s="48">
        <f t="shared" si="31"/>
        <v>19549524</v>
      </c>
      <c r="G1151" s="397" t="s">
        <v>9567</v>
      </c>
    </row>
    <row r="1152" spans="1:7" x14ac:dyDescent="0.25">
      <c r="A1152" s="440">
        <v>45539</v>
      </c>
      <c r="B1152" s="391"/>
      <c r="C1152" s="306" t="s">
        <v>14370</v>
      </c>
      <c r="D1152" s="437">
        <v>105000</v>
      </c>
      <c r="E1152" s="304"/>
      <c r="F1152" s="48">
        <f t="shared" si="31"/>
        <v>19444524</v>
      </c>
      <c r="G1152" s="397" t="s">
        <v>9567</v>
      </c>
    </row>
    <row r="1153" spans="1:7" x14ac:dyDescent="0.25">
      <c r="A1153" s="440">
        <v>45541</v>
      </c>
      <c r="B1153" s="391"/>
      <c r="C1153" s="292" t="s">
        <v>14384</v>
      </c>
      <c r="D1153" s="304">
        <v>150000</v>
      </c>
      <c r="E1153" s="304"/>
      <c r="F1153" s="48">
        <f t="shared" si="31"/>
        <v>19294524</v>
      </c>
      <c r="G1153" s="397" t="s">
        <v>9567</v>
      </c>
    </row>
    <row r="1154" spans="1:7" x14ac:dyDescent="0.25">
      <c r="A1154" s="440">
        <v>45541</v>
      </c>
      <c r="B1154" s="391"/>
      <c r="C1154" s="292" t="s">
        <v>14389</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14391</v>
      </c>
      <c r="D1156" s="304">
        <v>21000</v>
      </c>
      <c r="E1156" s="304"/>
      <c r="F1156" s="48">
        <f t="shared" si="31"/>
        <v>18757524</v>
      </c>
      <c r="G1156" s="397" t="s">
        <v>9567</v>
      </c>
    </row>
    <row r="1157" spans="1:7" x14ac:dyDescent="0.25">
      <c r="A1157" s="440">
        <v>45544</v>
      </c>
      <c r="B1157" s="391"/>
      <c r="C1157" s="292" t="s">
        <v>14869</v>
      </c>
      <c r="D1157" s="304">
        <v>25000</v>
      </c>
      <c r="E1157" s="304"/>
      <c r="F1157" s="48">
        <f t="shared" si="31"/>
        <v>18732524</v>
      </c>
      <c r="G1157" s="397" t="s">
        <v>9567</v>
      </c>
    </row>
    <row r="1158" spans="1:7" x14ac:dyDescent="0.25">
      <c r="A1158" s="440">
        <v>45545</v>
      </c>
      <c r="B1158" s="391"/>
      <c r="C1158" s="292" t="s">
        <v>14396</v>
      </c>
      <c r="D1158" s="304">
        <v>500000</v>
      </c>
      <c r="E1158" s="304"/>
      <c r="F1158" s="48">
        <f t="shared" si="31"/>
        <v>18232524</v>
      </c>
      <c r="G1158" s="397" t="s">
        <v>9567</v>
      </c>
    </row>
    <row r="1159" spans="1:7" x14ac:dyDescent="0.25">
      <c r="A1159" s="440">
        <v>45546</v>
      </c>
      <c r="B1159" s="391"/>
      <c r="C1159" s="292" t="s">
        <v>14407</v>
      </c>
      <c r="D1159" s="304">
        <v>17430</v>
      </c>
      <c r="E1159" s="304"/>
      <c r="F1159" s="48">
        <f t="shared" si="31"/>
        <v>18215094</v>
      </c>
      <c r="G1159" s="397" t="s">
        <v>9567</v>
      </c>
    </row>
    <row r="1160" spans="1:7" x14ac:dyDescent="0.25">
      <c r="A1160" s="440">
        <v>45546</v>
      </c>
      <c r="B1160" s="391"/>
      <c r="C1160" s="292" t="s">
        <v>14414</v>
      </c>
      <c r="D1160" s="304">
        <v>220000</v>
      </c>
      <c r="E1160" s="304"/>
      <c r="F1160" s="48">
        <f t="shared" si="31"/>
        <v>17995094</v>
      </c>
      <c r="G1160" s="397" t="s">
        <v>9567</v>
      </c>
    </row>
    <row r="1161" spans="1:7" x14ac:dyDescent="0.25">
      <c r="A1161" s="440">
        <v>45546</v>
      </c>
      <c r="B1161" s="391"/>
      <c r="C1161" s="292" t="s">
        <v>14415</v>
      </c>
      <c r="D1161" s="304">
        <v>100000</v>
      </c>
      <c r="E1161" s="304"/>
      <c r="F1161" s="48">
        <f t="shared" si="31"/>
        <v>17895094</v>
      </c>
      <c r="G1161" s="397" t="s">
        <v>9567</v>
      </c>
    </row>
    <row r="1162" spans="1:7" x14ac:dyDescent="0.25">
      <c r="A1162" s="440">
        <v>45547</v>
      </c>
      <c r="B1162" s="391"/>
      <c r="C1162" s="292" t="s">
        <v>14427</v>
      </c>
      <c r="D1162" s="304">
        <v>50000</v>
      </c>
      <c r="E1162" s="304"/>
      <c r="F1162" s="48">
        <f t="shared" si="31"/>
        <v>17845094</v>
      </c>
      <c r="G1162" s="397" t="s">
        <v>9567</v>
      </c>
    </row>
    <row r="1163" spans="1:7" x14ac:dyDescent="0.25">
      <c r="A1163" s="440">
        <v>45548</v>
      </c>
      <c r="B1163" s="391"/>
      <c r="C1163" s="292" t="s">
        <v>14451</v>
      </c>
      <c r="D1163" s="304">
        <v>30000</v>
      </c>
      <c r="E1163" s="304"/>
      <c r="F1163" s="48">
        <f t="shared" si="31"/>
        <v>17815094</v>
      </c>
      <c r="G1163" s="397" t="s">
        <v>9567</v>
      </c>
    </row>
    <row r="1164" spans="1:7" ht="30" x14ac:dyDescent="0.25">
      <c r="A1164" s="440">
        <v>45551</v>
      </c>
      <c r="B1164" s="391"/>
      <c r="C1164" s="303" t="s">
        <v>14449</v>
      </c>
      <c r="D1164" s="304">
        <v>450000</v>
      </c>
      <c r="E1164" s="304"/>
      <c r="F1164" s="48">
        <f t="shared" si="31"/>
        <v>17365094</v>
      </c>
      <c r="G1164" s="397" t="s">
        <v>9567</v>
      </c>
    </row>
    <row r="1165" spans="1:7" x14ac:dyDescent="0.25">
      <c r="A1165" s="440">
        <v>45551</v>
      </c>
      <c r="B1165" s="391"/>
      <c r="C1165" s="292" t="s">
        <v>14450</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14464</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14501</v>
      </c>
      <c r="D1169" s="304">
        <v>200000</v>
      </c>
      <c r="E1169" s="304"/>
      <c r="F1169" s="48">
        <f t="shared" si="31"/>
        <v>15705094</v>
      </c>
      <c r="G1169" s="397" t="s">
        <v>9567</v>
      </c>
    </row>
    <row r="1170" spans="1:10" x14ac:dyDescent="0.25">
      <c r="A1170" s="440">
        <v>45556</v>
      </c>
      <c r="B1170" s="391"/>
      <c r="C1170" s="292" t="s">
        <v>14510</v>
      </c>
      <c r="D1170" s="304">
        <v>100000</v>
      </c>
      <c r="E1170" s="304"/>
      <c r="F1170" s="48">
        <f t="shared" si="31"/>
        <v>15605094</v>
      </c>
      <c r="G1170" s="397" t="s">
        <v>9567</v>
      </c>
    </row>
    <row r="1171" spans="1:10" x14ac:dyDescent="0.25">
      <c r="A1171" s="440">
        <v>45556</v>
      </c>
      <c r="B1171" s="391"/>
      <c r="C1171" s="292" t="s">
        <v>14509</v>
      </c>
      <c r="D1171" s="304">
        <v>150000</v>
      </c>
      <c r="E1171" s="304"/>
      <c r="F1171" s="48">
        <f t="shared" si="31"/>
        <v>15455094</v>
      </c>
      <c r="G1171" s="397" t="s">
        <v>9567</v>
      </c>
    </row>
    <row r="1172" spans="1:10" x14ac:dyDescent="0.25">
      <c r="A1172" s="440">
        <v>45556</v>
      </c>
      <c r="B1172" s="391"/>
      <c r="C1172" s="292" t="s">
        <v>14508</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14528</v>
      </c>
      <c r="D1175" s="304">
        <v>1000000</v>
      </c>
      <c r="E1175" s="304"/>
      <c r="F1175" s="48">
        <f t="shared" si="31"/>
        <v>14175094</v>
      </c>
      <c r="G1175" s="397" t="s">
        <v>9567</v>
      </c>
    </row>
    <row r="1176" spans="1:10" x14ac:dyDescent="0.25">
      <c r="A1176" s="440">
        <v>45559</v>
      </c>
      <c r="B1176" s="391"/>
      <c r="C1176" s="292" t="s">
        <v>14527</v>
      </c>
      <c r="D1176" s="304">
        <v>100000</v>
      </c>
      <c r="E1176" s="304"/>
      <c r="F1176" s="48">
        <f t="shared" si="31"/>
        <v>14075094</v>
      </c>
      <c r="G1176" s="397" t="s">
        <v>9567</v>
      </c>
    </row>
    <row r="1177" spans="1:10" x14ac:dyDescent="0.25">
      <c r="A1177" s="440">
        <v>45561</v>
      </c>
      <c r="B1177" s="391"/>
      <c r="C1177" s="292" t="s">
        <v>14552</v>
      </c>
      <c r="D1177" s="304">
        <v>400000</v>
      </c>
      <c r="E1177" s="304"/>
      <c r="F1177" s="48">
        <f t="shared" si="31"/>
        <v>13675094</v>
      </c>
      <c r="G1177" s="397" t="s">
        <v>9567</v>
      </c>
    </row>
    <row r="1178" spans="1:10" x14ac:dyDescent="0.25">
      <c r="A1178" s="440">
        <v>45561</v>
      </c>
      <c r="B1178" s="391"/>
      <c r="C1178" s="292" t="s">
        <v>14573</v>
      </c>
      <c r="D1178" s="304"/>
      <c r="E1178" s="304">
        <v>2000000</v>
      </c>
      <c r="F1178" s="48">
        <f t="shared" si="31"/>
        <v>15675094</v>
      </c>
      <c r="G1178" s="397" t="s">
        <v>9567</v>
      </c>
    </row>
    <row r="1179" spans="1:10" x14ac:dyDescent="0.25">
      <c r="A1179" s="440">
        <v>45566</v>
      </c>
      <c r="B1179" s="391"/>
      <c r="C1179" s="292" t="s">
        <v>14578</v>
      </c>
      <c r="D1179" s="304">
        <v>500000</v>
      </c>
      <c r="E1179" s="304"/>
      <c r="F1179" s="48">
        <f t="shared" si="31"/>
        <v>15175094</v>
      </c>
      <c r="G1179" s="397" t="s">
        <v>9567</v>
      </c>
    </row>
    <row r="1180" spans="1:10" x14ac:dyDescent="0.25">
      <c r="A1180" s="440">
        <v>45566</v>
      </c>
      <c r="B1180" s="391"/>
      <c r="C1180" s="292" t="s">
        <v>14579</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14580</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14583</v>
      </c>
      <c r="D1182" s="304">
        <v>150000</v>
      </c>
      <c r="E1182" s="304"/>
      <c r="F1182" s="48">
        <f t="shared" si="31"/>
        <v>14575094</v>
      </c>
      <c r="G1182" s="397" t="s">
        <v>9567</v>
      </c>
      <c r="I1182">
        <f>I1180-I1181</f>
        <v>378912.2</v>
      </c>
      <c r="J1182">
        <f>J1180-J1181</f>
        <v>378912.2</v>
      </c>
    </row>
    <row r="1183" spans="1:10" x14ac:dyDescent="0.25">
      <c r="A1183" s="440">
        <v>45566</v>
      </c>
      <c r="B1183" s="391"/>
      <c r="C1183" s="292" t="s">
        <v>14582</v>
      </c>
      <c r="D1183" s="304">
        <v>100000</v>
      </c>
      <c r="E1183" s="304"/>
      <c r="F1183" s="48">
        <f t="shared" si="31"/>
        <v>14475094</v>
      </c>
      <c r="G1183" s="397" t="s">
        <v>9567</v>
      </c>
      <c r="I1183">
        <f>I1182*1.18</f>
        <v>447116.39600000001</v>
      </c>
    </row>
    <row r="1184" spans="1:10" x14ac:dyDescent="0.25">
      <c r="A1184" s="440">
        <v>45567</v>
      </c>
      <c r="B1184" s="391"/>
      <c r="C1184" s="292" t="s">
        <v>14604</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14602</v>
      </c>
      <c r="D1186" s="304">
        <v>200000</v>
      </c>
      <c r="E1186" s="304"/>
      <c r="F1186" s="48">
        <f t="shared" ref="F1186:F1205" si="32">F1185+E1186-D1186</f>
        <v>13271094</v>
      </c>
      <c r="G1186" s="397" t="s">
        <v>9567</v>
      </c>
    </row>
    <row r="1187" spans="1:11" x14ac:dyDescent="0.25">
      <c r="A1187" s="440">
        <v>45567</v>
      </c>
      <c r="B1187" s="391"/>
      <c r="C1187" s="306" t="s">
        <v>14612</v>
      </c>
      <c r="D1187" s="437">
        <v>105000</v>
      </c>
      <c r="E1187" s="304"/>
      <c r="F1187" s="48">
        <f t="shared" si="32"/>
        <v>13166094</v>
      </c>
      <c r="G1187" s="397" t="s">
        <v>9567</v>
      </c>
    </row>
    <row r="1188" spans="1:11" ht="30" x14ac:dyDescent="0.25">
      <c r="A1188" s="440">
        <v>45568</v>
      </c>
      <c r="B1188" s="391"/>
      <c r="C1188" s="303" t="s">
        <v>14605</v>
      </c>
      <c r="D1188" s="304">
        <v>200000</v>
      </c>
      <c r="E1188" s="304"/>
      <c r="F1188" s="48">
        <f t="shared" si="32"/>
        <v>12966094</v>
      </c>
      <c r="G1188" s="397" t="s">
        <v>9567</v>
      </c>
    </row>
    <row r="1189" spans="1:11" ht="30" x14ac:dyDescent="0.25">
      <c r="A1189" s="440">
        <v>45568</v>
      </c>
      <c r="B1189" s="391"/>
      <c r="C1189" s="303" t="s">
        <v>14606</v>
      </c>
      <c r="D1189" s="304">
        <v>100000</v>
      </c>
      <c r="E1189" s="304"/>
      <c r="F1189" s="48">
        <f t="shared" si="32"/>
        <v>12866094</v>
      </c>
      <c r="G1189" s="397" t="s">
        <v>9567</v>
      </c>
    </row>
    <row r="1190" spans="1:11" ht="30" x14ac:dyDescent="0.25">
      <c r="A1190" s="440">
        <v>45568</v>
      </c>
      <c r="B1190" s="391"/>
      <c r="C1190" s="303" t="s">
        <v>14609</v>
      </c>
      <c r="D1190" s="304">
        <v>200000</v>
      </c>
      <c r="E1190" s="304"/>
      <c r="F1190" s="48">
        <f t="shared" si="32"/>
        <v>12666094</v>
      </c>
      <c r="G1190" s="397" t="s">
        <v>9567</v>
      </c>
    </row>
    <row r="1191" spans="1:11" ht="30" x14ac:dyDescent="0.25">
      <c r="A1191" s="440">
        <v>45568</v>
      </c>
      <c r="B1191" s="391"/>
      <c r="C1191" s="303" t="s">
        <v>14670</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14634</v>
      </c>
      <c r="D1193" s="304">
        <v>400000</v>
      </c>
      <c r="E1193" s="304"/>
      <c r="F1193" s="48">
        <f t="shared" si="32"/>
        <v>12038094</v>
      </c>
      <c r="G1193" s="397" t="s">
        <v>9567</v>
      </c>
      <c r="K1193" s="376"/>
    </row>
    <row r="1194" spans="1:11" s="354" customFormat="1" ht="45" x14ac:dyDescent="0.25">
      <c r="A1194" s="440">
        <v>45569</v>
      </c>
      <c r="B1194" s="454"/>
      <c r="C1194" s="307" t="s">
        <v>14635</v>
      </c>
      <c r="D1194" s="304">
        <v>221000</v>
      </c>
      <c r="E1194" s="304"/>
      <c r="F1194" s="48">
        <f t="shared" si="32"/>
        <v>11817094</v>
      </c>
      <c r="G1194" s="397" t="s">
        <v>9567</v>
      </c>
      <c r="K1194" s="376"/>
    </row>
    <row r="1195" spans="1:11" x14ac:dyDescent="0.25">
      <c r="A1195" s="440">
        <v>45569</v>
      </c>
      <c r="B1195" s="454"/>
      <c r="C1195" s="307" t="s">
        <v>14684</v>
      </c>
      <c r="D1195" s="304">
        <v>100000</v>
      </c>
      <c r="E1195" s="304"/>
      <c r="F1195" s="48">
        <f t="shared" si="32"/>
        <v>11717094</v>
      </c>
      <c r="G1195" s="397" t="s">
        <v>9567</v>
      </c>
    </row>
    <row r="1196" spans="1:11" ht="30" x14ac:dyDescent="0.25">
      <c r="A1196" s="440">
        <v>45570</v>
      </c>
      <c r="B1196" s="391"/>
      <c r="C1196" s="307" t="s">
        <v>14638</v>
      </c>
      <c r="D1196" s="304">
        <v>100000</v>
      </c>
      <c r="E1196" s="304"/>
      <c r="F1196" s="48">
        <f t="shared" si="32"/>
        <v>11617094</v>
      </c>
      <c r="G1196" s="397" t="s">
        <v>9567</v>
      </c>
    </row>
    <row r="1197" spans="1:11" ht="30" x14ac:dyDescent="0.25">
      <c r="A1197" s="440">
        <v>45570</v>
      </c>
      <c r="B1197" s="391"/>
      <c r="C1197" s="307" t="s">
        <v>14642</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14657</v>
      </c>
      <c r="D1199" s="304">
        <v>19000</v>
      </c>
      <c r="E1199" s="304"/>
      <c r="F1199" s="48">
        <f t="shared" si="32"/>
        <v>10398094</v>
      </c>
      <c r="G1199" s="397" t="s">
        <v>9567</v>
      </c>
    </row>
    <row r="1200" spans="1:11" ht="30" x14ac:dyDescent="0.25">
      <c r="A1200" s="440">
        <v>45574</v>
      </c>
      <c r="B1200" s="391"/>
      <c r="C1200" s="307" t="s">
        <v>14665</v>
      </c>
      <c r="D1200" s="304">
        <v>65450</v>
      </c>
      <c r="E1200" s="304"/>
      <c r="F1200" s="48">
        <f t="shared" si="32"/>
        <v>10332644</v>
      </c>
      <c r="G1200" s="397" t="s">
        <v>9567</v>
      </c>
    </row>
    <row r="1201" spans="1:7" ht="30" x14ac:dyDescent="0.25">
      <c r="A1201" s="440">
        <v>45576</v>
      </c>
      <c r="B1201" s="391"/>
      <c r="C1201" s="307" t="s">
        <v>14609</v>
      </c>
      <c r="D1201" s="304">
        <v>80000</v>
      </c>
      <c r="E1201" s="304"/>
      <c r="F1201" s="48">
        <f t="shared" si="32"/>
        <v>10252644</v>
      </c>
      <c r="G1201" s="397" t="s">
        <v>9567</v>
      </c>
    </row>
    <row r="1202" spans="1:7" ht="30" x14ac:dyDescent="0.25">
      <c r="A1202" s="440">
        <v>45579</v>
      </c>
      <c r="B1202" s="391"/>
      <c r="C1202" s="307" t="s">
        <v>14694</v>
      </c>
      <c r="D1202" s="304">
        <v>110000</v>
      </c>
      <c r="E1202" s="304"/>
      <c r="F1202" s="48">
        <f t="shared" si="32"/>
        <v>10142644</v>
      </c>
      <c r="G1202" s="397" t="s">
        <v>9567</v>
      </c>
    </row>
    <row r="1203" spans="1:7" x14ac:dyDescent="0.25">
      <c r="A1203" s="440">
        <v>45580</v>
      </c>
      <c r="B1203" s="391"/>
      <c r="C1203" s="306" t="s">
        <v>14696</v>
      </c>
      <c r="D1203" s="304">
        <v>9000</v>
      </c>
      <c r="E1203" s="304"/>
      <c r="F1203" s="48">
        <f t="shared" si="32"/>
        <v>10133644</v>
      </c>
      <c r="G1203" s="397" t="s">
        <v>9567</v>
      </c>
    </row>
    <row r="1204" spans="1:7" ht="30" x14ac:dyDescent="0.25">
      <c r="A1204" s="440">
        <v>45580</v>
      </c>
      <c r="B1204" s="391"/>
      <c r="C1204" s="307" t="s">
        <v>14702</v>
      </c>
      <c r="D1204" s="304">
        <v>200000</v>
      </c>
      <c r="E1204" s="304"/>
      <c r="F1204" s="48">
        <f t="shared" si="32"/>
        <v>9933644</v>
      </c>
      <c r="G1204" s="397" t="s">
        <v>9567</v>
      </c>
    </row>
    <row r="1205" spans="1:7" ht="30" x14ac:dyDescent="0.25">
      <c r="A1205" s="440">
        <v>45580</v>
      </c>
      <c r="B1205" s="391"/>
      <c r="C1205" s="307" t="s">
        <v>14705</v>
      </c>
      <c r="D1205" s="304">
        <v>100000</v>
      </c>
      <c r="E1205" s="304"/>
      <c r="F1205" s="48">
        <f t="shared" si="32"/>
        <v>9833644</v>
      </c>
      <c r="G1205" s="397" t="s">
        <v>9567</v>
      </c>
    </row>
    <row r="1206" spans="1:7" x14ac:dyDescent="0.25">
      <c r="A1206" s="440">
        <v>45580</v>
      </c>
      <c r="B1206" s="391"/>
      <c r="C1206" s="682" t="s">
        <v>14706</v>
      </c>
      <c r="D1206" s="641">
        <v>400000</v>
      </c>
      <c r="E1206" s="304"/>
      <c r="F1206" s="48">
        <f t="shared" ref="F1206:F1250" si="33">F1205+E1206-D1206</f>
        <v>9433644</v>
      </c>
      <c r="G1206" s="397" t="s">
        <v>9567</v>
      </c>
    </row>
    <row r="1207" spans="1:7" x14ac:dyDescent="0.25">
      <c r="A1207" s="440">
        <v>45580</v>
      </c>
      <c r="B1207" s="391"/>
      <c r="C1207" s="306" t="s">
        <v>14710</v>
      </c>
      <c r="D1207" s="304">
        <v>12500</v>
      </c>
      <c r="E1207" s="304"/>
      <c r="F1207" s="48">
        <f t="shared" si="33"/>
        <v>9421144</v>
      </c>
      <c r="G1207" s="397" t="s">
        <v>9567</v>
      </c>
    </row>
    <row r="1208" spans="1:7" x14ac:dyDescent="0.25">
      <c r="A1208" s="440">
        <v>45581</v>
      </c>
      <c r="B1208" s="391"/>
      <c r="C1208" s="306" t="s">
        <v>14711</v>
      </c>
      <c r="D1208" s="304">
        <v>19500</v>
      </c>
      <c r="E1208" s="304"/>
      <c r="F1208" s="48">
        <f t="shared" si="33"/>
        <v>9401644</v>
      </c>
      <c r="G1208" s="397" t="s">
        <v>9567</v>
      </c>
    </row>
    <row r="1209" spans="1:7" ht="30" x14ac:dyDescent="0.25">
      <c r="A1209" s="440">
        <v>45583</v>
      </c>
      <c r="B1209" s="391"/>
      <c r="C1209" s="307" t="s">
        <v>14642</v>
      </c>
      <c r="D1209" s="304">
        <v>200000</v>
      </c>
      <c r="E1209" s="304"/>
      <c r="F1209" s="48">
        <f t="shared" si="33"/>
        <v>9201644</v>
      </c>
      <c r="G1209" s="397" t="s">
        <v>9567</v>
      </c>
    </row>
    <row r="1210" spans="1:7" x14ac:dyDescent="0.25">
      <c r="A1210" s="440">
        <v>45583</v>
      </c>
      <c r="B1210" s="391"/>
      <c r="C1210" s="682" t="s">
        <v>14727</v>
      </c>
      <c r="D1210" s="641">
        <v>400000</v>
      </c>
      <c r="E1210" s="304"/>
      <c r="F1210" s="48">
        <f t="shared" si="33"/>
        <v>8801644</v>
      </c>
      <c r="G1210" s="397" t="s">
        <v>9567</v>
      </c>
    </row>
    <row r="1211" spans="1:7" x14ac:dyDescent="0.25">
      <c r="A1211" s="440">
        <v>45584</v>
      </c>
      <c r="B1211" s="391"/>
      <c r="C1211" s="306" t="s">
        <v>14743</v>
      </c>
      <c r="D1211" s="304">
        <v>14000</v>
      </c>
      <c r="E1211" s="304"/>
      <c r="F1211" s="48">
        <f t="shared" si="33"/>
        <v>8787644</v>
      </c>
      <c r="G1211" s="397" t="s">
        <v>9567</v>
      </c>
    </row>
    <row r="1212" spans="1:7" ht="30" x14ac:dyDescent="0.25">
      <c r="A1212" s="440">
        <v>45588</v>
      </c>
      <c r="B1212" s="391"/>
      <c r="C1212" s="307" t="s">
        <v>14755</v>
      </c>
      <c r="D1212" s="304">
        <v>200000</v>
      </c>
      <c r="E1212" s="304"/>
      <c r="F1212" s="48">
        <f t="shared" si="33"/>
        <v>8587644</v>
      </c>
      <c r="G1212" s="397" t="s">
        <v>9567</v>
      </c>
    </row>
    <row r="1213" spans="1:7" x14ac:dyDescent="0.25">
      <c r="A1213" s="440">
        <v>45589</v>
      </c>
      <c r="B1213" s="391"/>
      <c r="C1213" s="292" t="s">
        <v>14773</v>
      </c>
      <c r="D1213" s="304">
        <v>50000</v>
      </c>
      <c r="E1213" s="304"/>
      <c r="F1213" s="48">
        <f t="shared" si="33"/>
        <v>8537644</v>
      </c>
      <c r="G1213" s="397" t="s">
        <v>9567</v>
      </c>
    </row>
    <row r="1214" spans="1:7" x14ac:dyDescent="0.25">
      <c r="A1214" s="440">
        <v>45590</v>
      </c>
      <c r="B1214" s="391"/>
      <c r="C1214" s="292" t="s">
        <v>14765</v>
      </c>
      <c r="D1214" s="304">
        <v>25000</v>
      </c>
      <c r="E1214" s="304"/>
      <c r="F1214" s="48">
        <f t="shared" si="33"/>
        <v>8512644</v>
      </c>
      <c r="G1214" s="397" t="s">
        <v>9567</v>
      </c>
    </row>
    <row r="1215" spans="1:7" x14ac:dyDescent="0.25">
      <c r="A1215" s="440">
        <v>45590</v>
      </c>
      <c r="B1215" s="391"/>
      <c r="C1215" s="292" t="s">
        <v>14772</v>
      </c>
      <c r="D1215" s="304"/>
      <c r="E1215" s="304">
        <v>1000000</v>
      </c>
      <c r="F1215" s="48">
        <f t="shared" si="33"/>
        <v>9512644</v>
      </c>
      <c r="G1215" s="397" t="s">
        <v>9567</v>
      </c>
    </row>
    <row r="1216" spans="1:7" x14ac:dyDescent="0.25">
      <c r="A1216" s="440">
        <v>45593</v>
      </c>
      <c r="B1216" s="391"/>
      <c r="C1216" s="292" t="s">
        <v>14785</v>
      </c>
      <c r="D1216" s="304">
        <v>50000</v>
      </c>
      <c r="E1216" s="304"/>
      <c r="F1216" s="48">
        <f t="shared" si="33"/>
        <v>9462644</v>
      </c>
      <c r="G1216" s="397" t="s">
        <v>9567</v>
      </c>
    </row>
    <row r="1217" spans="1:7" x14ac:dyDescent="0.25">
      <c r="A1217" s="440">
        <v>45596</v>
      </c>
      <c r="B1217" s="391"/>
      <c r="C1217" s="292" t="s">
        <v>14809</v>
      </c>
      <c r="D1217" s="304"/>
      <c r="E1217" s="304">
        <v>1000000</v>
      </c>
      <c r="F1217" s="48">
        <f t="shared" si="33"/>
        <v>10462644</v>
      </c>
      <c r="G1217" s="397" t="s">
        <v>9567</v>
      </c>
    </row>
    <row r="1218" spans="1:7" x14ac:dyDescent="0.25">
      <c r="A1218" s="440">
        <v>45597</v>
      </c>
      <c r="B1218" s="391"/>
      <c r="C1218" s="292" t="s">
        <v>14811</v>
      </c>
      <c r="D1218" s="304">
        <v>15000</v>
      </c>
      <c r="E1218" s="304"/>
      <c r="F1218" s="48">
        <f t="shared" si="33"/>
        <v>10447644</v>
      </c>
      <c r="G1218" s="397" t="s">
        <v>9567</v>
      </c>
    </row>
    <row r="1219" spans="1:7" x14ac:dyDescent="0.25">
      <c r="A1219" s="440">
        <v>45602</v>
      </c>
      <c r="B1219" s="391"/>
      <c r="C1219" s="306" t="s">
        <v>14867</v>
      </c>
      <c r="D1219" s="437">
        <v>105000</v>
      </c>
      <c r="E1219" s="304"/>
      <c r="F1219" s="48">
        <f t="shared" si="33"/>
        <v>10342644</v>
      </c>
      <c r="G1219" s="397" t="s">
        <v>9567</v>
      </c>
    </row>
    <row r="1220" spans="1:7" x14ac:dyDescent="0.25">
      <c r="A1220" s="440">
        <v>45602</v>
      </c>
      <c r="B1220" s="391"/>
      <c r="C1220" s="292" t="s">
        <v>14868</v>
      </c>
      <c r="D1220" s="304">
        <f>85000*2</f>
        <v>170000</v>
      </c>
      <c r="E1220" s="304"/>
      <c r="F1220" s="48">
        <f t="shared" si="33"/>
        <v>10172644</v>
      </c>
      <c r="G1220" s="397" t="s">
        <v>9567</v>
      </c>
    </row>
    <row r="1221" spans="1:7" x14ac:dyDescent="0.25">
      <c r="A1221" s="440">
        <v>45602</v>
      </c>
      <c r="B1221" s="391"/>
      <c r="C1221" s="292" t="s">
        <v>14870</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14895</v>
      </c>
      <c r="D1223" s="304">
        <v>200000</v>
      </c>
      <c r="E1223" s="304"/>
      <c r="F1223" s="48">
        <f t="shared" si="33"/>
        <v>8892644</v>
      </c>
      <c r="G1223" s="397" t="s">
        <v>9567</v>
      </c>
    </row>
    <row r="1224" spans="1:7" x14ac:dyDescent="0.25">
      <c r="A1224" s="440">
        <v>45608</v>
      </c>
      <c r="B1224" s="391"/>
      <c r="C1224" s="292" t="s">
        <v>14326</v>
      </c>
      <c r="D1224" s="304"/>
      <c r="E1224" s="304">
        <v>55760</v>
      </c>
      <c r="F1224" s="48">
        <f t="shared" si="33"/>
        <v>8948404</v>
      </c>
      <c r="G1224" s="397" t="s">
        <v>9567</v>
      </c>
    </row>
    <row r="1225" spans="1:7" x14ac:dyDescent="0.25">
      <c r="A1225" s="440">
        <v>45610</v>
      </c>
      <c r="B1225" s="391"/>
      <c r="C1225" s="292" t="s">
        <v>14935</v>
      </c>
      <c r="D1225" s="304">
        <v>50000</v>
      </c>
      <c r="E1225" s="304"/>
      <c r="F1225" s="48">
        <f t="shared" si="33"/>
        <v>8898404</v>
      </c>
      <c r="G1225" s="397" t="s">
        <v>9567</v>
      </c>
    </row>
    <row r="1226" spans="1:7" x14ac:dyDescent="0.25">
      <c r="A1226" s="440">
        <v>45610</v>
      </c>
      <c r="B1226" s="391"/>
      <c r="C1226" s="292" t="s">
        <v>14936</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14995</v>
      </c>
      <c r="D1230" s="304"/>
      <c r="E1230" s="304">
        <v>35000</v>
      </c>
      <c r="F1230" s="48">
        <f t="shared" si="33"/>
        <v>8484404</v>
      </c>
      <c r="G1230" s="397" t="s">
        <v>9567</v>
      </c>
    </row>
    <row r="1231" spans="1:7" x14ac:dyDescent="0.25">
      <c r="A1231" s="440">
        <v>45621</v>
      </c>
      <c r="B1231" s="391"/>
      <c r="C1231" s="292" t="s">
        <v>14936</v>
      </c>
      <c r="D1231" s="304">
        <v>100000</v>
      </c>
      <c r="E1231" s="304"/>
      <c r="F1231" s="48">
        <f t="shared" si="33"/>
        <v>8384404</v>
      </c>
      <c r="G1231" s="397" t="s">
        <v>9567</v>
      </c>
    </row>
    <row r="1232" spans="1:7" x14ac:dyDescent="0.25">
      <c r="A1232" s="440">
        <v>45624</v>
      </c>
      <c r="B1232" s="391"/>
      <c r="C1232" s="292" t="s">
        <v>11972</v>
      </c>
      <c r="D1232" s="304">
        <v>500000</v>
      </c>
      <c r="E1232" s="304"/>
      <c r="F1232" s="48">
        <f t="shared" si="33"/>
        <v>7884404</v>
      </c>
      <c r="G1232" s="397" t="s">
        <v>9567</v>
      </c>
    </row>
    <row r="1233" spans="1:7" x14ac:dyDescent="0.25">
      <c r="A1233" s="440">
        <v>45625</v>
      </c>
      <c r="B1233" s="391"/>
      <c r="C1233" s="292" t="s">
        <v>15031</v>
      </c>
      <c r="D1233" s="304">
        <v>10000</v>
      </c>
      <c r="E1233" s="304"/>
      <c r="F1233" s="48">
        <f t="shared" si="33"/>
        <v>7874404</v>
      </c>
      <c r="G1233" s="397" t="s">
        <v>9567</v>
      </c>
    </row>
    <row r="1234" spans="1:7" x14ac:dyDescent="0.25">
      <c r="A1234" s="440">
        <v>45625</v>
      </c>
      <c r="B1234" s="391"/>
      <c r="C1234" s="682" t="s">
        <v>15045</v>
      </c>
      <c r="D1234" s="641">
        <v>400000</v>
      </c>
      <c r="E1234" s="304"/>
      <c r="F1234" s="48">
        <f t="shared" si="33"/>
        <v>7474404</v>
      </c>
      <c r="G1234" s="397" t="s">
        <v>9567</v>
      </c>
    </row>
    <row r="1235" spans="1:7" x14ac:dyDescent="0.25">
      <c r="A1235" s="440">
        <v>45626</v>
      </c>
      <c r="B1235" s="391"/>
      <c r="C1235" s="292" t="s">
        <v>15052</v>
      </c>
      <c r="D1235" s="304"/>
      <c r="E1235" s="304">
        <v>15000</v>
      </c>
      <c r="F1235" s="48">
        <f t="shared" si="33"/>
        <v>7489404</v>
      </c>
      <c r="G1235" s="397" t="s">
        <v>9567</v>
      </c>
    </row>
    <row r="1236" spans="1:7" x14ac:dyDescent="0.25">
      <c r="A1236" s="440">
        <v>45626</v>
      </c>
      <c r="B1236" s="391"/>
      <c r="C1236" s="306" t="s">
        <v>15054</v>
      </c>
      <c r="D1236" s="437">
        <v>105000</v>
      </c>
      <c r="E1236" s="304"/>
      <c r="F1236" s="48">
        <f t="shared" si="33"/>
        <v>7384404</v>
      </c>
      <c r="G1236" s="397" t="s">
        <v>9567</v>
      </c>
    </row>
    <row r="1237" spans="1:7" x14ac:dyDescent="0.25">
      <c r="A1237" s="440">
        <v>45626</v>
      </c>
      <c r="B1237" s="391"/>
      <c r="C1237" s="292" t="s">
        <v>15055</v>
      </c>
      <c r="D1237" s="304">
        <v>85000</v>
      </c>
      <c r="E1237" s="304"/>
      <c r="F1237" s="48">
        <f t="shared" si="33"/>
        <v>7299404</v>
      </c>
      <c r="G1237" s="397" t="s">
        <v>9567</v>
      </c>
    </row>
    <row r="1238" spans="1:7" x14ac:dyDescent="0.25">
      <c r="A1238" s="440">
        <v>45626</v>
      </c>
      <c r="B1238" s="391"/>
      <c r="C1238" s="292" t="s">
        <v>15056</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14326</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15155</v>
      </c>
      <c r="D1242" s="304">
        <v>2000000</v>
      </c>
      <c r="E1242" s="304"/>
      <c r="F1242" s="48">
        <f t="shared" si="33"/>
        <v>3235404</v>
      </c>
      <c r="G1242" s="397" t="s">
        <v>9567</v>
      </c>
    </row>
    <row r="1243" spans="1:7" x14ac:dyDescent="0.25">
      <c r="A1243" s="440">
        <v>45647</v>
      </c>
      <c r="B1243" s="391"/>
      <c r="C1243" s="292" t="s">
        <v>15175</v>
      </c>
      <c r="D1243" s="304">
        <v>214000</v>
      </c>
      <c r="E1243" s="304"/>
      <c r="F1243" s="48">
        <f t="shared" si="33"/>
        <v>3021404</v>
      </c>
      <c r="G1243" s="397" t="s">
        <v>9567</v>
      </c>
    </row>
    <row r="1244" spans="1:7" x14ac:dyDescent="0.25">
      <c r="A1244" s="440">
        <v>45652</v>
      </c>
      <c r="B1244" s="391"/>
      <c r="C1244" s="292" t="s">
        <v>15198</v>
      </c>
      <c r="D1244" s="304">
        <v>100000</v>
      </c>
      <c r="E1244" s="304"/>
      <c r="F1244" s="48">
        <f t="shared" si="33"/>
        <v>2921404</v>
      </c>
      <c r="G1244" s="397" t="s">
        <v>9567</v>
      </c>
    </row>
    <row r="1245" spans="1:7" x14ac:dyDescent="0.25">
      <c r="A1245" s="440">
        <v>45654</v>
      </c>
      <c r="B1245" s="391"/>
      <c r="C1245" s="292" t="s">
        <v>15198</v>
      </c>
      <c r="D1245" s="304">
        <v>20000</v>
      </c>
      <c r="E1245" s="304"/>
      <c r="F1245" s="48">
        <f t="shared" si="33"/>
        <v>2901404</v>
      </c>
      <c r="G1245" s="397" t="s">
        <v>9567</v>
      </c>
    </row>
    <row r="1246" spans="1:7" x14ac:dyDescent="0.25">
      <c r="A1246" s="440">
        <v>45659</v>
      </c>
      <c r="B1246" s="391"/>
      <c r="C1246" s="306" t="s">
        <v>15253</v>
      </c>
      <c r="D1246" s="437">
        <v>105000</v>
      </c>
      <c r="E1246" s="304"/>
      <c r="F1246" s="48">
        <f t="shared" si="33"/>
        <v>2796404</v>
      </c>
      <c r="G1246" s="397" t="s">
        <v>9567</v>
      </c>
    </row>
    <row r="1247" spans="1:7" x14ac:dyDescent="0.25">
      <c r="A1247" s="440">
        <v>45659</v>
      </c>
      <c r="B1247" s="391"/>
      <c r="C1247" s="292" t="s">
        <v>15254</v>
      </c>
      <c r="D1247" s="304">
        <v>85000</v>
      </c>
      <c r="E1247" s="304"/>
      <c r="F1247" s="48">
        <f t="shared" si="33"/>
        <v>2711404</v>
      </c>
      <c r="G1247" s="397" t="s">
        <v>9567</v>
      </c>
    </row>
    <row r="1248" spans="1:7" x14ac:dyDescent="0.25">
      <c r="A1248" s="440">
        <v>45659</v>
      </c>
      <c r="B1248" s="391"/>
      <c r="C1248" s="292" t="s">
        <v>15255</v>
      </c>
      <c r="D1248" s="304">
        <v>20000</v>
      </c>
      <c r="E1248" s="304"/>
      <c r="F1248" s="48">
        <f t="shared" si="33"/>
        <v>2691404</v>
      </c>
      <c r="G1248" s="397" t="s">
        <v>9567</v>
      </c>
    </row>
    <row r="1249" spans="1:7" x14ac:dyDescent="0.25">
      <c r="A1249" s="440">
        <v>45659</v>
      </c>
      <c r="B1249" s="391"/>
      <c r="C1249" s="292" t="s">
        <v>15198</v>
      </c>
      <c r="D1249" s="304">
        <v>50000</v>
      </c>
      <c r="E1249" s="304"/>
      <c r="F1249" s="48">
        <f t="shared" si="33"/>
        <v>2641404</v>
      </c>
      <c r="G1249" s="397" t="s">
        <v>9567</v>
      </c>
    </row>
    <row r="1250" spans="1:7" x14ac:dyDescent="0.25">
      <c r="A1250" s="440">
        <v>45663</v>
      </c>
      <c r="B1250" s="391"/>
      <c r="C1250" s="292" t="s">
        <v>15293</v>
      </c>
      <c r="D1250" s="304">
        <v>2000000</v>
      </c>
      <c r="E1250" s="304"/>
      <c r="F1250" s="48">
        <f t="shared" si="33"/>
        <v>641404</v>
      </c>
      <c r="G1250" s="397" t="s">
        <v>9567</v>
      </c>
    </row>
    <row r="1251" spans="1:7" x14ac:dyDescent="0.25">
      <c r="A1251" s="440">
        <v>45663</v>
      </c>
      <c r="B1251" s="391"/>
      <c r="C1251" s="292" t="s">
        <v>15297</v>
      </c>
      <c r="D1251" s="304">
        <v>200000</v>
      </c>
      <c r="E1251" s="304"/>
      <c r="F1251" s="48">
        <f t="shared" ref="F1251:F1314" si="34">F1250+E1251-D1251</f>
        <v>441404</v>
      </c>
      <c r="G1251" s="397" t="s">
        <v>9567</v>
      </c>
    </row>
    <row r="1252" spans="1:7" x14ac:dyDescent="0.25">
      <c r="A1252" s="440">
        <v>45663</v>
      </c>
      <c r="B1252" s="391"/>
      <c r="C1252" s="292" t="s">
        <v>15298</v>
      </c>
      <c r="D1252" s="304">
        <v>100000</v>
      </c>
      <c r="E1252" s="304"/>
      <c r="F1252" s="48">
        <f t="shared" si="34"/>
        <v>341404</v>
      </c>
      <c r="G1252" s="397" t="s">
        <v>9567</v>
      </c>
    </row>
    <row r="1253" spans="1:7" x14ac:dyDescent="0.25">
      <c r="A1253" s="440">
        <v>45664</v>
      </c>
      <c r="B1253" s="391"/>
      <c r="C1253" s="292" t="s">
        <v>15299</v>
      </c>
      <c r="D1253" s="304"/>
      <c r="E1253" s="304">
        <v>18000</v>
      </c>
      <c r="F1253" s="48">
        <f t="shared" si="34"/>
        <v>359404</v>
      </c>
      <c r="G1253" s="397" t="s">
        <v>9567</v>
      </c>
    </row>
    <row r="1254" spans="1:7" x14ac:dyDescent="0.25">
      <c r="A1254" s="440">
        <v>45666</v>
      </c>
      <c r="B1254" s="391"/>
      <c r="C1254" s="292" t="s">
        <v>15319</v>
      </c>
      <c r="D1254" s="304">
        <v>105000</v>
      </c>
      <c r="E1254" s="304"/>
      <c r="F1254" s="48">
        <f t="shared" si="34"/>
        <v>254404</v>
      </c>
      <c r="G1254" s="397" t="s">
        <v>9567</v>
      </c>
    </row>
    <row r="1255" spans="1:7" x14ac:dyDescent="0.25">
      <c r="A1255" s="440">
        <v>45671</v>
      </c>
      <c r="B1255" s="391"/>
      <c r="C1255" s="682" t="s">
        <v>15338</v>
      </c>
      <c r="D1255" s="641">
        <v>400000</v>
      </c>
      <c r="E1255" s="304"/>
      <c r="F1255" s="48">
        <f t="shared" si="34"/>
        <v>-145596</v>
      </c>
      <c r="G1255" s="397" t="s">
        <v>9567</v>
      </c>
    </row>
    <row r="1256" spans="1:7" x14ac:dyDescent="0.25">
      <c r="A1256" s="440">
        <v>45672</v>
      </c>
      <c r="B1256" s="391"/>
      <c r="C1256" s="292" t="s">
        <v>15342</v>
      </c>
      <c r="D1256" s="304">
        <v>63000</v>
      </c>
      <c r="E1256" s="304"/>
      <c r="F1256" s="48">
        <f t="shared" si="34"/>
        <v>-208596</v>
      </c>
      <c r="G1256" s="397" t="s">
        <v>9567</v>
      </c>
    </row>
    <row r="1257" spans="1:7" x14ac:dyDescent="0.25">
      <c r="A1257" s="440">
        <v>45679</v>
      </c>
      <c r="B1257" s="391"/>
      <c r="C1257" s="292" t="s">
        <v>15401</v>
      </c>
      <c r="D1257" s="304"/>
      <c r="E1257" s="304">
        <v>3600000</v>
      </c>
      <c r="F1257" s="48">
        <f t="shared" si="34"/>
        <v>3391404</v>
      </c>
      <c r="G1257" s="397" t="s">
        <v>9567</v>
      </c>
    </row>
    <row r="1258" spans="1:7" x14ac:dyDescent="0.25">
      <c r="A1258" s="440">
        <v>45679</v>
      </c>
      <c r="B1258" s="391"/>
      <c r="C1258" s="292" t="s">
        <v>15402</v>
      </c>
      <c r="D1258" s="304">
        <v>2000000</v>
      </c>
      <c r="E1258" s="304"/>
      <c r="F1258" s="48">
        <f t="shared" si="34"/>
        <v>1391404</v>
      </c>
      <c r="G1258" s="397" t="s">
        <v>9567</v>
      </c>
    </row>
    <row r="1259" spans="1:7" x14ac:dyDescent="0.25">
      <c r="A1259" s="440">
        <v>45686</v>
      </c>
      <c r="B1259" s="391"/>
      <c r="C1259" s="292" t="s">
        <v>15444</v>
      </c>
      <c r="D1259" s="304"/>
      <c r="E1259" s="304">
        <v>125000</v>
      </c>
      <c r="F1259" s="48">
        <f t="shared" si="34"/>
        <v>1516404</v>
      </c>
      <c r="G1259" s="397" t="s">
        <v>9567</v>
      </c>
    </row>
    <row r="1260" spans="1:7" x14ac:dyDescent="0.25">
      <c r="A1260" s="440">
        <v>45690</v>
      </c>
      <c r="B1260" s="391"/>
      <c r="C1260" s="292" t="s">
        <v>15456</v>
      </c>
      <c r="D1260" s="304">
        <v>30000</v>
      </c>
      <c r="E1260" s="304"/>
      <c r="F1260" s="48">
        <f t="shared" si="34"/>
        <v>1486404</v>
      </c>
      <c r="G1260" s="397" t="s">
        <v>9567</v>
      </c>
    </row>
    <row r="1261" spans="1:7" x14ac:dyDescent="0.25">
      <c r="A1261" s="440">
        <v>45692</v>
      </c>
      <c r="B1261" s="391"/>
      <c r="C1261" s="306" t="s">
        <v>15472</v>
      </c>
      <c r="D1261" s="437">
        <v>105000</v>
      </c>
      <c r="E1261" s="304"/>
      <c r="F1261" s="48">
        <f t="shared" si="34"/>
        <v>1381404</v>
      </c>
      <c r="G1261" s="397" t="s">
        <v>9567</v>
      </c>
    </row>
    <row r="1262" spans="1:7" x14ac:dyDescent="0.25">
      <c r="A1262" s="440">
        <v>45692</v>
      </c>
      <c r="B1262" s="391"/>
      <c r="C1262" s="292" t="s">
        <v>15470</v>
      </c>
      <c r="D1262" s="304">
        <v>85000</v>
      </c>
      <c r="E1262" s="304"/>
      <c r="F1262" s="48">
        <f t="shared" si="34"/>
        <v>1296404</v>
      </c>
      <c r="G1262" s="397" t="s">
        <v>9567</v>
      </c>
    </row>
    <row r="1263" spans="1:7" x14ac:dyDescent="0.25">
      <c r="A1263" s="440">
        <v>45692</v>
      </c>
      <c r="B1263" s="391"/>
      <c r="C1263" s="292" t="s">
        <v>15471</v>
      </c>
      <c r="D1263" s="304">
        <v>20000</v>
      </c>
      <c r="E1263" s="304"/>
      <c r="F1263" s="48">
        <f t="shared" si="34"/>
        <v>1276404</v>
      </c>
      <c r="G1263" s="397" t="s">
        <v>9567</v>
      </c>
    </row>
    <row r="1264" spans="1:7" ht="30" x14ac:dyDescent="0.25">
      <c r="A1264" s="440">
        <v>45694</v>
      </c>
      <c r="B1264" s="391"/>
      <c r="C1264" s="303" t="s">
        <v>15485</v>
      </c>
      <c r="D1264" s="304">
        <v>420000</v>
      </c>
      <c r="E1264" s="304"/>
      <c r="F1264" s="48">
        <f t="shared" si="34"/>
        <v>856404</v>
      </c>
      <c r="G1264" s="397" t="s">
        <v>9567</v>
      </c>
    </row>
    <row r="1265" spans="1:7" x14ac:dyDescent="0.25">
      <c r="A1265" s="440">
        <v>45694</v>
      </c>
      <c r="B1265" s="391"/>
      <c r="C1265" s="303" t="s">
        <v>15486</v>
      </c>
      <c r="D1265" s="304">
        <v>550000</v>
      </c>
      <c r="E1265" s="304"/>
      <c r="F1265" s="48">
        <f t="shared" si="34"/>
        <v>306404</v>
      </c>
      <c r="G1265" s="397" t="s">
        <v>9567</v>
      </c>
    </row>
    <row r="1266" spans="1:7" x14ac:dyDescent="0.25">
      <c r="A1266" s="440">
        <v>45696</v>
      </c>
      <c r="B1266" s="391"/>
      <c r="C1266" s="303" t="s">
        <v>15505</v>
      </c>
      <c r="D1266" s="304">
        <v>100000</v>
      </c>
      <c r="E1266" s="304"/>
      <c r="F1266" s="48">
        <f t="shared" si="34"/>
        <v>206404</v>
      </c>
      <c r="G1266" s="397" t="s">
        <v>9567</v>
      </c>
    </row>
    <row r="1267" spans="1:7" x14ac:dyDescent="0.25">
      <c r="A1267" s="440">
        <v>45697</v>
      </c>
      <c r="B1267" s="391"/>
      <c r="C1267" s="292" t="s">
        <v>15504</v>
      </c>
      <c r="D1267" s="304">
        <v>69000</v>
      </c>
      <c r="E1267" s="304"/>
      <c r="F1267" s="48">
        <f t="shared" si="34"/>
        <v>137404</v>
      </c>
      <c r="G1267" s="397" t="s">
        <v>9567</v>
      </c>
    </row>
    <row r="1268" spans="1:7" x14ac:dyDescent="0.25">
      <c r="A1268" s="440">
        <v>45698</v>
      </c>
      <c r="B1268" s="391"/>
      <c r="C1268" s="292" t="s">
        <v>15506</v>
      </c>
      <c r="D1268" s="304">
        <v>500000</v>
      </c>
      <c r="E1268" s="304"/>
      <c r="F1268" s="48">
        <f t="shared" si="34"/>
        <v>-362596</v>
      </c>
      <c r="G1268" s="397" t="s">
        <v>9567</v>
      </c>
    </row>
    <row r="1269" spans="1:7" x14ac:dyDescent="0.25">
      <c r="A1269" s="440">
        <v>45699</v>
      </c>
      <c r="B1269" s="391"/>
      <c r="C1269" s="292" t="s">
        <v>15507</v>
      </c>
      <c r="D1269" s="304">
        <v>496500</v>
      </c>
      <c r="E1269" s="304"/>
      <c r="F1269" s="48">
        <f t="shared" si="34"/>
        <v>-859096</v>
      </c>
      <c r="G1269" s="397" t="s">
        <v>9567</v>
      </c>
    </row>
    <row r="1270" spans="1:7" ht="30" x14ac:dyDescent="0.25">
      <c r="A1270" s="440">
        <v>45699</v>
      </c>
      <c r="B1270" s="391"/>
      <c r="C1270" s="303" t="s">
        <v>15508</v>
      </c>
      <c r="D1270" s="304">
        <v>300000</v>
      </c>
      <c r="E1270" s="304"/>
      <c r="F1270" s="48">
        <f t="shared" si="34"/>
        <v>-1159096</v>
      </c>
      <c r="G1270" s="397" t="s">
        <v>9567</v>
      </c>
    </row>
    <row r="1271" spans="1:7" x14ac:dyDescent="0.25">
      <c r="A1271" s="440">
        <v>45700</v>
      </c>
      <c r="B1271" s="391"/>
      <c r="C1271" s="303" t="s">
        <v>15511</v>
      </c>
      <c r="D1271" s="304">
        <v>25000</v>
      </c>
      <c r="E1271" s="304"/>
      <c r="F1271" s="48">
        <f t="shared" si="34"/>
        <v>-1184096</v>
      </c>
      <c r="G1271" s="397" t="s">
        <v>9567</v>
      </c>
    </row>
    <row r="1272" spans="1:7" ht="30" x14ac:dyDescent="0.25">
      <c r="A1272" s="440">
        <v>45700</v>
      </c>
      <c r="B1272" s="391"/>
      <c r="C1272" s="303" t="s">
        <v>15512</v>
      </c>
      <c r="D1272" s="304">
        <v>500000</v>
      </c>
      <c r="E1272" s="304"/>
      <c r="F1272" s="48">
        <f t="shared" si="34"/>
        <v>-1684096</v>
      </c>
      <c r="G1272" s="397" t="s">
        <v>9567</v>
      </c>
    </row>
    <row r="1273" spans="1:7" x14ac:dyDescent="0.25">
      <c r="A1273" s="440">
        <v>45700</v>
      </c>
      <c r="B1273" s="391"/>
      <c r="C1273" s="303" t="s">
        <v>15511</v>
      </c>
      <c r="D1273" s="304">
        <v>60000</v>
      </c>
      <c r="E1273" s="304"/>
      <c r="F1273" s="48">
        <f t="shared" si="34"/>
        <v>-1744096</v>
      </c>
      <c r="G1273" s="397" t="s">
        <v>9567</v>
      </c>
    </row>
    <row r="1274" spans="1:7" x14ac:dyDescent="0.25">
      <c r="A1274" s="440">
        <v>45701</v>
      </c>
      <c r="B1274" s="391"/>
      <c r="C1274" s="303" t="s">
        <v>15513</v>
      </c>
      <c r="D1274" s="304">
        <v>100000</v>
      </c>
      <c r="E1274" s="304"/>
      <c r="F1274" s="48">
        <f t="shared" si="34"/>
        <v>-1844096</v>
      </c>
      <c r="G1274" s="397" t="s">
        <v>9567</v>
      </c>
    </row>
    <row r="1275" spans="1:7" ht="30" x14ac:dyDescent="0.25">
      <c r="A1275" s="440">
        <v>45701</v>
      </c>
      <c r="B1275" s="391"/>
      <c r="C1275" s="303" t="s">
        <v>15517</v>
      </c>
      <c r="D1275" s="304">
        <v>50000</v>
      </c>
      <c r="E1275" s="304"/>
      <c r="F1275" s="48">
        <f t="shared" si="34"/>
        <v>-1894096</v>
      </c>
      <c r="G1275" s="397" t="s">
        <v>9567</v>
      </c>
    </row>
    <row r="1276" spans="1:7" ht="30" x14ac:dyDescent="0.25">
      <c r="A1276" s="440">
        <v>45701</v>
      </c>
      <c r="B1276" s="391"/>
      <c r="C1276" s="303" t="s">
        <v>15525</v>
      </c>
      <c r="D1276" s="304"/>
      <c r="E1276" s="304">
        <v>400000</v>
      </c>
      <c r="F1276" s="48">
        <f t="shared" si="34"/>
        <v>-1494096</v>
      </c>
      <c r="G1276" s="397" t="s">
        <v>9567</v>
      </c>
    </row>
    <row r="1277" spans="1:7" ht="30" x14ac:dyDescent="0.25">
      <c r="A1277" s="440">
        <v>45701</v>
      </c>
      <c r="B1277" s="391"/>
      <c r="C1277" s="303" t="s">
        <v>15525</v>
      </c>
      <c r="D1277" s="304"/>
      <c r="E1277" s="304">
        <v>500000</v>
      </c>
      <c r="F1277" s="48">
        <f t="shared" si="34"/>
        <v>-994096</v>
      </c>
      <c r="G1277" s="397" t="s">
        <v>9567</v>
      </c>
    </row>
    <row r="1278" spans="1:7" ht="30" x14ac:dyDescent="0.25">
      <c r="A1278" s="440">
        <v>45701</v>
      </c>
      <c r="B1278" s="391"/>
      <c r="C1278" s="303" t="s">
        <v>15525</v>
      </c>
      <c r="D1278" s="304"/>
      <c r="E1278" s="304">
        <v>500000</v>
      </c>
      <c r="F1278" s="48">
        <f t="shared" si="34"/>
        <v>-494096</v>
      </c>
      <c r="G1278" s="397" t="s">
        <v>9567</v>
      </c>
    </row>
    <row r="1279" spans="1:7" ht="30" x14ac:dyDescent="0.25">
      <c r="A1279" s="440">
        <v>45701</v>
      </c>
      <c r="B1279" s="391"/>
      <c r="C1279" s="303" t="s">
        <v>15525</v>
      </c>
      <c r="D1279" s="304"/>
      <c r="E1279" s="304">
        <v>350000</v>
      </c>
      <c r="F1279" s="48">
        <f t="shared" si="34"/>
        <v>-144096</v>
      </c>
      <c r="G1279" s="397" t="s">
        <v>9567</v>
      </c>
    </row>
    <row r="1280" spans="1:7" ht="30" x14ac:dyDescent="0.25">
      <c r="A1280" s="440">
        <v>45701</v>
      </c>
      <c r="B1280" s="391"/>
      <c r="C1280" s="303" t="s">
        <v>15525</v>
      </c>
      <c r="D1280" s="304"/>
      <c r="E1280" s="304">
        <v>300000</v>
      </c>
      <c r="F1280" s="48">
        <f t="shared" si="34"/>
        <v>155904</v>
      </c>
      <c r="G1280" s="397" t="s">
        <v>9567</v>
      </c>
    </row>
    <row r="1281" spans="1:10" ht="30" x14ac:dyDescent="0.25">
      <c r="A1281" s="440">
        <v>45701</v>
      </c>
      <c r="B1281" s="391"/>
      <c r="C1281" s="303" t="s">
        <v>15525</v>
      </c>
      <c r="D1281" s="304"/>
      <c r="E1281" s="304">
        <v>650000</v>
      </c>
      <c r="F1281" s="48">
        <f t="shared" si="34"/>
        <v>805904</v>
      </c>
      <c r="G1281" s="397" t="s">
        <v>9567</v>
      </c>
    </row>
    <row r="1282" spans="1:10" x14ac:dyDescent="0.25">
      <c r="A1282" s="440">
        <v>45702</v>
      </c>
      <c r="B1282" s="391"/>
      <c r="C1282" s="303" t="s">
        <v>15504</v>
      </c>
      <c r="D1282" s="304">
        <v>100000</v>
      </c>
      <c r="E1282" s="304"/>
      <c r="F1282" s="48">
        <f t="shared" si="34"/>
        <v>705904</v>
      </c>
      <c r="G1282" s="397" t="s">
        <v>9567</v>
      </c>
    </row>
    <row r="1283" spans="1:10" x14ac:dyDescent="0.25">
      <c r="A1283" s="440">
        <v>45702</v>
      </c>
      <c r="B1283" s="391"/>
      <c r="C1283" s="303" t="s">
        <v>15529</v>
      </c>
      <c r="D1283" s="304">
        <v>100000</v>
      </c>
      <c r="E1283" s="304"/>
      <c r="F1283" s="48">
        <f t="shared" si="34"/>
        <v>605904</v>
      </c>
      <c r="G1283" s="397" t="s">
        <v>9567</v>
      </c>
    </row>
    <row r="1284" spans="1:10" x14ac:dyDescent="0.25">
      <c r="A1284" s="440">
        <v>45702</v>
      </c>
      <c r="B1284" s="391"/>
      <c r="C1284" s="303" t="s">
        <v>15530</v>
      </c>
      <c r="D1284" s="304">
        <v>100000</v>
      </c>
      <c r="E1284" s="304"/>
      <c r="F1284" s="48">
        <f t="shared" si="34"/>
        <v>505904</v>
      </c>
      <c r="G1284" s="397" t="s">
        <v>9567</v>
      </c>
    </row>
    <row r="1285" spans="1:10" x14ac:dyDescent="0.25">
      <c r="A1285" s="440">
        <v>45703</v>
      </c>
      <c r="B1285" s="391"/>
      <c r="C1285" s="303" t="s">
        <v>15531</v>
      </c>
      <c r="D1285" s="304">
        <v>150000</v>
      </c>
      <c r="E1285" s="304"/>
      <c r="F1285" s="48">
        <f t="shared" si="34"/>
        <v>355904</v>
      </c>
      <c r="G1285" s="397" t="s">
        <v>9567</v>
      </c>
    </row>
    <row r="1286" spans="1:10" ht="30" x14ac:dyDescent="0.25">
      <c r="A1286" s="440">
        <v>45703</v>
      </c>
      <c r="B1286" s="391"/>
      <c r="C1286" s="303" t="s">
        <v>15539</v>
      </c>
      <c r="D1286" s="304">
        <v>110000</v>
      </c>
      <c r="E1286" s="304"/>
      <c r="F1286" s="48">
        <f t="shared" si="34"/>
        <v>245904</v>
      </c>
      <c r="G1286" s="397" t="s">
        <v>9567</v>
      </c>
    </row>
    <row r="1287" spans="1:10" x14ac:dyDescent="0.25">
      <c r="A1287" s="440">
        <v>45705</v>
      </c>
      <c r="B1287" s="391"/>
      <c r="C1287" s="303" t="s">
        <v>15531</v>
      </c>
      <c r="D1287" s="304">
        <v>285000</v>
      </c>
      <c r="E1287" s="304"/>
      <c r="F1287" s="48">
        <f t="shared" si="34"/>
        <v>-39096</v>
      </c>
      <c r="G1287" s="397" t="s">
        <v>9567</v>
      </c>
    </row>
    <row r="1288" spans="1:10" x14ac:dyDescent="0.25">
      <c r="A1288" s="440">
        <v>45715</v>
      </c>
      <c r="B1288" s="391"/>
      <c r="C1288" s="303" t="s">
        <v>15531</v>
      </c>
      <c r="D1288" s="304">
        <v>200000</v>
      </c>
      <c r="E1288" s="304"/>
      <c r="F1288" s="48">
        <f t="shared" si="34"/>
        <v>-239096</v>
      </c>
      <c r="G1288" s="397" t="s">
        <v>9567</v>
      </c>
    </row>
    <row r="1289" spans="1:10" x14ac:dyDescent="0.25">
      <c r="A1289" s="440">
        <v>45720</v>
      </c>
      <c r="B1289" s="391"/>
      <c r="C1289" s="303" t="s">
        <v>15667</v>
      </c>
      <c r="D1289" s="304">
        <v>1000000</v>
      </c>
      <c r="E1289" s="304"/>
      <c r="F1289" s="48">
        <f t="shared" si="34"/>
        <v>-1239096</v>
      </c>
      <c r="G1289" s="397" t="s">
        <v>9567</v>
      </c>
    </row>
    <row r="1290" spans="1:10" x14ac:dyDescent="0.25">
      <c r="A1290" s="440">
        <v>45723</v>
      </c>
      <c r="B1290" s="391"/>
      <c r="C1290" s="303" t="s">
        <v>15667</v>
      </c>
      <c r="D1290" s="304">
        <v>500000</v>
      </c>
      <c r="E1290" s="304"/>
      <c r="F1290" s="48">
        <f t="shared" si="34"/>
        <v>-1739096</v>
      </c>
      <c r="G1290" s="397" t="s">
        <v>9567</v>
      </c>
    </row>
    <row r="1291" spans="1:10" x14ac:dyDescent="0.25">
      <c r="A1291" s="440">
        <v>45723</v>
      </c>
      <c r="B1291" s="391"/>
      <c r="C1291" s="292" t="s">
        <v>15672</v>
      </c>
      <c r="D1291" s="304">
        <v>150000</v>
      </c>
      <c r="E1291" s="304"/>
      <c r="F1291" s="48">
        <f t="shared" si="34"/>
        <v>-1889096</v>
      </c>
      <c r="G1291" s="397" t="s">
        <v>9567</v>
      </c>
    </row>
    <row r="1292" spans="1:10" ht="30" x14ac:dyDescent="0.25">
      <c r="A1292" s="440">
        <v>45723</v>
      </c>
      <c r="B1292" s="391"/>
      <c r="C1292" s="303" t="s">
        <v>15678</v>
      </c>
      <c r="D1292" s="304">
        <v>50000</v>
      </c>
      <c r="E1292" s="304"/>
      <c r="F1292" s="48">
        <f t="shared" si="34"/>
        <v>-1939096</v>
      </c>
      <c r="G1292" s="397" t="s">
        <v>9567</v>
      </c>
    </row>
    <row r="1293" spans="1:10" x14ac:dyDescent="0.25">
      <c r="A1293" s="440">
        <v>45723</v>
      </c>
      <c r="B1293" s="391"/>
      <c r="C1293" s="303" t="s">
        <v>15679</v>
      </c>
      <c r="D1293" s="304">
        <v>250000</v>
      </c>
      <c r="E1293" s="304"/>
      <c r="F1293" s="48">
        <f t="shared" si="34"/>
        <v>-2189096</v>
      </c>
      <c r="G1293" s="397" t="s">
        <v>9567</v>
      </c>
      <c r="J1293" s="2"/>
    </row>
    <row r="1294" spans="1:10" ht="30" x14ac:dyDescent="0.25">
      <c r="A1294" s="440">
        <v>45723</v>
      </c>
      <c r="B1294" s="391"/>
      <c r="C1294" s="303" t="s">
        <v>15684</v>
      </c>
      <c r="D1294" s="304">
        <v>54900</v>
      </c>
      <c r="E1294" s="304"/>
      <c r="F1294" s="48">
        <f t="shared" si="34"/>
        <v>-2243996</v>
      </c>
      <c r="G1294" s="397" t="s">
        <v>9567</v>
      </c>
      <c r="J1294" s="2"/>
    </row>
    <row r="1295" spans="1:10" x14ac:dyDescent="0.25">
      <c r="A1295" s="440">
        <v>45723</v>
      </c>
      <c r="B1295" s="391"/>
      <c r="C1295" s="306" t="s">
        <v>15688</v>
      </c>
      <c r="D1295" s="437">
        <v>105000</v>
      </c>
      <c r="E1295" s="304"/>
      <c r="F1295" s="48">
        <f t="shared" si="34"/>
        <v>-2348996</v>
      </c>
      <c r="G1295" s="397" t="s">
        <v>9567</v>
      </c>
      <c r="J1295" s="2"/>
    </row>
    <row r="1296" spans="1:10" x14ac:dyDescent="0.25">
      <c r="A1296" s="440">
        <v>45723</v>
      </c>
      <c r="B1296" s="391"/>
      <c r="C1296" s="292" t="s">
        <v>15689</v>
      </c>
      <c r="D1296" s="304">
        <v>85000</v>
      </c>
      <c r="E1296" s="304"/>
      <c r="F1296" s="48">
        <f t="shared" si="34"/>
        <v>-2433996</v>
      </c>
      <c r="G1296" s="397" t="s">
        <v>9567</v>
      </c>
      <c r="J1296" s="2"/>
    </row>
    <row r="1297" spans="1:10" x14ac:dyDescent="0.25">
      <c r="A1297" s="440">
        <v>45723</v>
      </c>
      <c r="B1297" s="391"/>
      <c r="C1297" s="292" t="s">
        <v>15690</v>
      </c>
      <c r="D1297" s="304">
        <v>20000</v>
      </c>
      <c r="E1297" s="304"/>
      <c r="F1297" s="48">
        <f t="shared" si="34"/>
        <v>-2453996</v>
      </c>
      <c r="G1297" s="397" t="s">
        <v>9567</v>
      </c>
      <c r="J1297" s="2"/>
    </row>
    <row r="1298" spans="1:10" ht="30" x14ac:dyDescent="0.25">
      <c r="A1298" s="440">
        <v>45724</v>
      </c>
      <c r="B1298" s="391"/>
      <c r="C1298" s="303" t="s">
        <v>15694</v>
      </c>
      <c r="D1298" s="304">
        <v>17000</v>
      </c>
      <c r="E1298" s="304"/>
      <c r="F1298" s="48">
        <f t="shared" si="34"/>
        <v>-2470996</v>
      </c>
      <c r="G1298" s="397" t="s">
        <v>9567</v>
      </c>
      <c r="I1298" s="292" t="s">
        <v>15680</v>
      </c>
      <c r="J1298" s="302">
        <v>8388361</v>
      </c>
    </row>
    <row r="1299" spans="1:10" x14ac:dyDescent="0.25">
      <c r="A1299" s="440">
        <v>45725</v>
      </c>
      <c r="B1299" s="391"/>
      <c r="C1299" s="303" t="s">
        <v>15695</v>
      </c>
      <c r="D1299" s="304">
        <v>500000</v>
      </c>
      <c r="E1299" s="304"/>
      <c r="F1299" s="48">
        <f t="shared" si="34"/>
        <v>-2970996</v>
      </c>
      <c r="G1299" s="397" t="s">
        <v>9567</v>
      </c>
      <c r="I1299" s="292"/>
      <c r="J1299" s="302"/>
    </row>
    <row r="1300" spans="1:10" ht="30" x14ac:dyDescent="0.25">
      <c r="A1300" s="440">
        <v>45726</v>
      </c>
      <c r="B1300" s="391"/>
      <c r="C1300" s="303" t="s">
        <v>15696</v>
      </c>
      <c r="D1300" s="304">
        <v>500000</v>
      </c>
      <c r="E1300" s="304"/>
      <c r="F1300" s="48">
        <f t="shared" si="34"/>
        <v>-3470996</v>
      </c>
      <c r="G1300" s="397" t="s">
        <v>9567</v>
      </c>
      <c r="I1300" s="292" t="s">
        <v>15681</v>
      </c>
      <c r="J1300" s="302">
        <f>J1298*9%</f>
        <v>754952.49</v>
      </c>
    </row>
    <row r="1301" spans="1:10" ht="30" x14ac:dyDescent="0.25">
      <c r="A1301" s="440">
        <v>45726</v>
      </c>
      <c r="B1301" s="391"/>
      <c r="C1301" s="303" t="s">
        <v>15697</v>
      </c>
      <c r="D1301" s="304">
        <v>49000</v>
      </c>
      <c r="E1301" s="304"/>
      <c r="F1301" s="48">
        <f t="shared" si="34"/>
        <v>-3519996</v>
      </c>
      <c r="G1301" s="397" t="s">
        <v>9567</v>
      </c>
      <c r="I1301" s="292"/>
      <c r="J1301" s="302"/>
    </row>
    <row r="1302" spans="1:10" x14ac:dyDescent="0.25">
      <c r="A1302" s="440">
        <v>45726</v>
      </c>
      <c r="B1302" s="391"/>
      <c r="C1302" s="303" t="s">
        <v>15698</v>
      </c>
      <c r="D1302" s="304">
        <v>169421</v>
      </c>
      <c r="E1302" s="304"/>
      <c r="F1302" s="48">
        <f t="shared" si="34"/>
        <v>-3689417</v>
      </c>
      <c r="G1302" s="397" t="s">
        <v>9567</v>
      </c>
      <c r="I1302" s="292" t="s">
        <v>3990</v>
      </c>
      <c r="J1302" s="302">
        <f>J1298-J1300</f>
        <v>7633408.5099999998</v>
      </c>
    </row>
    <row r="1303" spans="1:10" x14ac:dyDescent="0.25">
      <c r="A1303" s="440">
        <v>45727</v>
      </c>
      <c r="B1303" s="391"/>
      <c r="C1303" s="303" t="s">
        <v>15710</v>
      </c>
      <c r="D1303" s="304">
        <v>580000</v>
      </c>
      <c r="E1303" s="304"/>
      <c r="F1303" s="48">
        <f t="shared" si="34"/>
        <v>-4269417</v>
      </c>
      <c r="G1303" s="397" t="s">
        <v>9567</v>
      </c>
      <c r="J1303" s="2"/>
    </row>
    <row r="1304" spans="1:10" x14ac:dyDescent="0.25">
      <c r="A1304" s="440">
        <v>45727</v>
      </c>
      <c r="B1304" s="391"/>
      <c r="C1304" s="303" t="s">
        <v>15667</v>
      </c>
      <c r="D1304" s="304">
        <v>500000</v>
      </c>
      <c r="E1304" s="304"/>
      <c r="F1304" s="48">
        <f t="shared" si="34"/>
        <v>-4769417</v>
      </c>
      <c r="G1304" s="397" t="s">
        <v>9567</v>
      </c>
    </row>
    <row r="1305" spans="1:10" x14ac:dyDescent="0.25">
      <c r="A1305" s="440">
        <v>45728</v>
      </c>
      <c r="B1305" s="391"/>
      <c r="C1305" s="303" t="s">
        <v>15716</v>
      </c>
      <c r="D1305" s="304">
        <v>150000</v>
      </c>
      <c r="E1305" s="304"/>
      <c r="F1305" s="48">
        <f t="shared" si="34"/>
        <v>-4919417</v>
      </c>
      <c r="G1305" s="397" t="s">
        <v>9567</v>
      </c>
    </row>
    <row r="1306" spans="1:10" ht="30" x14ac:dyDescent="0.25">
      <c r="A1306" s="440">
        <v>45728</v>
      </c>
      <c r="B1306" s="391"/>
      <c r="C1306" s="303" t="s">
        <v>15718</v>
      </c>
      <c r="D1306" s="304">
        <v>49000</v>
      </c>
      <c r="E1306" s="304"/>
      <c r="F1306" s="48">
        <f t="shared" si="34"/>
        <v>-4968417</v>
      </c>
      <c r="G1306" s="397" t="s">
        <v>9567</v>
      </c>
    </row>
    <row r="1307" spans="1:10" ht="30" x14ac:dyDescent="0.25">
      <c r="A1307" s="440">
        <v>45729</v>
      </c>
      <c r="B1307" s="391"/>
      <c r="C1307" s="303" t="s">
        <v>15721</v>
      </c>
      <c r="D1307" s="304">
        <v>40000</v>
      </c>
      <c r="E1307" s="304"/>
      <c r="F1307" s="48">
        <f t="shared" si="34"/>
        <v>-5008417</v>
      </c>
      <c r="G1307" s="397" t="s">
        <v>9567</v>
      </c>
    </row>
    <row r="1308" spans="1:10" x14ac:dyDescent="0.25">
      <c r="A1308" s="440">
        <v>45729</v>
      </c>
      <c r="B1308" s="391"/>
      <c r="C1308" s="292" t="s">
        <v>15723</v>
      </c>
      <c r="D1308" s="304"/>
      <c r="E1308" s="304">
        <v>990000</v>
      </c>
      <c r="F1308" s="48">
        <f t="shared" si="34"/>
        <v>-4018417</v>
      </c>
      <c r="G1308" s="397" t="s">
        <v>9567</v>
      </c>
    </row>
    <row r="1309" spans="1:10" x14ac:dyDescent="0.25">
      <c r="A1309" s="440">
        <v>45729</v>
      </c>
      <c r="B1309" s="391"/>
      <c r="C1309" s="292" t="s">
        <v>15723</v>
      </c>
      <c r="D1309" s="304"/>
      <c r="E1309" s="304">
        <v>910000</v>
      </c>
      <c r="F1309" s="48">
        <f t="shared" si="34"/>
        <v>-3108417</v>
      </c>
      <c r="G1309" s="397" t="s">
        <v>9567</v>
      </c>
    </row>
    <row r="1310" spans="1:10" x14ac:dyDescent="0.25">
      <c r="A1310" s="440">
        <v>45729</v>
      </c>
      <c r="B1310" s="391"/>
      <c r="C1310" s="292" t="s">
        <v>15723</v>
      </c>
      <c r="D1310" s="304"/>
      <c r="E1310" s="304">
        <v>998000</v>
      </c>
      <c r="F1310" s="48">
        <f t="shared" si="34"/>
        <v>-2110417</v>
      </c>
      <c r="G1310" s="397" t="s">
        <v>9567</v>
      </c>
    </row>
    <row r="1311" spans="1:10" x14ac:dyDescent="0.25">
      <c r="A1311" s="440">
        <v>45729</v>
      </c>
      <c r="B1311" s="391"/>
      <c r="C1311" s="292" t="s">
        <v>15723</v>
      </c>
      <c r="D1311" s="304"/>
      <c r="E1311" s="304">
        <v>995000</v>
      </c>
      <c r="F1311" s="48">
        <f t="shared" si="34"/>
        <v>-1115417</v>
      </c>
      <c r="G1311" s="397" t="s">
        <v>9567</v>
      </c>
    </row>
    <row r="1312" spans="1:10" x14ac:dyDescent="0.25">
      <c r="A1312" s="440">
        <v>45729</v>
      </c>
      <c r="B1312" s="391"/>
      <c r="C1312" s="292" t="s">
        <v>15723</v>
      </c>
      <c r="D1312" s="304"/>
      <c r="E1312" s="304">
        <v>996000</v>
      </c>
      <c r="F1312" s="48">
        <f t="shared" si="34"/>
        <v>-119417</v>
      </c>
      <c r="G1312" s="397" t="s">
        <v>9567</v>
      </c>
    </row>
    <row r="1313" spans="1:7" ht="30" x14ac:dyDescent="0.25">
      <c r="A1313" s="440">
        <v>45730</v>
      </c>
      <c r="B1313" s="391"/>
      <c r="C1313" s="303" t="s">
        <v>15724</v>
      </c>
      <c r="D1313" s="304">
        <v>50000</v>
      </c>
      <c r="E1313" s="304"/>
      <c r="F1313" s="48">
        <f t="shared" si="34"/>
        <v>-169417</v>
      </c>
      <c r="G1313" s="397" t="s">
        <v>9567</v>
      </c>
    </row>
    <row r="1314" spans="1:7" ht="30" x14ac:dyDescent="0.25">
      <c r="A1314" s="440">
        <v>45730</v>
      </c>
      <c r="B1314" s="391"/>
      <c r="C1314" s="303" t="s">
        <v>15725</v>
      </c>
      <c r="D1314" s="304">
        <v>100000</v>
      </c>
      <c r="E1314" s="304"/>
      <c r="F1314" s="48">
        <f t="shared" si="34"/>
        <v>-269417</v>
      </c>
      <c r="G1314" s="397" t="s">
        <v>9567</v>
      </c>
    </row>
    <row r="1315" spans="1:7" x14ac:dyDescent="0.25">
      <c r="A1315" s="440">
        <v>45734</v>
      </c>
      <c r="B1315" s="391"/>
      <c r="C1315" s="303" t="s">
        <v>15741</v>
      </c>
      <c r="D1315" s="304">
        <v>100000</v>
      </c>
      <c r="E1315" s="304"/>
      <c r="F1315" s="48">
        <f t="shared" ref="F1315" si="35">F1314+E1315-D1315</f>
        <v>-369417</v>
      </c>
      <c r="G1315" s="397" t="s">
        <v>9567</v>
      </c>
    </row>
    <row r="1316" spans="1:7" x14ac:dyDescent="0.25">
      <c r="A1316" s="440">
        <v>45734</v>
      </c>
      <c r="B1316" s="391"/>
      <c r="C1316" s="303" t="s">
        <v>15742</v>
      </c>
      <c r="D1316" s="304">
        <v>150000</v>
      </c>
      <c r="E1316" s="304"/>
      <c r="F1316" s="48">
        <f t="shared" ref="F1316:F1355" si="36">F1315+E1316-D1316</f>
        <v>-519417</v>
      </c>
      <c r="G1316" s="397" t="s">
        <v>9567</v>
      </c>
    </row>
    <row r="1317" spans="1:7" x14ac:dyDescent="0.25">
      <c r="A1317" s="440">
        <v>45734</v>
      </c>
      <c r="B1317" s="391"/>
      <c r="C1317" s="303" t="s">
        <v>14918</v>
      </c>
      <c r="D1317" s="304">
        <v>150000</v>
      </c>
      <c r="E1317" s="304"/>
      <c r="F1317" s="48">
        <f t="shared" si="36"/>
        <v>-669417</v>
      </c>
      <c r="G1317" s="397" t="s">
        <v>9567</v>
      </c>
    </row>
    <row r="1318" spans="1:7" ht="30" x14ac:dyDescent="0.25">
      <c r="A1318" s="440">
        <v>45734</v>
      </c>
      <c r="B1318" s="391"/>
      <c r="C1318" s="792" t="s">
        <v>15743</v>
      </c>
      <c r="D1318" s="793">
        <v>2025000</v>
      </c>
      <c r="E1318" s="304"/>
      <c r="F1318" s="48">
        <f t="shared" si="36"/>
        <v>-2694417</v>
      </c>
      <c r="G1318" s="397" t="s">
        <v>9567</v>
      </c>
    </row>
    <row r="1319" spans="1:7" x14ac:dyDescent="0.25">
      <c r="A1319" s="440">
        <v>45734</v>
      </c>
      <c r="B1319" s="391"/>
      <c r="C1319" s="292" t="s">
        <v>15744</v>
      </c>
      <c r="D1319" s="304">
        <v>32000</v>
      </c>
      <c r="E1319" s="304"/>
      <c r="F1319" s="48">
        <f t="shared" si="36"/>
        <v>-2726417</v>
      </c>
      <c r="G1319" s="397" t="s">
        <v>9567</v>
      </c>
    </row>
    <row r="1320" spans="1:7" ht="30" x14ac:dyDescent="0.25">
      <c r="A1320" s="440">
        <v>45734</v>
      </c>
      <c r="B1320" s="391"/>
      <c r="C1320" s="303" t="s">
        <v>15725</v>
      </c>
      <c r="D1320" s="304">
        <v>100000</v>
      </c>
      <c r="E1320" s="304"/>
      <c r="F1320" s="48">
        <f t="shared" si="36"/>
        <v>-2826417</v>
      </c>
      <c r="G1320" s="397" t="s">
        <v>9567</v>
      </c>
    </row>
    <row r="1321" spans="1:7" x14ac:dyDescent="0.25">
      <c r="A1321" s="440">
        <v>45735</v>
      </c>
      <c r="B1321" s="391"/>
      <c r="C1321" s="292" t="s">
        <v>15746</v>
      </c>
      <c r="D1321" s="304"/>
      <c r="E1321" s="304">
        <v>4000000</v>
      </c>
      <c r="F1321" s="48">
        <f t="shared" si="36"/>
        <v>1173583</v>
      </c>
      <c r="G1321" s="397" t="s">
        <v>9567</v>
      </c>
    </row>
    <row r="1322" spans="1:7" x14ac:dyDescent="0.25">
      <c r="A1322" s="440">
        <v>45735</v>
      </c>
      <c r="B1322" s="391"/>
      <c r="C1322" s="797" t="s">
        <v>15748</v>
      </c>
      <c r="D1322" s="793">
        <v>3228392</v>
      </c>
      <c r="E1322" s="304"/>
      <c r="F1322" s="48">
        <f t="shared" si="36"/>
        <v>-2054809</v>
      </c>
      <c r="G1322" s="397" t="s">
        <v>9567</v>
      </c>
    </row>
    <row r="1323" spans="1:7" ht="30" x14ac:dyDescent="0.25">
      <c r="A1323" s="440">
        <v>45735</v>
      </c>
      <c r="B1323" s="391"/>
      <c r="C1323" s="303" t="s">
        <v>15761</v>
      </c>
      <c r="D1323" s="304">
        <v>100000</v>
      </c>
      <c r="E1323" s="304"/>
      <c r="F1323" s="48">
        <f t="shared" si="36"/>
        <v>-2154809</v>
      </c>
      <c r="G1323" s="397" t="s">
        <v>9567</v>
      </c>
    </row>
    <row r="1324" spans="1:7" x14ac:dyDescent="0.25">
      <c r="A1324" s="440">
        <v>45736</v>
      </c>
      <c r="B1324" s="391"/>
      <c r="C1324" s="303" t="s">
        <v>14918</v>
      </c>
      <c r="D1324" s="304">
        <v>200000</v>
      </c>
      <c r="E1324" s="304"/>
      <c r="F1324" s="48">
        <f t="shared" si="36"/>
        <v>-2354809</v>
      </c>
      <c r="G1324" s="397" t="s">
        <v>9567</v>
      </c>
    </row>
    <row r="1325" spans="1:7" x14ac:dyDescent="0.25">
      <c r="A1325" s="440">
        <v>45736</v>
      </c>
      <c r="B1325" s="391"/>
      <c r="C1325" s="802" t="s">
        <v>15781</v>
      </c>
      <c r="D1325" s="803">
        <v>740000</v>
      </c>
      <c r="E1325" s="304"/>
      <c r="F1325" s="48">
        <f t="shared" si="36"/>
        <v>-3094809</v>
      </c>
      <c r="G1325" s="397" t="s">
        <v>9567</v>
      </c>
    </row>
    <row r="1326" spans="1:7" x14ac:dyDescent="0.25">
      <c r="A1326" s="440">
        <v>45738</v>
      </c>
      <c r="B1326" s="391"/>
      <c r="C1326" s="292" t="s">
        <v>15785</v>
      </c>
      <c r="D1326" s="304">
        <v>90000</v>
      </c>
      <c r="E1326" s="304"/>
      <c r="F1326" s="48">
        <f t="shared" si="36"/>
        <v>-3184809</v>
      </c>
      <c r="G1326" s="397" t="s">
        <v>9567</v>
      </c>
    </row>
    <row r="1327" spans="1:7" x14ac:dyDescent="0.25">
      <c r="A1327" s="440">
        <v>45740</v>
      </c>
      <c r="B1327" s="391"/>
      <c r="C1327" s="303" t="s">
        <v>14918</v>
      </c>
      <c r="D1327" s="304">
        <v>100000</v>
      </c>
      <c r="E1327" s="304"/>
      <c r="F1327" s="48">
        <f t="shared" si="36"/>
        <v>-3284809</v>
      </c>
      <c r="G1327" s="397" t="s">
        <v>9567</v>
      </c>
    </row>
    <row r="1328" spans="1:7" x14ac:dyDescent="0.25">
      <c r="A1328" s="440">
        <v>45740</v>
      </c>
      <c r="B1328" s="391"/>
      <c r="C1328" s="292" t="s">
        <v>15790</v>
      </c>
      <c r="D1328" s="304">
        <v>25000</v>
      </c>
      <c r="E1328" s="304"/>
      <c r="F1328" s="48">
        <f t="shared" si="36"/>
        <v>-3309809</v>
      </c>
      <c r="G1328" s="397" t="s">
        <v>9567</v>
      </c>
    </row>
    <row r="1329" spans="1:7" x14ac:dyDescent="0.25">
      <c r="A1329" s="440">
        <v>45740</v>
      </c>
      <c r="B1329" s="391"/>
      <c r="C1329" s="292" t="s">
        <v>15792</v>
      </c>
      <c r="D1329" s="304">
        <v>200000</v>
      </c>
      <c r="E1329" s="304"/>
      <c r="F1329" s="48">
        <f t="shared" si="36"/>
        <v>-3509809</v>
      </c>
      <c r="G1329" s="397" t="s">
        <v>9567</v>
      </c>
    </row>
    <row r="1330" spans="1:7" x14ac:dyDescent="0.25">
      <c r="A1330" s="440">
        <v>45742</v>
      </c>
      <c r="B1330" s="391"/>
      <c r="C1330" s="292" t="s">
        <v>8516</v>
      </c>
      <c r="D1330" s="304">
        <v>500000</v>
      </c>
      <c r="E1330" s="304"/>
      <c r="F1330" s="48">
        <f t="shared" si="36"/>
        <v>-4009809</v>
      </c>
      <c r="G1330" s="397" t="s">
        <v>9567</v>
      </c>
    </row>
    <row r="1331" spans="1:7" x14ac:dyDescent="0.25">
      <c r="A1331" s="440">
        <v>45742</v>
      </c>
      <c r="B1331" s="391"/>
      <c r="C1331" s="292" t="s">
        <v>9224</v>
      </c>
      <c r="D1331" s="304"/>
      <c r="E1331" s="304">
        <v>400000</v>
      </c>
      <c r="F1331" s="48">
        <f t="shared" si="36"/>
        <v>-3609809</v>
      </c>
      <c r="G1331" s="397" t="s">
        <v>9567</v>
      </c>
    </row>
    <row r="1332" spans="1:7" x14ac:dyDescent="0.25">
      <c r="A1332" s="440">
        <v>45743</v>
      </c>
      <c r="B1332" s="391"/>
      <c r="C1332" s="303" t="s">
        <v>15881</v>
      </c>
      <c r="D1332" s="304"/>
      <c r="E1332" s="304">
        <v>1000000</v>
      </c>
      <c r="F1332" s="48">
        <f t="shared" si="36"/>
        <v>-2609809</v>
      </c>
      <c r="G1332" s="397" t="s">
        <v>9567</v>
      </c>
    </row>
    <row r="1333" spans="1:7" ht="30" x14ac:dyDescent="0.25">
      <c r="A1333" s="440">
        <v>45743</v>
      </c>
      <c r="B1333" s="391"/>
      <c r="C1333" s="303" t="s">
        <v>15814</v>
      </c>
      <c r="D1333" s="304">
        <v>30000</v>
      </c>
      <c r="E1333" s="304"/>
      <c r="F1333" s="48">
        <f t="shared" si="36"/>
        <v>-2639809</v>
      </c>
      <c r="G1333" s="397" t="s">
        <v>9567</v>
      </c>
    </row>
    <row r="1334" spans="1:7" ht="30" x14ac:dyDescent="0.25">
      <c r="A1334" s="440">
        <v>45743</v>
      </c>
      <c r="B1334" s="391"/>
      <c r="C1334" s="303" t="s">
        <v>15815</v>
      </c>
      <c r="D1334" s="304">
        <v>75000</v>
      </c>
      <c r="E1334" s="304"/>
      <c r="F1334" s="48">
        <f t="shared" si="36"/>
        <v>-2714809</v>
      </c>
      <c r="G1334" s="397" t="s">
        <v>9567</v>
      </c>
    </row>
    <row r="1335" spans="1:7" x14ac:dyDescent="0.25">
      <c r="A1335" s="440">
        <v>45744</v>
      </c>
      <c r="B1335" s="391"/>
      <c r="C1335" s="292" t="s">
        <v>8516</v>
      </c>
      <c r="D1335" s="304">
        <v>300000</v>
      </c>
      <c r="E1335" s="304"/>
      <c r="F1335" s="48">
        <f t="shared" si="36"/>
        <v>-3014809</v>
      </c>
      <c r="G1335" s="397" t="s">
        <v>9567</v>
      </c>
    </row>
    <row r="1336" spans="1:7" x14ac:dyDescent="0.25">
      <c r="A1336" s="440">
        <v>45744</v>
      </c>
      <c r="B1336" s="391"/>
      <c r="C1336" s="797" t="s">
        <v>15828</v>
      </c>
      <c r="D1336" s="793">
        <v>100000</v>
      </c>
      <c r="E1336" s="304"/>
      <c r="F1336" s="48">
        <f t="shared" si="36"/>
        <v>-3114809</v>
      </c>
      <c r="G1336" s="397" t="s">
        <v>9567</v>
      </c>
    </row>
    <row r="1337" spans="1:7" x14ac:dyDescent="0.25">
      <c r="A1337" s="440">
        <v>45744</v>
      </c>
      <c r="B1337" s="391"/>
      <c r="C1337" s="292" t="s">
        <v>15821</v>
      </c>
      <c r="D1337" s="304">
        <v>30000</v>
      </c>
      <c r="E1337" s="304"/>
      <c r="F1337" s="48">
        <f t="shared" si="36"/>
        <v>-3144809</v>
      </c>
      <c r="G1337" s="397" t="s">
        <v>9567</v>
      </c>
    </row>
    <row r="1338" spans="1:7" x14ac:dyDescent="0.25">
      <c r="A1338" s="440">
        <v>45744</v>
      </c>
      <c r="B1338" s="391"/>
      <c r="C1338" s="292" t="s">
        <v>15822</v>
      </c>
      <c r="D1338" s="304">
        <v>100000</v>
      </c>
      <c r="E1338" s="304"/>
      <c r="F1338" s="48">
        <f t="shared" si="36"/>
        <v>-3244809</v>
      </c>
      <c r="G1338" s="397" t="s">
        <v>9567</v>
      </c>
    </row>
    <row r="1339" spans="1:7" ht="30" x14ac:dyDescent="0.25">
      <c r="A1339" s="440">
        <v>45747</v>
      </c>
      <c r="B1339" s="391"/>
      <c r="C1339" s="303" t="s">
        <v>15833</v>
      </c>
      <c r="D1339" s="304">
        <v>100000</v>
      </c>
      <c r="E1339" s="304"/>
      <c r="F1339" s="48">
        <f t="shared" si="36"/>
        <v>-3344809</v>
      </c>
      <c r="G1339" s="397" t="s">
        <v>9567</v>
      </c>
    </row>
    <row r="1340" spans="1:7" x14ac:dyDescent="0.25">
      <c r="A1340" s="440">
        <v>45751</v>
      </c>
      <c r="B1340" s="391"/>
      <c r="C1340" s="292" t="s">
        <v>8516</v>
      </c>
      <c r="D1340" s="304">
        <v>518500</v>
      </c>
      <c r="E1340" s="304"/>
      <c r="F1340" s="48">
        <f t="shared" si="36"/>
        <v>-3863309</v>
      </c>
      <c r="G1340" s="397" t="s">
        <v>9567</v>
      </c>
    </row>
    <row r="1341" spans="1:7" x14ac:dyDescent="0.25">
      <c r="A1341" s="440">
        <v>45752</v>
      </c>
      <c r="B1341" s="391"/>
      <c r="C1341" s="292" t="s">
        <v>15837</v>
      </c>
      <c r="D1341" s="304">
        <v>41450</v>
      </c>
      <c r="E1341" s="304"/>
      <c r="F1341" s="48">
        <f t="shared" si="36"/>
        <v>-3904759</v>
      </c>
      <c r="G1341" s="397" t="s">
        <v>9567</v>
      </c>
    </row>
    <row r="1342" spans="1:7" x14ac:dyDescent="0.25">
      <c r="A1342" s="440">
        <v>45752</v>
      </c>
      <c r="B1342" s="391"/>
      <c r="C1342" s="292" t="s">
        <v>15837</v>
      </c>
      <c r="D1342" s="304">
        <v>53940</v>
      </c>
      <c r="E1342" s="304"/>
      <c r="F1342" s="48">
        <f t="shared" si="36"/>
        <v>-3958699</v>
      </c>
      <c r="G1342" s="397" t="s">
        <v>9567</v>
      </c>
    </row>
    <row r="1343" spans="1:7" x14ac:dyDescent="0.25">
      <c r="A1343" s="440">
        <v>45752</v>
      </c>
      <c r="B1343" s="391"/>
      <c r="C1343" s="306" t="s">
        <v>15838</v>
      </c>
      <c r="D1343" s="437">
        <v>105000</v>
      </c>
      <c r="E1343" s="304"/>
      <c r="F1343" s="48">
        <f t="shared" si="36"/>
        <v>-4063699</v>
      </c>
      <c r="G1343" s="397" t="s">
        <v>9567</v>
      </c>
    </row>
    <row r="1344" spans="1:7" x14ac:dyDescent="0.25">
      <c r="A1344" s="440">
        <v>45752</v>
      </c>
      <c r="B1344" s="391"/>
      <c r="C1344" s="292" t="s">
        <v>15839</v>
      </c>
      <c r="D1344" s="304">
        <v>85000</v>
      </c>
      <c r="E1344" s="304"/>
      <c r="F1344" s="48">
        <f t="shared" si="36"/>
        <v>-4148699</v>
      </c>
      <c r="G1344" s="397" t="s">
        <v>9567</v>
      </c>
    </row>
    <row r="1345" spans="1:11" x14ac:dyDescent="0.25">
      <c r="A1345" s="440">
        <v>45752</v>
      </c>
      <c r="B1345" s="391"/>
      <c r="C1345" s="292" t="s">
        <v>15840</v>
      </c>
      <c r="D1345" s="304">
        <v>20000</v>
      </c>
      <c r="E1345" s="304"/>
      <c r="F1345" s="48">
        <f t="shared" si="36"/>
        <v>-4168699</v>
      </c>
      <c r="G1345" s="397" t="s">
        <v>9567</v>
      </c>
    </row>
    <row r="1346" spans="1:11" x14ac:dyDescent="0.25">
      <c r="A1346" s="440">
        <v>45754</v>
      </c>
      <c r="B1346" s="391"/>
      <c r="C1346" s="292" t="s">
        <v>15880</v>
      </c>
      <c r="D1346" s="304"/>
      <c r="E1346" s="304">
        <v>100000</v>
      </c>
      <c r="F1346" s="48">
        <f t="shared" si="36"/>
        <v>-4068699</v>
      </c>
      <c r="G1346" s="397" t="s">
        <v>9567</v>
      </c>
    </row>
    <row r="1347" spans="1:11" x14ac:dyDescent="0.25">
      <c r="A1347" s="440">
        <v>45757</v>
      </c>
      <c r="B1347" s="391"/>
      <c r="C1347" s="292" t="s">
        <v>15872</v>
      </c>
      <c r="D1347" s="304"/>
      <c r="E1347" s="304">
        <v>4500000</v>
      </c>
      <c r="F1347" s="48">
        <f t="shared" si="36"/>
        <v>431301</v>
      </c>
      <c r="G1347" s="397" t="s">
        <v>9567</v>
      </c>
    </row>
    <row r="1348" spans="1:11" x14ac:dyDescent="0.25">
      <c r="A1348" s="840">
        <v>45759</v>
      </c>
      <c r="B1348" s="841"/>
      <c r="C1348" s="842" t="s">
        <v>15888</v>
      </c>
      <c r="D1348" s="308">
        <v>15000</v>
      </c>
      <c r="E1348" s="304"/>
      <c r="F1348" s="48">
        <f t="shared" si="36"/>
        <v>416301</v>
      </c>
      <c r="G1348" s="397" t="s">
        <v>9567</v>
      </c>
    </row>
    <row r="1349" spans="1:11" x14ac:dyDescent="0.25">
      <c r="A1349" s="840">
        <v>45759</v>
      </c>
      <c r="B1349" s="841"/>
      <c r="C1349" s="842" t="s">
        <v>15959</v>
      </c>
      <c r="D1349" s="308">
        <v>75000</v>
      </c>
      <c r="E1349" s="304"/>
      <c r="F1349" s="48">
        <f t="shared" si="36"/>
        <v>341301</v>
      </c>
      <c r="G1349" s="397" t="s">
        <v>9567</v>
      </c>
    </row>
    <row r="1350" spans="1:11" x14ac:dyDescent="0.25">
      <c r="A1350" s="840">
        <v>45761</v>
      </c>
      <c r="B1350" s="391"/>
      <c r="C1350" s="292" t="s">
        <v>8516</v>
      </c>
      <c r="D1350" s="304">
        <v>200000</v>
      </c>
      <c r="E1350" s="304"/>
      <c r="F1350" s="48">
        <f t="shared" si="36"/>
        <v>141301</v>
      </c>
      <c r="G1350" s="397" t="s">
        <v>9567</v>
      </c>
    </row>
    <row r="1351" spans="1:11" x14ac:dyDescent="0.25">
      <c r="A1351" s="840">
        <v>45761</v>
      </c>
      <c r="B1351" s="391"/>
      <c r="C1351" s="292" t="s">
        <v>15895</v>
      </c>
      <c r="D1351" s="304">
        <v>500000</v>
      </c>
      <c r="E1351" s="304"/>
      <c r="F1351" s="48">
        <f t="shared" si="36"/>
        <v>-358699</v>
      </c>
      <c r="G1351" s="397" t="s">
        <v>9567</v>
      </c>
    </row>
    <row r="1352" spans="1:11" x14ac:dyDescent="0.25">
      <c r="A1352" s="840">
        <v>45761</v>
      </c>
      <c r="B1352" s="391"/>
      <c r="C1352" s="292" t="s">
        <v>15894</v>
      </c>
      <c r="D1352" s="304">
        <v>500000</v>
      </c>
      <c r="E1352" s="304"/>
      <c r="F1352" s="48">
        <f t="shared" si="36"/>
        <v>-858699</v>
      </c>
      <c r="G1352" s="397" t="s">
        <v>9567</v>
      </c>
    </row>
    <row r="1353" spans="1:11" x14ac:dyDescent="0.25">
      <c r="A1353" s="840">
        <v>45761</v>
      </c>
      <c r="B1353" s="391"/>
      <c r="C1353" s="292" t="s">
        <v>15894</v>
      </c>
      <c r="D1353" s="304">
        <v>500000</v>
      </c>
      <c r="E1353" s="304"/>
      <c r="F1353" s="48">
        <f t="shared" si="36"/>
        <v>-1358699</v>
      </c>
      <c r="G1353" s="397" t="s">
        <v>9567</v>
      </c>
    </row>
    <row r="1354" spans="1:11" s="354" customFormat="1" ht="45" x14ac:dyDescent="0.25">
      <c r="A1354" s="840">
        <v>45766</v>
      </c>
      <c r="B1354" s="454"/>
      <c r="C1354" s="307" t="s">
        <v>15951</v>
      </c>
      <c r="D1354" s="304">
        <v>150000</v>
      </c>
      <c r="E1354" s="304"/>
      <c r="F1354" s="48">
        <f t="shared" si="36"/>
        <v>-1508699</v>
      </c>
      <c r="G1354" s="397" t="s">
        <v>9567</v>
      </c>
      <c r="K1354" s="376"/>
    </row>
    <row r="1355" spans="1:11" ht="30" x14ac:dyDescent="0.25">
      <c r="A1355" s="840">
        <v>45766</v>
      </c>
      <c r="B1355" s="391"/>
      <c r="C1355" s="307" t="s">
        <v>15955</v>
      </c>
      <c r="D1355" s="304">
        <v>150000</v>
      </c>
      <c r="E1355" s="304"/>
      <c r="F1355" s="48">
        <f t="shared" si="36"/>
        <v>-1658699</v>
      </c>
      <c r="G1355" s="397" t="s">
        <v>9567</v>
      </c>
    </row>
    <row r="1356" spans="1:11" x14ac:dyDescent="0.25">
      <c r="A1356" s="840">
        <v>45767</v>
      </c>
      <c r="B1356" s="391"/>
      <c r="C1356" s="292" t="s">
        <v>15962</v>
      </c>
      <c r="D1356" s="304">
        <v>40000</v>
      </c>
      <c r="E1356" s="304"/>
      <c r="F1356" s="48">
        <f t="shared" ref="F1356:F1420" si="37">F1355+E1356-D1356</f>
        <v>-1698699</v>
      </c>
      <c r="G1356" s="397" t="s">
        <v>9567</v>
      </c>
    </row>
    <row r="1357" spans="1:11" ht="30" x14ac:dyDescent="0.25">
      <c r="A1357" s="840">
        <v>45768</v>
      </c>
      <c r="B1357" s="391"/>
      <c r="C1357" s="303" t="s">
        <v>15964</v>
      </c>
      <c r="D1357" s="304">
        <v>85000</v>
      </c>
      <c r="E1357" s="304"/>
      <c r="F1357" s="48">
        <f t="shared" si="37"/>
        <v>-1783699</v>
      </c>
      <c r="G1357" s="397" t="s">
        <v>9567</v>
      </c>
    </row>
    <row r="1358" spans="1:11" x14ac:dyDescent="0.25">
      <c r="A1358" s="840">
        <v>45769</v>
      </c>
      <c r="B1358" s="391"/>
      <c r="C1358" s="292" t="s">
        <v>15970</v>
      </c>
      <c r="D1358" s="304">
        <v>40000</v>
      </c>
      <c r="E1358" s="304"/>
      <c r="F1358" s="48">
        <f t="shared" si="37"/>
        <v>-1823699</v>
      </c>
      <c r="G1358" s="397" t="s">
        <v>9567</v>
      </c>
    </row>
    <row r="1359" spans="1:11" x14ac:dyDescent="0.25">
      <c r="A1359" s="840">
        <v>45769</v>
      </c>
      <c r="B1359" s="391"/>
      <c r="C1359" s="292" t="s">
        <v>15979</v>
      </c>
      <c r="D1359" s="304">
        <v>110000</v>
      </c>
      <c r="E1359" s="304"/>
      <c r="F1359" s="48">
        <f t="shared" si="37"/>
        <v>-1933699</v>
      </c>
      <c r="G1359" s="397" t="s">
        <v>9567</v>
      </c>
    </row>
    <row r="1360" spans="1:11" ht="60" x14ac:dyDescent="0.25">
      <c r="A1360" s="840">
        <v>45769</v>
      </c>
      <c r="B1360" s="391"/>
      <c r="C1360" s="303" t="s">
        <v>15981</v>
      </c>
      <c r="D1360" s="304">
        <v>388050</v>
      </c>
      <c r="E1360" s="304"/>
      <c r="F1360" s="48">
        <f t="shared" si="37"/>
        <v>-2321749</v>
      </c>
      <c r="G1360" s="397" t="s">
        <v>9567</v>
      </c>
    </row>
    <row r="1361" spans="1:7" x14ac:dyDescent="0.25">
      <c r="A1361" s="840">
        <v>45770</v>
      </c>
      <c r="B1361" s="391"/>
      <c r="C1361" s="292" t="s">
        <v>15988</v>
      </c>
      <c r="D1361" s="304">
        <v>30000</v>
      </c>
      <c r="E1361" s="304"/>
      <c r="F1361" s="48">
        <f t="shared" si="37"/>
        <v>-2351749</v>
      </c>
      <c r="G1361" s="397" t="s">
        <v>9567</v>
      </c>
    </row>
    <row r="1362" spans="1:7" x14ac:dyDescent="0.25">
      <c r="A1362" s="840">
        <v>45773</v>
      </c>
      <c r="B1362" s="391"/>
      <c r="C1362" s="292" t="s">
        <v>16021</v>
      </c>
      <c r="D1362" s="304">
        <v>70000</v>
      </c>
      <c r="E1362" s="304"/>
      <c r="F1362" s="48">
        <f t="shared" si="37"/>
        <v>-2421749</v>
      </c>
      <c r="G1362" s="397" t="s">
        <v>9567</v>
      </c>
    </row>
    <row r="1363" spans="1:7" x14ac:dyDescent="0.25">
      <c r="A1363" s="840">
        <v>45773</v>
      </c>
      <c r="B1363" s="391"/>
      <c r="C1363" s="292" t="s">
        <v>16022</v>
      </c>
      <c r="D1363" s="304">
        <v>50000</v>
      </c>
      <c r="E1363" s="304"/>
      <c r="F1363" s="48">
        <f t="shared" si="37"/>
        <v>-2471749</v>
      </c>
      <c r="G1363" s="397" t="s">
        <v>9567</v>
      </c>
    </row>
    <row r="1364" spans="1:7" x14ac:dyDescent="0.25">
      <c r="A1364" s="840">
        <v>45773</v>
      </c>
      <c r="B1364" s="391"/>
      <c r="C1364" s="292" t="s">
        <v>16035</v>
      </c>
      <c r="D1364" s="304">
        <v>40000</v>
      </c>
      <c r="E1364" s="304"/>
      <c r="F1364" s="48">
        <f t="shared" si="37"/>
        <v>-2511749</v>
      </c>
      <c r="G1364" s="397" t="s">
        <v>9567</v>
      </c>
    </row>
    <row r="1365" spans="1:7" x14ac:dyDescent="0.25">
      <c r="A1365" s="840">
        <v>45775</v>
      </c>
      <c r="B1365" s="391"/>
      <c r="C1365" s="292" t="s">
        <v>16026</v>
      </c>
      <c r="D1365" s="304">
        <v>200000</v>
      </c>
      <c r="E1365" s="304"/>
      <c r="F1365" s="48">
        <f t="shared" si="37"/>
        <v>-2711749</v>
      </c>
      <c r="G1365" s="397" t="s">
        <v>9567</v>
      </c>
    </row>
    <row r="1366" spans="1:7" ht="45" x14ac:dyDescent="0.25">
      <c r="A1366" s="840">
        <v>45775</v>
      </c>
      <c r="B1366" s="391"/>
      <c r="C1366" s="303" t="s">
        <v>16029</v>
      </c>
      <c r="D1366" s="304">
        <v>500000</v>
      </c>
      <c r="E1366" s="304"/>
      <c r="F1366" s="48">
        <f t="shared" si="37"/>
        <v>-3211749</v>
      </c>
      <c r="G1366" s="397" t="s">
        <v>9567</v>
      </c>
    </row>
    <row r="1367" spans="1:7" ht="30" x14ac:dyDescent="0.25">
      <c r="A1367" s="840">
        <v>45775</v>
      </c>
      <c r="B1367" s="391"/>
      <c r="C1367" s="303" t="s">
        <v>16030</v>
      </c>
      <c r="D1367" s="304">
        <v>500000</v>
      </c>
      <c r="E1367" s="304"/>
      <c r="F1367" s="48">
        <f t="shared" si="37"/>
        <v>-3711749</v>
      </c>
      <c r="G1367" s="397" t="s">
        <v>9567</v>
      </c>
    </row>
    <row r="1368" spans="1:7" ht="45" x14ac:dyDescent="0.25">
      <c r="A1368" s="840">
        <v>45775</v>
      </c>
      <c r="B1368" s="391"/>
      <c r="C1368" s="303" t="s">
        <v>16036</v>
      </c>
      <c r="D1368" s="304">
        <v>500000</v>
      </c>
      <c r="E1368" s="304"/>
      <c r="F1368" s="48">
        <f t="shared" si="37"/>
        <v>-4211749</v>
      </c>
      <c r="G1368" s="397" t="s">
        <v>9567</v>
      </c>
    </row>
    <row r="1369" spans="1:7" ht="47.25" customHeight="1" x14ac:dyDescent="0.25">
      <c r="A1369" s="840">
        <v>45775</v>
      </c>
      <c r="B1369" s="391"/>
      <c r="C1369" s="303" t="s">
        <v>16037</v>
      </c>
      <c r="D1369" s="304">
        <v>500000</v>
      </c>
      <c r="E1369" s="304"/>
      <c r="F1369" s="48">
        <f t="shared" si="37"/>
        <v>-4711749</v>
      </c>
      <c r="G1369" s="397" t="s">
        <v>9567</v>
      </c>
    </row>
    <row r="1370" spans="1:7" ht="35.25" customHeight="1" x14ac:dyDescent="0.25">
      <c r="A1370" s="840">
        <v>45775</v>
      </c>
      <c r="B1370" s="391"/>
      <c r="C1370" s="303" t="s">
        <v>16031</v>
      </c>
      <c r="D1370" s="304">
        <v>500000</v>
      </c>
      <c r="E1370" s="304"/>
      <c r="F1370" s="48">
        <f t="shared" si="37"/>
        <v>-5211749</v>
      </c>
      <c r="G1370" s="397" t="s">
        <v>9567</v>
      </c>
    </row>
    <row r="1371" spans="1:7" ht="35.25" customHeight="1" x14ac:dyDescent="0.25">
      <c r="A1371" s="840">
        <v>45775</v>
      </c>
      <c r="B1371" s="391"/>
      <c r="C1371" s="303" t="s">
        <v>16032</v>
      </c>
      <c r="D1371" s="304">
        <v>500000</v>
      </c>
      <c r="E1371" s="304"/>
      <c r="F1371" s="48">
        <f t="shared" si="37"/>
        <v>-5711749</v>
      </c>
      <c r="G1371" s="397" t="s">
        <v>9567</v>
      </c>
    </row>
    <row r="1372" spans="1:7" ht="30" x14ac:dyDescent="0.25">
      <c r="A1372" s="840">
        <v>45776</v>
      </c>
      <c r="B1372" s="391"/>
      <c r="C1372" s="303" t="s">
        <v>16047</v>
      </c>
      <c r="D1372" s="304">
        <v>1149000</v>
      </c>
      <c r="E1372" s="304"/>
      <c r="F1372" s="48">
        <f t="shared" si="37"/>
        <v>-6860749</v>
      </c>
      <c r="G1372" s="397" t="s">
        <v>9567</v>
      </c>
    </row>
    <row r="1373" spans="1:7" ht="30" x14ac:dyDescent="0.25">
      <c r="A1373" s="840">
        <v>45778</v>
      </c>
      <c r="B1373" s="391"/>
      <c r="C1373" s="303" t="s">
        <v>16063</v>
      </c>
      <c r="D1373" s="304">
        <v>100000</v>
      </c>
      <c r="E1373" s="304"/>
      <c r="F1373" s="48">
        <f t="shared" si="37"/>
        <v>-6960749</v>
      </c>
      <c r="G1373" s="397" t="s">
        <v>9567</v>
      </c>
    </row>
    <row r="1374" spans="1:7" x14ac:dyDescent="0.25">
      <c r="A1374" s="840">
        <v>45780</v>
      </c>
      <c r="B1374" s="391"/>
      <c r="C1374" s="842" t="s">
        <v>15959</v>
      </c>
      <c r="D1374" s="308">
        <v>20000</v>
      </c>
      <c r="E1374" s="304"/>
      <c r="F1374" s="48">
        <f t="shared" si="37"/>
        <v>-6980749</v>
      </c>
      <c r="G1374" s="397" t="s">
        <v>9567</v>
      </c>
    </row>
    <row r="1375" spans="1:7" ht="30" x14ac:dyDescent="0.25">
      <c r="A1375" s="840">
        <v>45780</v>
      </c>
      <c r="B1375" s="391"/>
      <c r="C1375" s="873" t="s">
        <v>16064</v>
      </c>
      <c r="D1375" s="308">
        <v>25000</v>
      </c>
      <c r="E1375" s="304"/>
      <c r="F1375" s="48">
        <f t="shared" si="37"/>
        <v>-7005749</v>
      </c>
      <c r="G1375" s="397" t="s">
        <v>9567</v>
      </c>
    </row>
    <row r="1376" spans="1:7" x14ac:dyDescent="0.25">
      <c r="A1376" s="840">
        <v>45781</v>
      </c>
      <c r="B1376" s="391"/>
      <c r="C1376" s="292" t="s">
        <v>16066</v>
      </c>
      <c r="D1376" s="304">
        <v>40000</v>
      </c>
      <c r="E1376" s="304"/>
      <c r="F1376" s="48">
        <f t="shared" si="37"/>
        <v>-7045749</v>
      </c>
      <c r="G1376" s="397" t="s">
        <v>9567</v>
      </c>
    </row>
    <row r="1377" spans="1:11" x14ac:dyDescent="0.25">
      <c r="A1377" s="840">
        <v>45781</v>
      </c>
      <c r="B1377" s="391"/>
      <c r="C1377" s="292" t="s">
        <v>16068</v>
      </c>
      <c r="D1377" s="304">
        <v>100000</v>
      </c>
      <c r="E1377" s="304"/>
      <c r="F1377" s="48">
        <f t="shared" si="37"/>
        <v>-7145749</v>
      </c>
      <c r="G1377" s="397" t="s">
        <v>9567</v>
      </c>
    </row>
    <row r="1378" spans="1:11" x14ac:dyDescent="0.25">
      <c r="A1378" s="840">
        <v>45783</v>
      </c>
      <c r="B1378" s="391"/>
      <c r="C1378" s="292" t="s">
        <v>16083</v>
      </c>
      <c r="D1378" s="304">
        <v>213500</v>
      </c>
      <c r="E1378" s="304"/>
      <c r="F1378" s="48">
        <f t="shared" si="37"/>
        <v>-7359249</v>
      </c>
      <c r="G1378" s="397" t="s">
        <v>9567</v>
      </c>
    </row>
    <row r="1379" spans="1:11" ht="30" x14ac:dyDescent="0.25">
      <c r="A1379" s="840">
        <v>45783</v>
      </c>
      <c r="B1379" s="391"/>
      <c r="C1379" s="303" t="s">
        <v>16047</v>
      </c>
      <c r="D1379" s="304">
        <v>349000</v>
      </c>
      <c r="E1379" s="304"/>
      <c r="F1379" s="48">
        <f t="shared" si="37"/>
        <v>-7708249</v>
      </c>
      <c r="G1379" s="397" t="s">
        <v>9567</v>
      </c>
    </row>
    <row r="1380" spans="1:11" x14ac:dyDescent="0.25">
      <c r="A1380" s="840">
        <v>45783</v>
      </c>
      <c r="B1380" s="391"/>
      <c r="C1380" s="292" t="s">
        <v>16107</v>
      </c>
      <c r="D1380" s="304"/>
      <c r="E1380" s="304">
        <v>5000000</v>
      </c>
      <c r="F1380" s="48">
        <f t="shared" si="37"/>
        <v>-2708249</v>
      </c>
      <c r="G1380" s="397" t="s">
        <v>9567</v>
      </c>
    </row>
    <row r="1381" spans="1:11" x14ac:dyDescent="0.25">
      <c r="A1381" s="840">
        <v>45783</v>
      </c>
      <c r="B1381" s="391"/>
      <c r="C1381" s="292" t="s">
        <v>16107</v>
      </c>
      <c r="D1381" s="304"/>
      <c r="E1381" s="304">
        <v>5000000</v>
      </c>
      <c r="F1381" s="48">
        <f t="shared" si="37"/>
        <v>2291751</v>
      </c>
      <c r="G1381" s="397" t="s">
        <v>9567</v>
      </c>
    </row>
    <row r="1382" spans="1:11" x14ac:dyDescent="0.25">
      <c r="A1382" s="840">
        <v>45785</v>
      </c>
      <c r="B1382" s="391"/>
      <c r="C1382" s="292" t="s">
        <v>16107</v>
      </c>
      <c r="D1382" s="304"/>
      <c r="E1382" s="304">
        <v>3000000</v>
      </c>
      <c r="F1382" s="48">
        <f t="shared" si="37"/>
        <v>5291751</v>
      </c>
      <c r="G1382" s="397" t="s">
        <v>9567</v>
      </c>
    </row>
    <row r="1383" spans="1:11" x14ac:dyDescent="0.25">
      <c r="A1383" s="840">
        <v>45785</v>
      </c>
      <c r="B1383" s="391"/>
      <c r="C1383" s="292" t="s">
        <v>16125</v>
      </c>
      <c r="D1383" s="304">
        <v>1000000</v>
      </c>
      <c r="E1383" s="304"/>
      <c r="F1383" s="48">
        <f t="shared" si="37"/>
        <v>4291751</v>
      </c>
      <c r="G1383" s="397" t="s">
        <v>9567</v>
      </c>
    </row>
    <row r="1384" spans="1:11" ht="30" x14ac:dyDescent="0.25">
      <c r="A1384" s="840">
        <v>45785</v>
      </c>
      <c r="B1384" s="391"/>
      <c r="C1384" s="303" t="s">
        <v>16146</v>
      </c>
      <c r="D1384" s="304">
        <v>500000</v>
      </c>
      <c r="E1384" s="304"/>
      <c r="F1384" s="48">
        <f t="shared" si="37"/>
        <v>3791751</v>
      </c>
      <c r="G1384" s="397" t="s">
        <v>9567</v>
      </c>
    </row>
    <row r="1385" spans="1:11" ht="75" x14ac:dyDescent="0.25">
      <c r="A1385" s="840">
        <v>45785</v>
      </c>
      <c r="B1385" s="391"/>
      <c r="C1385" s="303" t="s">
        <v>16127</v>
      </c>
      <c r="D1385" s="304">
        <v>1632000</v>
      </c>
      <c r="E1385" s="304"/>
      <c r="F1385" s="48">
        <f t="shared" si="37"/>
        <v>2159751</v>
      </c>
      <c r="G1385" s="397" t="s">
        <v>9567</v>
      </c>
    </row>
    <row r="1386" spans="1:11" ht="30" x14ac:dyDescent="0.25">
      <c r="A1386" s="840">
        <v>45787</v>
      </c>
      <c r="B1386" s="391"/>
      <c r="C1386" s="303" t="s">
        <v>16066</v>
      </c>
      <c r="D1386" s="304">
        <v>45000</v>
      </c>
      <c r="E1386" s="304"/>
      <c r="F1386" s="48">
        <f t="shared" si="37"/>
        <v>2114751</v>
      </c>
      <c r="G1386" s="397" t="s">
        <v>9567</v>
      </c>
    </row>
    <row r="1387" spans="1:11" ht="30" x14ac:dyDescent="0.25">
      <c r="A1387" s="840">
        <v>45788</v>
      </c>
      <c r="B1387" s="391"/>
      <c r="C1387" s="303" t="s">
        <v>16150</v>
      </c>
      <c r="D1387" s="304">
        <v>600000</v>
      </c>
      <c r="E1387" s="304"/>
      <c r="F1387" s="48">
        <f t="shared" si="37"/>
        <v>1514751</v>
      </c>
      <c r="G1387" s="397" t="s">
        <v>9567</v>
      </c>
    </row>
    <row r="1388" spans="1:11" s="354" customFormat="1" ht="45" x14ac:dyDescent="0.25">
      <c r="A1388" s="840">
        <v>45788</v>
      </c>
      <c r="B1388" s="454"/>
      <c r="C1388" s="307" t="s">
        <v>16151</v>
      </c>
      <c r="D1388" s="304">
        <v>35000</v>
      </c>
      <c r="E1388" s="304"/>
      <c r="F1388" s="48">
        <f t="shared" si="37"/>
        <v>1479751</v>
      </c>
      <c r="G1388" s="397" t="s">
        <v>9567</v>
      </c>
      <c r="K1388" s="376"/>
    </row>
    <row r="1389" spans="1:11" ht="30" x14ac:dyDescent="0.25">
      <c r="A1389" s="840">
        <v>45789</v>
      </c>
      <c r="B1389" s="454"/>
      <c r="C1389" s="307" t="s">
        <v>16152</v>
      </c>
      <c r="D1389" s="304">
        <v>423000</v>
      </c>
      <c r="E1389" s="304"/>
      <c r="F1389" s="48">
        <f t="shared" si="37"/>
        <v>1056751</v>
      </c>
      <c r="G1389" s="397" t="s">
        <v>9567</v>
      </c>
    </row>
    <row r="1390" spans="1:11" ht="30" x14ac:dyDescent="0.25">
      <c r="A1390" s="840">
        <v>45789</v>
      </c>
      <c r="B1390" s="454"/>
      <c r="C1390" s="307" t="s">
        <v>16153</v>
      </c>
      <c r="D1390" s="304">
        <v>20000</v>
      </c>
      <c r="E1390" s="304"/>
      <c r="F1390" s="48">
        <f t="shared" si="37"/>
        <v>1036751</v>
      </c>
      <c r="G1390" s="397" t="s">
        <v>9567</v>
      </c>
    </row>
    <row r="1391" spans="1:11" ht="30" x14ac:dyDescent="0.25">
      <c r="A1391" s="840">
        <v>45790</v>
      </c>
      <c r="B1391" s="454"/>
      <c r="C1391" s="307" t="s">
        <v>16165</v>
      </c>
      <c r="D1391" s="304">
        <v>102860</v>
      </c>
      <c r="E1391" s="304"/>
      <c r="F1391" s="48">
        <f t="shared" si="37"/>
        <v>933891</v>
      </c>
      <c r="G1391" s="397" t="s">
        <v>9567</v>
      </c>
    </row>
    <row r="1392" spans="1:11" ht="30" x14ac:dyDescent="0.25">
      <c r="A1392" s="840">
        <v>45790</v>
      </c>
      <c r="B1392" s="454"/>
      <c r="C1392" s="307" t="s">
        <v>16166</v>
      </c>
      <c r="D1392" s="304">
        <v>50000</v>
      </c>
      <c r="E1392" s="304"/>
      <c r="F1392" s="48">
        <f t="shared" si="37"/>
        <v>883891</v>
      </c>
      <c r="G1392" s="397" t="s">
        <v>9567</v>
      </c>
    </row>
    <row r="1393" spans="1:7" ht="30" x14ac:dyDescent="0.25">
      <c r="A1393" s="840">
        <v>45791</v>
      </c>
      <c r="B1393" s="454"/>
      <c r="C1393" s="307" t="s">
        <v>16193</v>
      </c>
      <c r="D1393" s="304">
        <v>300000</v>
      </c>
      <c r="E1393" s="304"/>
      <c r="F1393" s="48">
        <f t="shared" si="37"/>
        <v>583891</v>
      </c>
      <c r="G1393" s="397" t="s">
        <v>9567</v>
      </c>
    </row>
    <row r="1394" spans="1:7" ht="30" x14ac:dyDescent="0.25">
      <c r="A1394" s="840">
        <v>45791</v>
      </c>
      <c r="B1394" s="454"/>
      <c r="C1394" s="307" t="s">
        <v>16242</v>
      </c>
      <c r="D1394" s="304">
        <v>50000</v>
      </c>
      <c r="E1394" s="304"/>
      <c r="F1394" s="48">
        <f t="shared" si="37"/>
        <v>533891</v>
      </c>
      <c r="G1394" s="397" t="s">
        <v>9567</v>
      </c>
    </row>
    <row r="1395" spans="1:7" ht="30" x14ac:dyDescent="0.25">
      <c r="A1395" s="840">
        <v>45792</v>
      </c>
      <c r="B1395" s="391"/>
      <c r="C1395" s="307" t="s">
        <v>16208</v>
      </c>
      <c r="D1395" s="304">
        <v>50000</v>
      </c>
      <c r="E1395" s="304"/>
      <c r="F1395" s="48">
        <f t="shared" si="37"/>
        <v>483891</v>
      </c>
      <c r="G1395" s="397" t="s">
        <v>9567</v>
      </c>
    </row>
    <row r="1396" spans="1:7" ht="45" x14ac:dyDescent="0.25">
      <c r="A1396" s="840">
        <v>45792</v>
      </c>
      <c r="B1396" s="391"/>
      <c r="C1396" s="307" t="s">
        <v>16219</v>
      </c>
      <c r="D1396" s="304">
        <v>205000</v>
      </c>
      <c r="E1396" s="304"/>
      <c r="F1396" s="48">
        <f t="shared" si="37"/>
        <v>278891</v>
      </c>
      <c r="G1396" s="397" t="s">
        <v>9567</v>
      </c>
    </row>
    <row r="1397" spans="1:7" ht="30" x14ac:dyDescent="0.25">
      <c r="A1397" s="840">
        <v>45792</v>
      </c>
      <c r="B1397" s="391"/>
      <c r="C1397" s="307" t="s">
        <v>16218</v>
      </c>
      <c r="D1397" s="304">
        <v>87000</v>
      </c>
      <c r="E1397" s="304"/>
      <c r="F1397" s="48">
        <f t="shared" si="37"/>
        <v>191891</v>
      </c>
      <c r="G1397" s="397" t="s">
        <v>9567</v>
      </c>
    </row>
    <row r="1398" spans="1:7" ht="30" x14ac:dyDescent="0.25">
      <c r="A1398" s="840">
        <v>45792</v>
      </c>
      <c r="B1398" s="391"/>
      <c r="C1398" s="307" t="s">
        <v>16221</v>
      </c>
      <c r="D1398" s="304">
        <v>200000</v>
      </c>
      <c r="E1398" s="304"/>
      <c r="F1398" s="48">
        <f t="shared" si="37"/>
        <v>-8109</v>
      </c>
      <c r="G1398" s="397" t="s">
        <v>9567</v>
      </c>
    </row>
    <row r="1399" spans="1:7" x14ac:dyDescent="0.25">
      <c r="A1399" s="840">
        <v>45794</v>
      </c>
      <c r="B1399" s="391"/>
      <c r="C1399" s="292" t="s">
        <v>16256</v>
      </c>
      <c r="D1399" s="304">
        <v>800000</v>
      </c>
      <c r="E1399" s="304"/>
      <c r="F1399" s="48">
        <f t="shared" si="37"/>
        <v>-808109</v>
      </c>
      <c r="G1399" s="397" t="s">
        <v>9567</v>
      </c>
    </row>
    <row r="1400" spans="1:7" x14ac:dyDescent="0.25">
      <c r="A1400" s="840">
        <v>45796</v>
      </c>
      <c r="B1400" s="391"/>
      <c r="C1400" s="292" t="s">
        <v>16263</v>
      </c>
      <c r="D1400" s="304">
        <v>35000</v>
      </c>
      <c r="E1400" s="304"/>
      <c r="F1400" s="48">
        <f t="shared" si="37"/>
        <v>-843109</v>
      </c>
      <c r="G1400" s="397" t="s">
        <v>9567</v>
      </c>
    </row>
    <row r="1401" spans="1:7" x14ac:dyDescent="0.25">
      <c r="A1401" s="840">
        <v>45796</v>
      </c>
      <c r="B1401" s="391"/>
      <c r="C1401" s="292" t="s">
        <v>16285</v>
      </c>
      <c r="D1401" s="304"/>
      <c r="E1401" s="304">
        <v>50000</v>
      </c>
      <c r="F1401" s="48">
        <f t="shared" si="37"/>
        <v>-793109</v>
      </c>
      <c r="G1401" s="397" t="s">
        <v>9567</v>
      </c>
    </row>
    <row r="1402" spans="1:7" x14ac:dyDescent="0.25">
      <c r="A1402" s="840">
        <v>45797</v>
      </c>
      <c r="B1402" s="391"/>
      <c r="C1402" s="292" t="s">
        <v>16286</v>
      </c>
      <c r="D1402" s="304">
        <v>300000</v>
      </c>
      <c r="E1402" s="304"/>
      <c r="F1402" s="48">
        <f t="shared" si="37"/>
        <v>-1093109</v>
      </c>
      <c r="G1402" s="397" t="s">
        <v>9567</v>
      </c>
    </row>
    <row r="1403" spans="1:7" ht="30" x14ac:dyDescent="0.25">
      <c r="A1403" s="840">
        <v>45797</v>
      </c>
      <c r="B1403" s="391"/>
      <c r="C1403" s="303" t="s">
        <v>16283</v>
      </c>
      <c r="D1403" s="304">
        <v>35000</v>
      </c>
      <c r="E1403" s="304"/>
      <c r="F1403" s="48">
        <f t="shared" si="37"/>
        <v>-1128109</v>
      </c>
      <c r="G1403" s="397" t="s">
        <v>9567</v>
      </c>
    </row>
    <row r="1404" spans="1:7" ht="30" x14ac:dyDescent="0.25">
      <c r="A1404" s="840">
        <v>45798</v>
      </c>
      <c r="B1404" s="391"/>
      <c r="C1404" s="303" t="s">
        <v>16299</v>
      </c>
      <c r="D1404" s="304">
        <v>35000</v>
      </c>
      <c r="E1404" s="304"/>
      <c r="F1404" s="48">
        <f t="shared" si="37"/>
        <v>-1163109</v>
      </c>
      <c r="G1404" s="397" t="s">
        <v>9567</v>
      </c>
    </row>
    <row r="1405" spans="1:7" ht="34.5" customHeight="1" x14ac:dyDescent="0.25">
      <c r="A1405" s="840">
        <v>45799</v>
      </c>
      <c r="B1405" s="391"/>
      <c r="C1405" s="303" t="s">
        <v>16298</v>
      </c>
      <c r="D1405" s="304">
        <v>41000</v>
      </c>
      <c r="E1405" s="304"/>
      <c r="F1405" s="48">
        <f t="shared" si="37"/>
        <v>-1204109</v>
      </c>
      <c r="G1405" s="397" t="s">
        <v>9567</v>
      </c>
    </row>
    <row r="1406" spans="1:7" ht="30" x14ac:dyDescent="0.25">
      <c r="A1406" s="840">
        <v>45799</v>
      </c>
      <c r="B1406" s="391"/>
      <c r="C1406" s="303" t="s">
        <v>16305</v>
      </c>
      <c r="D1406" s="304">
        <v>36000</v>
      </c>
      <c r="E1406" s="304"/>
      <c r="F1406" s="48">
        <f t="shared" si="37"/>
        <v>-1240109</v>
      </c>
      <c r="G1406" s="397" t="s">
        <v>9567</v>
      </c>
    </row>
    <row r="1407" spans="1:7" ht="30" x14ac:dyDescent="0.25">
      <c r="A1407" s="840">
        <v>45800</v>
      </c>
      <c r="B1407" s="391"/>
      <c r="C1407" s="303" t="s">
        <v>16306</v>
      </c>
      <c r="D1407" s="304">
        <v>43600</v>
      </c>
      <c r="E1407" s="304"/>
      <c r="F1407" s="48">
        <f t="shared" si="37"/>
        <v>-1283709</v>
      </c>
      <c r="G1407" s="397" t="s">
        <v>9567</v>
      </c>
    </row>
    <row r="1408" spans="1:7" ht="30" x14ac:dyDescent="0.25">
      <c r="A1408" s="840">
        <v>45801</v>
      </c>
      <c r="B1408" s="391"/>
      <c r="C1408" s="303" t="s">
        <v>16307</v>
      </c>
      <c r="D1408" s="304">
        <v>14800</v>
      </c>
      <c r="E1408" s="304"/>
      <c r="F1408" s="48">
        <f t="shared" si="37"/>
        <v>-1298509</v>
      </c>
      <c r="G1408" s="397" t="s">
        <v>9567</v>
      </c>
    </row>
    <row r="1409" spans="1:7" x14ac:dyDescent="0.25">
      <c r="A1409" s="840">
        <v>45801</v>
      </c>
      <c r="B1409" s="391"/>
      <c r="C1409" s="292" t="s">
        <v>16308</v>
      </c>
      <c r="D1409" s="304">
        <v>30000</v>
      </c>
      <c r="E1409" s="304"/>
      <c r="F1409" s="48">
        <f t="shared" si="37"/>
        <v>-1328509</v>
      </c>
      <c r="G1409" s="397" t="s">
        <v>9567</v>
      </c>
    </row>
    <row r="1410" spans="1:7" ht="30" x14ac:dyDescent="0.25">
      <c r="A1410" s="840">
        <v>45801</v>
      </c>
      <c r="B1410" s="391"/>
      <c r="C1410" s="307" t="s">
        <v>16309</v>
      </c>
      <c r="D1410" s="304">
        <v>50000</v>
      </c>
      <c r="E1410" s="304"/>
      <c r="F1410" s="48">
        <f t="shared" si="37"/>
        <v>-1378509</v>
      </c>
      <c r="G1410" s="397" t="s">
        <v>9567</v>
      </c>
    </row>
    <row r="1411" spans="1:7" ht="30" x14ac:dyDescent="0.25">
      <c r="A1411" s="840">
        <v>45801</v>
      </c>
      <c r="B1411" s="391"/>
      <c r="C1411" s="307" t="s">
        <v>16310</v>
      </c>
      <c r="D1411" s="304">
        <v>51364</v>
      </c>
      <c r="E1411" s="304"/>
      <c r="F1411" s="48">
        <f t="shared" si="37"/>
        <v>-1429873</v>
      </c>
      <c r="G1411" s="397" t="s">
        <v>9567</v>
      </c>
    </row>
    <row r="1412" spans="1:7" ht="30" x14ac:dyDescent="0.25">
      <c r="A1412" s="840">
        <v>45804</v>
      </c>
      <c r="B1412" s="391"/>
      <c r="C1412" s="303" t="s">
        <v>16330</v>
      </c>
      <c r="D1412" s="304">
        <v>3288312</v>
      </c>
      <c r="E1412" s="304"/>
      <c r="F1412" s="48">
        <f t="shared" si="37"/>
        <v>-4718185</v>
      </c>
      <c r="G1412" s="397" t="s">
        <v>10757</v>
      </c>
    </row>
    <row r="1413" spans="1:7" ht="30" x14ac:dyDescent="0.25">
      <c r="A1413" s="840">
        <v>45804</v>
      </c>
      <c r="B1413" s="391"/>
      <c r="C1413" s="307" t="s">
        <v>16063</v>
      </c>
      <c r="D1413" s="304">
        <v>52000</v>
      </c>
      <c r="E1413" s="304"/>
      <c r="F1413" s="48">
        <f t="shared" si="37"/>
        <v>-4770185</v>
      </c>
      <c r="G1413" s="397" t="s">
        <v>10757</v>
      </c>
    </row>
    <row r="1414" spans="1:7" ht="45" x14ac:dyDescent="0.25">
      <c r="A1414" s="840">
        <v>45804</v>
      </c>
      <c r="B1414" s="391"/>
      <c r="C1414" s="307" t="s">
        <v>15951</v>
      </c>
      <c r="D1414" s="304">
        <v>152000</v>
      </c>
      <c r="E1414" s="304"/>
      <c r="F1414" s="48">
        <f t="shared" si="37"/>
        <v>-4922185</v>
      </c>
      <c r="G1414" s="397" t="s">
        <v>10757</v>
      </c>
    </row>
    <row r="1415" spans="1:7" x14ac:dyDescent="0.25">
      <c r="A1415" s="292"/>
      <c r="B1415" s="391"/>
      <c r="C1415" s="292"/>
      <c r="D1415" s="304"/>
      <c r="E1415" s="304"/>
      <c r="F1415" s="48">
        <f t="shared" si="37"/>
        <v>-4922185</v>
      </c>
      <c r="G1415" s="397" t="s">
        <v>10757</v>
      </c>
    </row>
    <row r="1416" spans="1:7" x14ac:dyDescent="0.25">
      <c r="A1416" s="292"/>
      <c r="B1416" s="391"/>
      <c r="C1416" s="292"/>
      <c r="D1416" s="304"/>
      <c r="E1416" s="304"/>
      <c r="F1416" s="48">
        <f t="shared" si="37"/>
        <v>-4922185</v>
      </c>
      <c r="G1416" s="397" t="s">
        <v>10757</v>
      </c>
    </row>
    <row r="1417" spans="1:7" x14ac:dyDescent="0.25">
      <c r="A1417" s="292"/>
      <c r="B1417" s="391"/>
      <c r="C1417" s="292"/>
      <c r="D1417" s="304"/>
      <c r="E1417" s="304"/>
      <c r="F1417" s="48">
        <f t="shared" si="37"/>
        <v>-4922185</v>
      </c>
      <c r="G1417" s="397" t="s">
        <v>10757</v>
      </c>
    </row>
    <row r="1418" spans="1:7" x14ac:dyDescent="0.25">
      <c r="A1418" s="292"/>
      <c r="B1418" s="391"/>
      <c r="C1418" s="292"/>
      <c r="D1418" s="304"/>
      <c r="E1418" s="304"/>
      <c r="F1418" s="48">
        <f t="shared" si="37"/>
        <v>-4922185</v>
      </c>
      <c r="G1418" s="397" t="s">
        <v>10757</v>
      </c>
    </row>
    <row r="1419" spans="1:7" x14ac:dyDescent="0.25">
      <c r="A1419" s="292"/>
      <c r="B1419" s="391"/>
      <c r="C1419" s="292"/>
      <c r="D1419" s="304"/>
      <c r="E1419" s="304"/>
      <c r="F1419" s="48">
        <f t="shared" si="37"/>
        <v>-4922185</v>
      </c>
      <c r="G1419" s="397" t="s">
        <v>10757</v>
      </c>
    </row>
    <row r="1420" spans="1:7" x14ac:dyDescent="0.25">
      <c r="A1420" s="292"/>
      <c r="B1420" s="391"/>
      <c r="C1420" s="292"/>
      <c r="D1420" s="304"/>
      <c r="E1420" s="304"/>
      <c r="F1420" s="48">
        <f t="shared" si="37"/>
        <v>-4922185</v>
      </c>
      <c r="G1420" s="397" t="s">
        <v>10757</v>
      </c>
    </row>
    <row r="1421" spans="1:7" x14ac:dyDescent="0.25">
      <c r="A1421" s="292"/>
      <c r="B1421" s="391"/>
      <c r="C1421" s="292"/>
      <c r="D1421" s="304"/>
      <c r="E1421" s="304"/>
      <c r="F1421" s="48">
        <f t="shared" ref="F1421:F1449" si="38">F1420+E1421-D1421</f>
        <v>-4922185</v>
      </c>
      <c r="G1421" s="397" t="s">
        <v>10757</v>
      </c>
    </row>
    <row r="1422" spans="1:7" x14ac:dyDescent="0.25">
      <c r="A1422" s="292"/>
      <c r="B1422" s="391"/>
      <c r="C1422" s="292"/>
      <c r="D1422" s="304"/>
      <c r="E1422" s="304"/>
      <c r="F1422" s="48">
        <f t="shared" si="38"/>
        <v>-4922185</v>
      </c>
      <c r="G1422" s="397" t="s">
        <v>10757</v>
      </c>
    </row>
    <row r="1423" spans="1:7" x14ac:dyDescent="0.25">
      <c r="A1423" s="292"/>
      <c r="B1423" s="391"/>
      <c r="C1423" s="292"/>
      <c r="D1423" s="304"/>
      <c r="E1423" s="304"/>
      <c r="F1423" s="48">
        <f t="shared" si="38"/>
        <v>-4922185</v>
      </c>
      <c r="G1423" s="397" t="s">
        <v>10757</v>
      </c>
    </row>
    <row r="1424" spans="1:7" x14ac:dyDescent="0.25">
      <c r="A1424" s="292"/>
      <c r="B1424" s="391"/>
      <c r="C1424" s="292"/>
      <c r="D1424" s="304"/>
      <c r="E1424" s="304"/>
      <c r="F1424" s="48">
        <f t="shared" si="38"/>
        <v>-4922185</v>
      </c>
      <c r="G1424" s="397" t="s">
        <v>10757</v>
      </c>
    </row>
    <row r="1425" spans="1:7" x14ac:dyDescent="0.25">
      <c r="A1425" s="292"/>
      <c r="B1425" s="391"/>
      <c r="C1425" s="292"/>
      <c r="D1425" s="304"/>
      <c r="E1425" s="304"/>
      <c r="F1425" s="48">
        <f t="shared" si="38"/>
        <v>-4922185</v>
      </c>
      <c r="G1425" s="397" t="s">
        <v>10757</v>
      </c>
    </row>
    <row r="1426" spans="1:7" x14ac:dyDescent="0.25">
      <c r="A1426" s="292"/>
      <c r="B1426" s="391"/>
      <c r="C1426" s="292"/>
      <c r="D1426" s="304"/>
      <c r="E1426" s="304"/>
      <c r="F1426" s="48">
        <f t="shared" si="38"/>
        <v>-4922185</v>
      </c>
      <c r="G1426" s="397" t="s">
        <v>10757</v>
      </c>
    </row>
    <row r="1427" spans="1:7" x14ac:dyDescent="0.25">
      <c r="A1427" s="292"/>
      <c r="B1427" s="391"/>
      <c r="C1427" s="292"/>
      <c r="D1427" s="304"/>
      <c r="E1427" s="304"/>
      <c r="F1427" s="48">
        <f t="shared" si="38"/>
        <v>-4922185</v>
      </c>
      <c r="G1427" s="397" t="s">
        <v>10757</v>
      </c>
    </row>
    <row r="1428" spans="1:7" x14ac:dyDescent="0.25">
      <c r="A1428" s="292"/>
      <c r="B1428" s="391"/>
      <c r="C1428" s="292"/>
      <c r="D1428" s="304"/>
      <c r="E1428" s="304"/>
      <c r="F1428" s="48">
        <f t="shared" si="38"/>
        <v>-4922185</v>
      </c>
      <c r="G1428" s="397" t="s">
        <v>10757</v>
      </c>
    </row>
    <row r="1429" spans="1:7" x14ac:dyDescent="0.25">
      <c r="A1429" s="292"/>
      <c r="B1429" s="391"/>
      <c r="C1429" s="292"/>
      <c r="D1429" s="304"/>
      <c r="E1429" s="304"/>
      <c r="F1429" s="48">
        <f t="shared" si="38"/>
        <v>-4922185</v>
      </c>
      <c r="G1429" s="397" t="s">
        <v>10757</v>
      </c>
    </row>
    <row r="1430" spans="1:7" x14ac:dyDescent="0.25">
      <c r="A1430" s="292"/>
      <c r="B1430" s="391"/>
      <c r="C1430" s="292"/>
      <c r="D1430" s="304"/>
      <c r="E1430" s="304"/>
      <c r="F1430" s="48">
        <f t="shared" si="38"/>
        <v>-4922185</v>
      </c>
      <c r="G1430" s="397" t="s">
        <v>10757</v>
      </c>
    </row>
    <row r="1431" spans="1:7" x14ac:dyDescent="0.25">
      <c r="A1431" s="292"/>
      <c r="B1431" s="391"/>
      <c r="C1431" s="292"/>
      <c r="D1431" s="304"/>
      <c r="E1431" s="304"/>
      <c r="F1431" s="48">
        <f t="shared" si="38"/>
        <v>-4922185</v>
      </c>
      <c r="G1431" s="397" t="s">
        <v>10757</v>
      </c>
    </row>
    <row r="1432" spans="1:7" x14ac:dyDescent="0.25">
      <c r="A1432" s="292"/>
      <c r="B1432" s="391"/>
      <c r="C1432" s="292"/>
      <c r="D1432" s="304"/>
      <c r="E1432" s="304"/>
      <c r="F1432" s="48">
        <f t="shared" si="38"/>
        <v>-4922185</v>
      </c>
      <c r="G1432" s="397" t="s">
        <v>10757</v>
      </c>
    </row>
    <row r="1433" spans="1:7" x14ac:dyDescent="0.25">
      <c r="A1433" s="292"/>
      <c r="B1433" s="391"/>
      <c r="C1433" s="292"/>
      <c r="D1433" s="304"/>
      <c r="E1433" s="304"/>
      <c r="F1433" s="48">
        <f t="shared" si="38"/>
        <v>-4922185</v>
      </c>
      <c r="G1433" s="397" t="s">
        <v>10757</v>
      </c>
    </row>
    <row r="1434" spans="1:7" x14ac:dyDescent="0.25">
      <c r="A1434" s="292"/>
      <c r="B1434" s="391"/>
      <c r="C1434" s="292"/>
      <c r="D1434" s="304"/>
      <c r="E1434" s="304"/>
      <c r="F1434" s="48">
        <f t="shared" si="38"/>
        <v>-4922185</v>
      </c>
      <c r="G1434" s="397" t="s">
        <v>10757</v>
      </c>
    </row>
    <row r="1435" spans="1:7" x14ac:dyDescent="0.25">
      <c r="A1435" s="292"/>
      <c r="B1435" s="391"/>
      <c r="C1435" s="292"/>
      <c r="D1435" s="304"/>
      <c r="E1435" s="304"/>
      <c r="F1435" s="48">
        <f t="shared" si="38"/>
        <v>-4922185</v>
      </c>
      <c r="G1435" s="397" t="s">
        <v>10757</v>
      </c>
    </row>
    <row r="1436" spans="1:7" x14ac:dyDescent="0.25">
      <c r="A1436" s="292"/>
      <c r="B1436" s="391"/>
      <c r="C1436" s="292"/>
      <c r="D1436" s="304"/>
      <c r="E1436" s="304"/>
      <c r="F1436" s="48">
        <f t="shared" si="38"/>
        <v>-4922185</v>
      </c>
      <c r="G1436" s="397" t="s">
        <v>10757</v>
      </c>
    </row>
    <row r="1437" spans="1:7" x14ac:dyDescent="0.25">
      <c r="A1437" s="292"/>
      <c r="B1437" s="391"/>
      <c r="C1437" s="292"/>
      <c r="D1437" s="304"/>
      <c r="E1437" s="304"/>
      <c r="F1437" s="48">
        <f t="shared" si="38"/>
        <v>-4922185</v>
      </c>
      <c r="G1437" s="397" t="s">
        <v>10757</v>
      </c>
    </row>
    <row r="1438" spans="1:7" x14ac:dyDescent="0.25">
      <c r="A1438" s="292"/>
      <c r="B1438" s="391"/>
      <c r="C1438" s="292"/>
      <c r="D1438" s="304"/>
      <c r="E1438" s="304"/>
      <c r="F1438" s="48">
        <f t="shared" si="38"/>
        <v>-4922185</v>
      </c>
      <c r="G1438" s="397" t="s">
        <v>10757</v>
      </c>
    </row>
    <row r="1439" spans="1:7" x14ac:dyDescent="0.25">
      <c r="A1439" s="292"/>
      <c r="B1439" s="391"/>
      <c r="C1439" s="292"/>
      <c r="D1439" s="304"/>
      <c r="E1439" s="304"/>
      <c r="F1439" s="48">
        <f t="shared" si="38"/>
        <v>-4922185</v>
      </c>
      <c r="G1439" s="397" t="s">
        <v>10757</v>
      </c>
    </row>
    <row r="1440" spans="1:7" x14ac:dyDescent="0.25">
      <c r="A1440" s="292"/>
      <c r="B1440" s="391"/>
      <c r="C1440" s="292"/>
      <c r="D1440" s="304"/>
      <c r="E1440" s="304"/>
      <c r="F1440" s="48">
        <f t="shared" si="38"/>
        <v>-4922185</v>
      </c>
      <c r="G1440" s="397" t="s">
        <v>10757</v>
      </c>
    </row>
    <row r="1441" spans="1:7" x14ac:dyDescent="0.25">
      <c r="A1441" s="292"/>
      <c r="B1441" s="391"/>
      <c r="C1441" s="292"/>
      <c r="D1441" s="304"/>
      <c r="E1441" s="304"/>
      <c r="F1441" s="48">
        <f t="shared" si="38"/>
        <v>-4922185</v>
      </c>
      <c r="G1441" s="397" t="s">
        <v>10757</v>
      </c>
    </row>
    <row r="1442" spans="1:7" x14ac:dyDescent="0.25">
      <c r="A1442" s="292"/>
      <c r="B1442" s="391"/>
      <c r="C1442" s="292"/>
      <c r="D1442" s="304"/>
      <c r="E1442" s="304"/>
      <c r="F1442" s="48">
        <f t="shared" si="38"/>
        <v>-4922185</v>
      </c>
      <c r="G1442" s="397" t="s">
        <v>10757</v>
      </c>
    </row>
    <row r="1443" spans="1:7" x14ac:dyDescent="0.25">
      <c r="A1443" s="292"/>
      <c r="B1443" s="391"/>
      <c r="C1443" s="292"/>
      <c r="D1443" s="304"/>
      <c r="E1443" s="304"/>
      <c r="F1443" s="48">
        <f t="shared" si="38"/>
        <v>-4922185</v>
      </c>
      <c r="G1443" s="397" t="s">
        <v>10757</v>
      </c>
    </row>
    <row r="1444" spans="1:7" x14ac:dyDescent="0.25">
      <c r="A1444" s="292"/>
      <c r="B1444" s="391"/>
      <c r="C1444" s="292"/>
      <c r="D1444" s="304"/>
      <c r="E1444" s="304"/>
      <c r="F1444" s="48">
        <f t="shared" si="38"/>
        <v>-4922185</v>
      </c>
      <c r="G1444" s="397" t="s">
        <v>10757</v>
      </c>
    </row>
    <row r="1445" spans="1:7" x14ac:dyDescent="0.25">
      <c r="A1445" s="292"/>
      <c r="B1445" s="391"/>
      <c r="C1445" s="292"/>
      <c r="D1445" s="304"/>
      <c r="E1445" s="304"/>
      <c r="F1445" s="48">
        <f t="shared" si="38"/>
        <v>-4922185</v>
      </c>
      <c r="G1445" s="397" t="s">
        <v>10757</v>
      </c>
    </row>
    <row r="1446" spans="1:7" x14ac:dyDescent="0.25">
      <c r="A1446" s="292"/>
      <c r="B1446" s="391"/>
      <c r="C1446" s="292"/>
      <c r="D1446" s="304"/>
      <c r="E1446" s="304"/>
      <c r="F1446" s="48">
        <f t="shared" si="38"/>
        <v>-4922185</v>
      </c>
      <c r="G1446" s="397" t="s">
        <v>10757</v>
      </c>
    </row>
    <row r="1447" spans="1:7" x14ac:dyDescent="0.25">
      <c r="A1447" s="292"/>
      <c r="B1447" s="391"/>
      <c r="C1447" s="292"/>
      <c r="D1447" s="304"/>
      <c r="E1447" s="304"/>
      <c r="F1447" s="48">
        <f t="shared" si="38"/>
        <v>-4922185</v>
      </c>
      <c r="G1447" s="397" t="s">
        <v>10757</v>
      </c>
    </row>
    <row r="1448" spans="1:7" x14ac:dyDescent="0.25">
      <c r="A1448" s="292"/>
      <c r="B1448" s="391"/>
      <c r="C1448" s="292"/>
      <c r="D1448" s="304"/>
      <c r="E1448" s="304"/>
      <c r="F1448" s="48">
        <f t="shared" si="38"/>
        <v>-4922185</v>
      </c>
      <c r="G1448" s="397" t="s">
        <v>10757</v>
      </c>
    </row>
    <row r="1449" spans="1:7" x14ac:dyDescent="0.25">
      <c r="A1449" s="292"/>
      <c r="B1449" s="391"/>
      <c r="C1449" s="292"/>
      <c r="D1449" s="304"/>
      <c r="E1449" s="304"/>
      <c r="F1449" s="48">
        <f t="shared" si="38"/>
        <v>-4922185</v>
      </c>
      <c r="G1449" s="397" t="s">
        <v>10757</v>
      </c>
    </row>
    <row r="1450" spans="1:7" x14ac:dyDescent="0.25">
      <c r="A1450" s="292"/>
      <c r="B1450" s="391"/>
      <c r="C1450" s="292"/>
      <c r="D1450" s="304"/>
      <c r="E1450" s="304"/>
      <c r="F1450" s="48">
        <f t="shared" ref="F1450:F1510" si="39">F1449+E1450-D1450</f>
        <v>-4922185</v>
      </c>
      <c r="G1450" s="397" t="s">
        <v>10757</v>
      </c>
    </row>
    <row r="1451" spans="1:7" x14ac:dyDescent="0.25">
      <c r="A1451" s="292"/>
      <c r="B1451" s="391"/>
      <c r="C1451" s="292"/>
      <c r="D1451" s="304"/>
      <c r="E1451" s="304"/>
      <c r="F1451" s="48">
        <f t="shared" si="39"/>
        <v>-4922185</v>
      </c>
      <c r="G1451" s="397" t="s">
        <v>10757</v>
      </c>
    </row>
    <row r="1452" spans="1:7" x14ac:dyDescent="0.25">
      <c r="A1452" s="292"/>
      <c r="B1452" s="391"/>
      <c r="C1452" s="292"/>
      <c r="D1452" s="304"/>
      <c r="E1452" s="304"/>
      <c r="F1452" s="48">
        <f t="shared" si="39"/>
        <v>-4922185</v>
      </c>
      <c r="G1452" s="397" t="s">
        <v>10757</v>
      </c>
    </row>
    <row r="1453" spans="1:7" x14ac:dyDescent="0.25">
      <c r="A1453" s="292"/>
      <c r="B1453" s="391"/>
      <c r="C1453" s="292"/>
      <c r="D1453" s="304"/>
      <c r="E1453" s="304"/>
      <c r="F1453" s="48">
        <f t="shared" si="39"/>
        <v>-4922185</v>
      </c>
      <c r="G1453" s="397" t="s">
        <v>10757</v>
      </c>
    </row>
    <row r="1454" spans="1:7" x14ac:dyDescent="0.25">
      <c r="A1454" s="292"/>
      <c r="B1454" s="391"/>
      <c r="C1454" s="292"/>
      <c r="D1454" s="304"/>
      <c r="E1454" s="304"/>
      <c r="F1454" s="48">
        <f t="shared" si="39"/>
        <v>-4922185</v>
      </c>
      <c r="G1454" s="397" t="s">
        <v>10757</v>
      </c>
    </row>
    <row r="1455" spans="1:7" x14ac:dyDescent="0.25">
      <c r="A1455" s="292"/>
      <c r="B1455" s="391"/>
      <c r="C1455" s="292"/>
      <c r="D1455" s="304"/>
      <c r="E1455" s="304"/>
      <c r="F1455" s="48">
        <f t="shared" si="39"/>
        <v>-4922185</v>
      </c>
      <c r="G1455" s="397" t="s">
        <v>10757</v>
      </c>
    </row>
    <row r="1456" spans="1:7" x14ac:dyDescent="0.25">
      <c r="A1456" s="292"/>
      <c r="B1456" s="391"/>
      <c r="C1456" s="292"/>
      <c r="D1456" s="304"/>
      <c r="E1456" s="304"/>
      <c r="F1456" s="48">
        <f t="shared" si="39"/>
        <v>-4922185</v>
      </c>
      <c r="G1456" s="397" t="s">
        <v>10757</v>
      </c>
    </row>
    <row r="1457" spans="1:7" x14ac:dyDescent="0.25">
      <c r="A1457" s="292"/>
      <c r="B1457" s="391"/>
      <c r="C1457" s="292"/>
      <c r="D1457" s="304"/>
      <c r="E1457" s="304"/>
      <c r="F1457" s="48">
        <f t="shared" si="39"/>
        <v>-4922185</v>
      </c>
      <c r="G1457" s="397" t="s">
        <v>10757</v>
      </c>
    </row>
    <row r="1458" spans="1:7" x14ac:dyDescent="0.25">
      <c r="A1458" s="292"/>
      <c r="B1458" s="391"/>
      <c r="C1458" s="292"/>
      <c r="D1458" s="304"/>
      <c r="E1458" s="304"/>
      <c r="F1458" s="48">
        <f t="shared" si="39"/>
        <v>-4922185</v>
      </c>
      <c r="G1458" s="397" t="s">
        <v>10757</v>
      </c>
    </row>
    <row r="1459" spans="1:7" x14ac:dyDescent="0.25">
      <c r="A1459" s="292"/>
      <c r="B1459" s="391"/>
      <c r="C1459" s="292"/>
      <c r="D1459" s="304"/>
      <c r="E1459" s="304"/>
      <c r="F1459" s="48">
        <f t="shared" si="39"/>
        <v>-4922185</v>
      </c>
      <c r="G1459" s="397" t="s">
        <v>10757</v>
      </c>
    </row>
    <row r="1460" spans="1:7" x14ac:dyDescent="0.25">
      <c r="A1460" s="292"/>
      <c r="B1460" s="391"/>
      <c r="C1460" s="292"/>
      <c r="D1460" s="304"/>
      <c r="E1460" s="304"/>
      <c r="F1460" s="48">
        <f t="shared" si="39"/>
        <v>-4922185</v>
      </c>
      <c r="G1460" s="397" t="s">
        <v>10757</v>
      </c>
    </row>
    <row r="1461" spans="1:7" x14ac:dyDescent="0.25">
      <c r="A1461" s="292"/>
      <c r="B1461" s="391"/>
      <c r="C1461" s="292"/>
      <c r="D1461" s="304"/>
      <c r="E1461" s="304"/>
      <c r="F1461" s="48">
        <f t="shared" si="39"/>
        <v>-4922185</v>
      </c>
      <c r="G1461" s="397" t="s">
        <v>10757</v>
      </c>
    </row>
    <row r="1462" spans="1:7" x14ac:dyDescent="0.25">
      <c r="A1462" s="292"/>
      <c r="B1462" s="391"/>
      <c r="C1462" s="292"/>
      <c r="D1462" s="304"/>
      <c r="E1462" s="304"/>
      <c r="F1462" s="48">
        <f t="shared" si="39"/>
        <v>-4922185</v>
      </c>
      <c r="G1462" s="397" t="s">
        <v>10757</v>
      </c>
    </row>
    <row r="1463" spans="1:7" x14ac:dyDescent="0.25">
      <c r="A1463" s="292"/>
      <c r="B1463" s="391"/>
      <c r="C1463" s="292"/>
      <c r="D1463" s="304"/>
      <c r="E1463" s="304"/>
      <c r="F1463" s="48">
        <f t="shared" si="39"/>
        <v>-4922185</v>
      </c>
      <c r="G1463" s="397" t="s">
        <v>10757</v>
      </c>
    </row>
    <row r="1464" spans="1:7" x14ac:dyDescent="0.25">
      <c r="A1464" s="292"/>
      <c r="B1464" s="391"/>
      <c r="C1464" s="292"/>
      <c r="D1464" s="304"/>
      <c r="E1464" s="304"/>
      <c r="F1464" s="48">
        <f t="shared" si="39"/>
        <v>-4922185</v>
      </c>
      <c r="G1464" s="397" t="s">
        <v>10757</v>
      </c>
    </row>
    <row r="1465" spans="1:7" x14ac:dyDescent="0.25">
      <c r="A1465" s="292"/>
      <c r="B1465" s="391"/>
      <c r="C1465" s="292"/>
      <c r="D1465" s="304"/>
      <c r="E1465" s="304"/>
      <c r="F1465" s="48">
        <f t="shared" si="39"/>
        <v>-4922185</v>
      </c>
      <c r="G1465" s="397" t="s">
        <v>10757</v>
      </c>
    </row>
    <row r="1466" spans="1:7" x14ac:dyDescent="0.25">
      <c r="A1466" s="292"/>
      <c r="B1466" s="391"/>
      <c r="C1466" s="292"/>
      <c r="D1466" s="304"/>
      <c r="E1466" s="304"/>
      <c r="F1466" s="48">
        <f t="shared" si="39"/>
        <v>-4922185</v>
      </c>
      <c r="G1466" s="397" t="s">
        <v>10757</v>
      </c>
    </row>
    <row r="1467" spans="1:7" x14ac:dyDescent="0.25">
      <c r="A1467" s="292"/>
      <c r="B1467" s="391"/>
      <c r="C1467" s="292"/>
      <c r="D1467" s="304"/>
      <c r="E1467" s="304"/>
      <c r="F1467" s="48">
        <f t="shared" si="39"/>
        <v>-4922185</v>
      </c>
      <c r="G1467" s="397" t="s">
        <v>10757</v>
      </c>
    </row>
    <row r="1468" spans="1:7" x14ac:dyDescent="0.25">
      <c r="A1468" s="292"/>
      <c r="B1468" s="391"/>
      <c r="C1468" s="292"/>
      <c r="D1468" s="304"/>
      <c r="E1468" s="304"/>
      <c r="F1468" s="48">
        <f t="shared" si="39"/>
        <v>-4922185</v>
      </c>
      <c r="G1468" s="397" t="s">
        <v>10757</v>
      </c>
    </row>
    <row r="1469" spans="1:7" x14ac:dyDescent="0.25">
      <c r="A1469" s="292"/>
      <c r="B1469" s="391"/>
      <c r="C1469" s="292"/>
      <c r="D1469" s="304"/>
      <c r="E1469" s="304"/>
      <c r="F1469" s="48">
        <f t="shared" si="39"/>
        <v>-4922185</v>
      </c>
      <c r="G1469" s="397" t="s">
        <v>10757</v>
      </c>
    </row>
    <row r="1470" spans="1:7" x14ac:dyDescent="0.25">
      <c r="A1470" s="292"/>
      <c r="B1470" s="391"/>
      <c r="C1470" s="292"/>
      <c r="D1470" s="304"/>
      <c r="E1470" s="304"/>
      <c r="F1470" s="48">
        <f t="shared" si="39"/>
        <v>-4922185</v>
      </c>
      <c r="G1470" s="397" t="s">
        <v>10757</v>
      </c>
    </row>
    <row r="1471" spans="1:7" x14ac:dyDescent="0.25">
      <c r="A1471" s="292"/>
      <c r="B1471" s="391"/>
      <c r="C1471" s="292"/>
      <c r="D1471" s="304"/>
      <c r="E1471" s="304"/>
      <c r="F1471" s="48">
        <f t="shared" si="39"/>
        <v>-4922185</v>
      </c>
      <c r="G1471" s="397" t="s">
        <v>10757</v>
      </c>
    </row>
    <row r="1472" spans="1:7" x14ac:dyDescent="0.25">
      <c r="A1472" s="292"/>
      <c r="B1472" s="391"/>
      <c r="C1472" s="292"/>
      <c r="D1472" s="304"/>
      <c r="E1472" s="304"/>
      <c r="F1472" s="48">
        <f t="shared" si="39"/>
        <v>-4922185</v>
      </c>
      <c r="G1472" s="397" t="s">
        <v>10757</v>
      </c>
    </row>
    <row r="1473" spans="1:7" x14ac:dyDescent="0.25">
      <c r="A1473" s="292"/>
      <c r="B1473" s="391"/>
      <c r="C1473" s="292"/>
      <c r="D1473" s="304"/>
      <c r="E1473" s="304"/>
      <c r="F1473" s="48">
        <f t="shared" si="39"/>
        <v>-4922185</v>
      </c>
      <c r="G1473" s="397" t="s">
        <v>10757</v>
      </c>
    </row>
    <row r="1474" spans="1:7" x14ac:dyDescent="0.25">
      <c r="A1474" s="292"/>
      <c r="B1474" s="391"/>
      <c r="C1474" s="292"/>
      <c r="D1474" s="304"/>
      <c r="E1474" s="304"/>
      <c r="F1474" s="48">
        <f t="shared" si="39"/>
        <v>-4922185</v>
      </c>
      <c r="G1474" s="397" t="s">
        <v>10757</v>
      </c>
    </row>
    <row r="1475" spans="1:7" x14ac:dyDescent="0.25">
      <c r="A1475" s="292"/>
      <c r="B1475" s="391"/>
      <c r="C1475" s="292"/>
      <c r="D1475" s="304"/>
      <c r="E1475" s="304"/>
      <c r="F1475" s="48">
        <f t="shared" si="39"/>
        <v>-4922185</v>
      </c>
      <c r="G1475" s="397" t="s">
        <v>10757</v>
      </c>
    </row>
    <row r="1476" spans="1:7" x14ac:dyDescent="0.25">
      <c r="A1476" s="292"/>
      <c r="B1476" s="391"/>
      <c r="C1476" s="292"/>
      <c r="D1476" s="304"/>
      <c r="E1476" s="304"/>
      <c r="F1476" s="48">
        <f t="shared" si="39"/>
        <v>-4922185</v>
      </c>
      <c r="G1476" s="397" t="s">
        <v>10757</v>
      </c>
    </row>
    <row r="1477" spans="1:7" x14ac:dyDescent="0.25">
      <c r="A1477" s="292"/>
      <c r="B1477" s="391"/>
      <c r="C1477" s="292"/>
      <c r="D1477" s="304"/>
      <c r="E1477" s="304"/>
      <c r="F1477" s="48">
        <f t="shared" si="39"/>
        <v>-4922185</v>
      </c>
      <c r="G1477" s="397" t="s">
        <v>10757</v>
      </c>
    </row>
    <row r="1478" spans="1:7" x14ac:dyDescent="0.25">
      <c r="A1478" s="292"/>
      <c r="B1478" s="391"/>
      <c r="C1478" s="292"/>
      <c r="D1478" s="304"/>
      <c r="E1478" s="304"/>
      <c r="F1478" s="48">
        <f t="shared" si="39"/>
        <v>-4922185</v>
      </c>
      <c r="G1478" s="397" t="s">
        <v>10757</v>
      </c>
    </row>
    <row r="1479" spans="1:7" x14ac:dyDescent="0.25">
      <c r="A1479" s="292"/>
      <c r="B1479" s="391"/>
      <c r="C1479" s="292"/>
      <c r="D1479" s="304"/>
      <c r="E1479" s="304"/>
      <c r="F1479" s="48">
        <f t="shared" si="39"/>
        <v>-4922185</v>
      </c>
      <c r="G1479" s="397" t="s">
        <v>10757</v>
      </c>
    </row>
    <row r="1480" spans="1:7" x14ac:dyDescent="0.25">
      <c r="A1480" s="292"/>
      <c r="B1480" s="391"/>
      <c r="C1480" s="292"/>
      <c r="D1480" s="304"/>
      <c r="E1480" s="304"/>
      <c r="F1480" s="48">
        <f t="shared" si="39"/>
        <v>-4922185</v>
      </c>
      <c r="G1480" s="397" t="s">
        <v>10757</v>
      </c>
    </row>
    <row r="1481" spans="1:7" x14ac:dyDescent="0.25">
      <c r="A1481" s="292"/>
      <c r="B1481" s="391"/>
      <c r="C1481" s="292"/>
      <c r="D1481" s="304"/>
      <c r="E1481" s="304"/>
      <c r="F1481" s="48">
        <f t="shared" si="39"/>
        <v>-4922185</v>
      </c>
      <c r="G1481" s="397" t="s">
        <v>10757</v>
      </c>
    </row>
    <row r="1482" spans="1:7" x14ac:dyDescent="0.25">
      <c r="A1482" s="292"/>
      <c r="B1482" s="391"/>
      <c r="C1482" s="292"/>
      <c r="D1482" s="304"/>
      <c r="E1482" s="304"/>
      <c r="F1482" s="48">
        <f t="shared" si="39"/>
        <v>-4922185</v>
      </c>
      <c r="G1482" s="397" t="s">
        <v>10757</v>
      </c>
    </row>
    <row r="1483" spans="1:7" x14ac:dyDescent="0.25">
      <c r="A1483" s="292"/>
      <c r="B1483" s="391"/>
      <c r="C1483" s="292"/>
      <c r="D1483" s="304"/>
      <c r="E1483" s="304"/>
      <c r="F1483" s="48">
        <f t="shared" si="39"/>
        <v>-4922185</v>
      </c>
      <c r="G1483" s="397" t="s">
        <v>10757</v>
      </c>
    </row>
    <row r="1484" spans="1:7" x14ac:dyDescent="0.25">
      <c r="A1484" s="292"/>
      <c r="B1484" s="391"/>
      <c r="C1484" s="292"/>
      <c r="D1484" s="304"/>
      <c r="E1484" s="304"/>
      <c r="F1484" s="48">
        <f t="shared" si="39"/>
        <v>-4922185</v>
      </c>
      <c r="G1484" s="397" t="s">
        <v>10757</v>
      </c>
    </row>
    <row r="1485" spans="1:7" x14ac:dyDescent="0.25">
      <c r="A1485" s="292"/>
      <c r="B1485" s="391"/>
      <c r="C1485" s="292"/>
      <c r="D1485" s="304"/>
      <c r="E1485" s="304"/>
      <c r="F1485" s="48">
        <f t="shared" si="39"/>
        <v>-4922185</v>
      </c>
      <c r="G1485" s="397" t="s">
        <v>10757</v>
      </c>
    </row>
    <row r="1486" spans="1:7" x14ac:dyDescent="0.25">
      <c r="A1486" s="292"/>
      <c r="B1486" s="391"/>
      <c r="C1486" s="292"/>
      <c r="D1486" s="304"/>
      <c r="E1486" s="304"/>
      <c r="F1486" s="48">
        <f t="shared" si="39"/>
        <v>-4922185</v>
      </c>
      <c r="G1486" s="397" t="s">
        <v>10757</v>
      </c>
    </row>
    <row r="1487" spans="1:7" x14ac:dyDescent="0.25">
      <c r="A1487" s="292"/>
      <c r="B1487" s="391"/>
      <c r="C1487" s="292"/>
      <c r="D1487" s="304"/>
      <c r="E1487" s="304"/>
      <c r="F1487" s="48">
        <f t="shared" si="39"/>
        <v>-4922185</v>
      </c>
      <c r="G1487" s="397" t="s">
        <v>10757</v>
      </c>
    </row>
    <row r="1488" spans="1:7" x14ac:dyDescent="0.25">
      <c r="A1488" s="292"/>
      <c r="B1488" s="391"/>
      <c r="C1488" s="292"/>
      <c r="D1488" s="304"/>
      <c r="E1488" s="304"/>
      <c r="F1488" s="48">
        <f t="shared" si="39"/>
        <v>-4922185</v>
      </c>
      <c r="G1488" s="397" t="s">
        <v>10757</v>
      </c>
    </row>
    <row r="1489" spans="1:7" x14ac:dyDescent="0.25">
      <c r="A1489" s="292"/>
      <c r="B1489" s="391"/>
      <c r="C1489" s="292"/>
      <c r="D1489" s="304"/>
      <c r="E1489" s="304"/>
      <c r="F1489" s="48">
        <f t="shared" si="39"/>
        <v>-4922185</v>
      </c>
      <c r="G1489" s="397" t="s">
        <v>10757</v>
      </c>
    </row>
    <row r="1490" spans="1:7" x14ac:dyDescent="0.25">
      <c r="A1490" s="292"/>
      <c r="B1490" s="391"/>
      <c r="C1490" s="292"/>
      <c r="D1490" s="304"/>
      <c r="E1490" s="304"/>
      <c r="F1490" s="48">
        <f t="shared" si="39"/>
        <v>-4922185</v>
      </c>
      <c r="G1490" s="397" t="s">
        <v>10757</v>
      </c>
    </row>
    <row r="1491" spans="1:7" x14ac:dyDescent="0.25">
      <c r="A1491" s="292"/>
      <c r="B1491" s="391"/>
      <c r="C1491" s="292"/>
      <c r="D1491" s="304"/>
      <c r="E1491" s="304"/>
      <c r="F1491" s="48">
        <f t="shared" si="39"/>
        <v>-4922185</v>
      </c>
      <c r="G1491" s="397" t="s">
        <v>10757</v>
      </c>
    </row>
    <row r="1492" spans="1:7" x14ac:dyDescent="0.25">
      <c r="A1492" s="292"/>
      <c r="B1492" s="391"/>
      <c r="C1492" s="292"/>
      <c r="D1492" s="304"/>
      <c r="E1492" s="304"/>
      <c r="F1492" s="48">
        <f t="shared" si="39"/>
        <v>-4922185</v>
      </c>
      <c r="G1492" s="397" t="s">
        <v>10757</v>
      </c>
    </row>
    <row r="1493" spans="1:7" x14ac:dyDescent="0.25">
      <c r="A1493" s="292"/>
      <c r="B1493" s="391"/>
      <c r="C1493" s="292"/>
      <c r="D1493" s="304"/>
      <c r="E1493" s="304"/>
      <c r="F1493" s="48">
        <f t="shared" si="39"/>
        <v>-4922185</v>
      </c>
      <c r="G1493" s="397" t="s">
        <v>10757</v>
      </c>
    </row>
    <row r="1494" spans="1:7" x14ac:dyDescent="0.25">
      <c r="A1494" s="292"/>
      <c r="B1494" s="391"/>
      <c r="C1494" s="292"/>
      <c r="D1494" s="304"/>
      <c r="E1494" s="304"/>
      <c r="F1494" s="48">
        <f t="shared" si="39"/>
        <v>-4922185</v>
      </c>
      <c r="G1494" s="397" t="s">
        <v>10757</v>
      </c>
    </row>
    <row r="1495" spans="1:7" x14ac:dyDescent="0.25">
      <c r="A1495" s="292"/>
      <c r="B1495" s="391"/>
      <c r="C1495" s="292"/>
      <c r="D1495" s="304"/>
      <c r="E1495" s="304"/>
      <c r="F1495" s="48">
        <f t="shared" si="39"/>
        <v>-4922185</v>
      </c>
      <c r="G1495" s="397" t="s">
        <v>10757</v>
      </c>
    </row>
    <row r="1496" spans="1:7" x14ac:dyDescent="0.25">
      <c r="A1496" s="292"/>
      <c r="B1496" s="391"/>
      <c r="C1496" s="292"/>
      <c r="D1496" s="304"/>
      <c r="E1496" s="304"/>
      <c r="F1496" s="48">
        <f t="shared" si="39"/>
        <v>-4922185</v>
      </c>
      <c r="G1496" s="397" t="s">
        <v>10757</v>
      </c>
    </row>
    <row r="1497" spans="1:7" x14ac:dyDescent="0.25">
      <c r="A1497" s="292"/>
      <c r="B1497" s="391"/>
      <c r="C1497" s="292"/>
      <c r="D1497" s="304"/>
      <c r="E1497" s="304"/>
      <c r="F1497" s="48">
        <f t="shared" si="39"/>
        <v>-4922185</v>
      </c>
      <c r="G1497" s="397" t="s">
        <v>10757</v>
      </c>
    </row>
    <row r="1498" spans="1:7" x14ac:dyDescent="0.25">
      <c r="A1498" s="292"/>
      <c r="B1498" s="391"/>
      <c r="C1498" s="292"/>
      <c r="D1498" s="304"/>
      <c r="E1498" s="304"/>
      <c r="F1498" s="48">
        <f t="shared" si="39"/>
        <v>-4922185</v>
      </c>
      <c r="G1498" s="397" t="s">
        <v>10757</v>
      </c>
    </row>
    <row r="1499" spans="1:7" x14ac:dyDescent="0.25">
      <c r="A1499" s="292"/>
      <c r="B1499" s="391"/>
      <c r="C1499" s="292"/>
      <c r="D1499" s="304"/>
      <c r="E1499" s="304"/>
      <c r="F1499" s="48">
        <f t="shared" si="39"/>
        <v>-4922185</v>
      </c>
      <c r="G1499" s="397" t="s">
        <v>10757</v>
      </c>
    </row>
    <row r="1500" spans="1:7" x14ac:dyDescent="0.25">
      <c r="A1500" s="292"/>
      <c r="B1500" s="391"/>
      <c r="C1500" s="292"/>
      <c r="D1500" s="304"/>
      <c r="E1500" s="304"/>
      <c r="F1500" s="48">
        <f t="shared" si="39"/>
        <v>-4922185</v>
      </c>
      <c r="G1500" s="397" t="s">
        <v>10757</v>
      </c>
    </row>
    <row r="1501" spans="1:7" x14ac:dyDescent="0.25">
      <c r="A1501" s="292"/>
      <c r="B1501" s="391"/>
      <c r="C1501" s="292"/>
      <c r="D1501" s="304"/>
      <c r="E1501" s="304"/>
      <c r="F1501" s="48">
        <f t="shared" si="39"/>
        <v>-4922185</v>
      </c>
      <c r="G1501" s="397" t="s">
        <v>10757</v>
      </c>
    </row>
    <row r="1502" spans="1:7" x14ac:dyDescent="0.25">
      <c r="A1502" s="292"/>
      <c r="B1502" s="391"/>
      <c r="C1502" s="292"/>
      <c r="D1502" s="304"/>
      <c r="E1502" s="304"/>
      <c r="F1502" s="48">
        <f t="shared" si="39"/>
        <v>-4922185</v>
      </c>
      <c r="G1502" s="397" t="s">
        <v>10757</v>
      </c>
    </row>
    <row r="1503" spans="1:7" x14ac:dyDescent="0.25">
      <c r="A1503" s="292"/>
      <c r="B1503" s="391"/>
      <c r="C1503" s="292"/>
      <c r="D1503" s="304"/>
      <c r="E1503" s="304"/>
      <c r="F1503" s="48">
        <f t="shared" si="39"/>
        <v>-4922185</v>
      </c>
      <c r="G1503" s="397" t="s">
        <v>10757</v>
      </c>
    </row>
    <row r="1504" spans="1:7" x14ac:dyDescent="0.25">
      <c r="A1504" s="292"/>
      <c r="B1504" s="391"/>
      <c r="C1504" s="292"/>
      <c r="D1504" s="304"/>
      <c r="E1504" s="304"/>
      <c r="F1504" s="48">
        <f t="shared" si="39"/>
        <v>-4922185</v>
      </c>
      <c r="G1504" s="397" t="s">
        <v>10757</v>
      </c>
    </row>
    <row r="1505" spans="1:7" x14ac:dyDescent="0.25">
      <c r="A1505" s="292"/>
      <c r="B1505" s="391"/>
      <c r="C1505" s="292"/>
      <c r="D1505" s="304"/>
      <c r="E1505" s="304"/>
      <c r="F1505" s="48">
        <f t="shared" si="39"/>
        <v>-4922185</v>
      </c>
      <c r="G1505" s="397" t="s">
        <v>10757</v>
      </c>
    </row>
    <row r="1506" spans="1:7" x14ac:dyDescent="0.25">
      <c r="A1506" s="292"/>
      <c r="B1506" s="391"/>
      <c r="C1506" s="292"/>
      <c r="D1506" s="304"/>
      <c r="E1506" s="304"/>
      <c r="F1506" s="48">
        <f t="shared" si="39"/>
        <v>-4922185</v>
      </c>
      <c r="G1506" s="397" t="s">
        <v>10757</v>
      </c>
    </row>
    <row r="1507" spans="1:7" x14ac:dyDescent="0.25">
      <c r="A1507" s="292"/>
      <c r="B1507" s="391"/>
      <c r="C1507" s="292"/>
      <c r="D1507" s="304"/>
      <c r="E1507" s="304"/>
      <c r="F1507" s="48">
        <f t="shared" si="39"/>
        <v>-4922185</v>
      </c>
      <c r="G1507" s="397" t="s">
        <v>10757</v>
      </c>
    </row>
    <row r="1508" spans="1:7" x14ac:dyDescent="0.25">
      <c r="A1508" s="292"/>
      <c r="B1508" s="391"/>
      <c r="C1508" s="292"/>
      <c r="D1508" s="304"/>
      <c r="E1508" s="304"/>
      <c r="F1508" s="48">
        <f t="shared" si="39"/>
        <v>-4922185</v>
      </c>
      <c r="G1508" s="397" t="s">
        <v>10757</v>
      </c>
    </row>
    <row r="1509" spans="1:7" x14ac:dyDescent="0.25">
      <c r="A1509" s="292"/>
      <c r="B1509" s="391"/>
      <c r="C1509" s="292"/>
      <c r="D1509" s="304"/>
      <c r="E1509" s="304"/>
      <c r="F1509" s="48">
        <f t="shared" si="39"/>
        <v>-4922185</v>
      </c>
      <c r="G1509" s="397" t="s">
        <v>10757</v>
      </c>
    </row>
    <row r="1510" spans="1:7" x14ac:dyDescent="0.25">
      <c r="A1510" s="292"/>
      <c r="B1510" s="391"/>
      <c r="C1510" s="292"/>
      <c r="D1510" s="304"/>
      <c r="E1510" s="304"/>
      <c r="F1510" s="48">
        <f t="shared" si="39"/>
        <v>-4922185</v>
      </c>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10757</v>
      </c>
    </row>
    <row r="2044" spans="1:7" x14ac:dyDescent="0.3">
      <c r="A2044" s="292"/>
      <c r="B2044" s="391"/>
      <c r="C2044" s="292"/>
      <c r="D2044" s="304"/>
      <c r="E2044" s="304"/>
      <c r="F2044" s="5"/>
      <c r="G2044" s="397" t="s">
        <v>10757</v>
      </c>
    </row>
    <row r="2045" spans="1:7" x14ac:dyDescent="0.3">
      <c r="A2045" s="292"/>
      <c r="B2045" s="391"/>
      <c r="C2045" s="292"/>
      <c r="D2045" s="304"/>
      <c r="E2045" s="304"/>
      <c r="F2045" s="5"/>
      <c r="G2045" s="397" t="s">
        <v>10757</v>
      </c>
    </row>
    <row r="2046" spans="1:7" x14ac:dyDescent="0.3">
      <c r="A2046" s="292"/>
      <c r="B2046" s="391"/>
      <c r="C2046" s="292"/>
      <c r="D2046" s="304"/>
      <c r="E2046" s="304"/>
      <c r="F2046" s="5"/>
      <c r="G2046" s="397" t="s">
        <v>10757</v>
      </c>
    </row>
    <row r="2047" spans="1:7" x14ac:dyDescent="0.3">
      <c r="A2047" s="292"/>
      <c r="B2047" s="391"/>
      <c r="C2047" s="292"/>
      <c r="D2047" s="304"/>
      <c r="E2047" s="304"/>
      <c r="F2047" s="5"/>
      <c r="G2047" s="397" t="s">
        <v>10757</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304"/>
      <c r="E2174" s="304"/>
      <c r="F2174" s="5"/>
      <c r="G2174" s="397" t="s">
        <v>9566</v>
      </c>
    </row>
    <row r="2175" spans="1:7" x14ac:dyDescent="0.3">
      <c r="A2175" s="292"/>
      <c r="B2175" s="391"/>
      <c r="C2175" s="292"/>
      <c r="D2175" s="304"/>
      <c r="E2175" s="304"/>
      <c r="F2175" s="5"/>
      <c r="G2175" s="397" t="s">
        <v>9566</v>
      </c>
    </row>
    <row r="2176" spans="1:7" x14ac:dyDescent="0.3">
      <c r="A2176" s="292"/>
      <c r="B2176" s="391"/>
      <c r="C2176" s="292"/>
      <c r="D2176" s="304"/>
      <c r="E2176" s="304"/>
      <c r="F2176" s="5"/>
      <c r="G2176" s="397" t="s">
        <v>9566</v>
      </c>
    </row>
    <row r="2177" spans="1:7" x14ac:dyDescent="0.3">
      <c r="A2177" s="292"/>
      <c r="B2177" s="391"/>
      <c r="C2177" s="292"/>
      <c r="D2177" s="304"/>
      <c r="E2177" s="304"/>
      <c r="F2177" s="5"/>
      <c r="G2177" s="397" t="s">
        <v>9566</v>
      </c>
    </row>
    <row r="2178" spans="1:7" x14ac:dyDescent="0.3">
      <c r="A2178" s="292"/>
      <c r="B2178" s="391"/>
      <c r="C2178" s="292"/>
      <c r="D2178" s="304"/>
      <c r="E2178" s="304"/>
      <c r="F2178" s="5"/>
      <c r="G2178" s="397" t="s">
        <v>9566</v>
      </c>
    </row>
    <row r="2179" spans="1:7" x14ac:dyDescent="0.3">
      <c r="A2179" s="292"/>
      <c r="B2179" s="391"/>
      <c r="C2179" s="292"/>
      <c r="D2179" s="304"/>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304"/>
      <c r="F2712" s="5"/>
      <c r="G2712" s="397" t="s">
        <v>9566</v>
      </c>
    </row>
    <row r="2713" spans="1:7" x14ac:dyDescent="0.3">
      <c r="A2713" s="292"/>
      <c r="B2713" s="391"/>
      <c r="C2713" s="292"/>
      <c r="D2713" s="292"/>
      <c r="E2713" s="304"/>
      <c r="F2713" s="5"/>
      <c r="G2713" s="397" t="s">
        <v>9566</v>
      </c>
    </row>
    <row r="2714" spans="1:7" x14ac:dyDescent="0.3">
      <c r="A2714" s="292"/>
      <c r="B2714" s="391"/>
      <c r="C2714" s="292"/>
      <c r="D2714" s="292"/>
      <c r="E2714" s="304"/>
      <c r="F2714" s="5"/>
      <c r="G2714" s="397" t="s">
        <v>9566</v>
      </c>
    </row>
    <row r="2715" spans="1:7" x14ac:dyDescent="0.3">
      <c r="A2715" s="292"/>
      <c r="B2715" s="391"/>
      <c r="C2715" s="292"/>
      <c r="D2715" s="292"/>
      <c r="E2715" s="304"/>
      <c r="F2715" s="5"/>
      <c r="G2715" s="397" t="s">
        <v>9566</v>
      </c>
    </row>
    <row r="2716" spans="1:7" x14ac:dyDescent="0.3">
      <c r="A2716" s="292"/>
      <c r="B2716" s="391"/>
      <c r="C2716" s="292"/>
      <c r="D2716" s="292"/>
      <c r="E2716" s="304"/>
      <c r="F2716" s="5"/>
      <c r="G2716" s="397" t="s">
        <v>9566</v>
      </c>
    </row>
    <row r="2717" spans="1:7" x14ac:dyDescent="0.3">
      <c r="A2717" s="292"/>
      <c r="B2717" s="391"/>
      <c r="C2717" s="292"/>
      <c r="D2717" s="292"/>
      <c r="E2717" s="304"/>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9566</v>
      </c>
    </row>
    <row r="4474" spans="1:7" x14ac:dyDescent="0.3">
      <c r="A4474" s="292"/>
      <c r="B4474" s="391"/>
      <c r="C4474" s="292"/>
      <c r="D4474" s="292"/>
      <c r="E4474" s="292"/>
      <c r="F4474" s="5"/>
      <c r="G4474" s="397" t="s">
        <v>9566</v>
      </c>
    </row>
    <row r="4475" spans="1:7" x14ac:dyDescent="0.3">
      <c r="A4475" s="292"/>
      <c r="B4475" s="391"/>
      <c r="C4475" s="292"/>
      <c r="D4475" s="292"/>
      <c r="E4475" s="292"/>
      <c r="F4475" s="5"/>
      <c r="G4475" s="397" t="s">
        <v>9566</v>
      </c>
    </row>
    <row r="4476" spans="1:7" x14ac:dyDescent="0.3">
      <c r="A4476" s="292"/>
      <c r="B4476" s="391"/>
      <c r="C4476" s="292"/>
      <c r="D4476" s="292"/>
      <c r="E4476" s="292"/>
      <c r="F4476" s="5"/>
      <c r="G4476" s="397" t="s">
        <v>9566</v>
      </c>
    </row>
    <row r="4477" spans="1:7" x14ac:dyDescent="0.3">
      <c r="A4477" s="292"/>
      <c r="B4477" s="391"/>
      <c r="C4477" s="292"/>
      <c r="D4477" s="292"/>
      <c r="E4477" s="292"/>
      <c r="F4477" s="5"/>
      <c r="G4477" s="397" t="s">
        <v>9566</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1:7" x14ac:dyDescent="0.3">
      <c r="A4817" s="292"/>
      <c r="B4817" s="391"/>
      <c r="C4817" s="292"/>
      <c r="D4817" s="292"/>
      <c r="E4817" s="292"/>
      <c r="F4817" s="5"/>
      <c r="G4817" s="397" t="s">
        <v>9567</v>
      </c>
    </row>
    <row r="4818" spans="1:7" x14ac:dyDescent="0.3">
      <c r="A4818" s="292"/>
      <c r="B4818" s="391"/>
      <c r="C4818" s="292"/>
      <c r="D4818" s="292"/>
      <c r="E4818" s="292"/>
      <c r="F4818" s="5"/>
      <c r="G4818" s="397" t="s">
        <v>9567</v>
      </c>
    </row>
    <row r="4819" spans="1:7" x14ac:dyDescent="0.3">
      <c r="A4819" s="292"/>
      <c r="B4819" s="391"/>
      <c r="C4819" s="292"/>
      <c r="D4819" s="292"/>
      <c r="E4819" s="292"/>
      <c r="F4819" s="5"/>
      <c r="G4819" s="397" t="s">
        <v>9567</v>
      </c>
    </row>
    <row r="4820" spans="1:7" x14ac:dyDescent="0.3">
      <c r="A4820" s="292"/>
      <c r="B4820" s="391"/>
      <c r="C4820" s="292"/>
      <c r="D4820" s="292"/>
      <c r="E4820" s="292"/>
      <c r="F4820" s="5"/>
      <c r="G4820" s="397" t="s">
        <v>9567</v>
      </c>
    </row>
    <row r="4821" spans="1:7" x14ac:dyDescent="0.3">
      <c r="A4821" s="292"/>
      <c r="B4821" s="391"/>
      <c r="C4821" s="292"/>
      <c r="D4821" s="292"/>
      <c r="E4821" s="292"/>
      <c r="F4821" s="5"/>
      <c r="G4821" s="397" t="s">
        <v>9567</v>
      </c>
    </row>
    <row r="4822" spans="1:7" x14ac:dyDescent="0.3">
      <c r="A4822" s="292"/>
      <c r="B4822" s="391"/>
      <c r="C4822" s="292"/>
      <c r="D4822" s="292"/>
      <c r="E4822" s="292"/>
      <c r="F4822" s="5"/>
      <c r="G4822" s="397" t="s">
        <v>9567</v>
      </c>
    </row>
    <row r="4823" spans="1:7" x14ac:dyDescent="0.3">
      <c r="G4823" s="397" t="s">
        <v>9567</v>
      </c>
    </row>
    <row r="4824" spans="1:7" x14ac:dyDescent="0.3">
      <c r="G4824" s="397" t="s">
        <v>9567</v>
      </c>
    </row>
    <row r="4825" spans="1:7" x14ac:dyDescent="0.3">
      <c r="G4825" s="397" t="s">
        <v>9567</v>
      </c>
    </row>
    <row r="4826" spans="1:7" x14ac:dyDescent="0.3">
      <c r="G4826" s="397" t="s">
        <v>9567</v>
      </c>
    </row>
    <row r="4827" spans="1:7" x14ac:dyDescent="0.3">
      <c r="G4827" s="397" t="s">
        <v>9567</v>
      </c>
    </row>
    <row r="4828" spans="1:7" x14ac:dyDescent="0.3">
      <c r="G4828" s="397" t="s">
        <v>9567</v>
      </c>
    </row>
    <row r="4829" spans="1:7" x14ac:dyDescent="0.3">
      <c r="G4829" s="397" t="s">
        <v>9567</v>
      </c>
    </row>
    <row r="4830" spans="1:7" x14ac:dyDescent="0.3">
      <c r="G4830" s="397" t="s">
        <v>9567</v>
      </c>
    </row>
    <row r="4831" spans="1:7" x14ac:dyDescent="0.3">
      <c r="G4831" s="397" t="s">
        <v>9567</v>
      </c>
    </row>
    <row r="4832" spans="1: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9567</v>
      </c>
    </row>
    <row r="5552" spans="7:7" x14ac:dyDescent="0.3">
      <c r="G5552" s="397" t="s">
        <v>9567</v>
      </c>
    </row>
    <row r="5553" spans="7:7" x14ac:dyDescent="0.3">
      <c r="G5553" s="397" t="s">
        <v>9567</v>
      </c>
    </row>
    <row r="5554" spans="7:7" x14ac:dyDescent="0.3">
      <c r="G5554" s="397" t="s">
        <v>9567</v>
      </c>
    </row>
    <row r="5555" spans="7:7" x14ac:dyDescent="0.3">
      <c r="G5555" s="397" t="s">
        <v>9567</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G7689" s="397" t="s">
        <v>9566</v>
      </c>
    </row>
    <row r="7690" spans="3:7" x14ac:dyDescent="0.3">
      <c r="G7690" s="397" t="s">
        <v>9566</v>
      </c>
    </row>
    <row r="7691" spans="3:7" x14ac:dyDescent="0.3">
      <c r="G7691" s="397" t="s">
        <v>9566</v>
      </c>
    </row>
    <row r="7692" spans="3:7" x14ac:dyDescent="0.3">
      <c r="G7692" s="397" t="s">
        <v>9566</v>
      </c>
    </row>
    <row r="7693" spans="3:7" x14ac:dyDescent="0.3">
      <c r="G7693" s="397" t="s">
        <v>9566</v>
      </c>
    </row>
    <row r="7694" spans="3:7" x14ac:dyDescent="0.3">
      <c r="G7694" s="397" t="s">
        <v>9566</v>
      </c>
    </row>
    <row r="7695" spans="3:7" x14ac:dyDescent="0.3">
      <c r="C7695" s="683"/>
      <c r="D7695" s="304"/>
    </row>
  </sheetData>
  <autoFilter ref="A1:K7693"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O14" sqref="O14"/>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943" t="s">
        <v>6974</v>
      </c>
      <c r="B2" s="944"/>
      <c r="C2" s="944"/>
      <c r="D2" s="944"/>
      <c r="E2" s="945"/>
      <c r="I2" s="441"/>
      <c r="J2" s="441"/>
      <c r="K2" s="441"/>
      <c r="L2" s="442"/>
      <c r="M2" s="442"/>
      <c r="N2" s="442"/>
    </row>
    <row r="3" spans="1:19 16384:16384" ht="32.25" thickBot="1" x14ac:dyDescent="0.55000000000000004">
      <c r="A3" s="946" t="s">
        <v>862</v>
      </c>
      <c r="B3" s="947"/>
      <c r="C3" s="947"/>
      <c r="D3" s="947"/>
      <c r="E3" s="948"/>
      <c r="I3" s="443"/>
      <c r="J3" s="443">
        <f ca="1">SUM(J5:J479)</f>
        <v>175135619</v>
      </c>
      <c r="K3" s="443">
        <f>SUM(K5:K471)</f>
        <v>-6630265</v>
      </c>
      <c r="L3" s="444"/>
      <c r="M3" s="473">
        <v>44928</v>
      </c>
      <c r="N3" s="443">
        <f>SUM(N5:N473)</f>
        <v>-77251244.539999962</v>
      </c>
      <c r="O3" s="443">
        <f>SUM(O5:O474)+1207800+18900</f>
        <v>1344000</v>
      </c>
      <c r="Q3" s="449"/>
      <c r="R3" s="449" t="s">
        <v>12166</v>
      </c>
      <c r="S3" s="449" t="s">
        <v>12166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949" t="s">
        <v>8178</v>
      </c>
      <c r="B5" s="950"/>
      <c r="C5" s="951"/>
      <c r="D5" s="952">
        <f>DIB!H2</f>
        <v>-138802</v>
      </c>
      <c r="E5" s="953"/>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+3081420+4025000+1000000+800000+700000+40000-16347620-2800000</f>
        <v>142492704</v>
      </c>
      <c r="K5" s="434">
        <f>100289+65000+3000+127718+100000+220+5000+50000+50000+50000+10174+50000+100000+100000+50000+101855+259683+29250+300000+499378+1500+150000-10000000+100000+67000+50000+500000+41000+300667+50001+50000+8000</f>
        <v>-6630265</v>
      </c>
      <c r="L5" s="446"/>
      <c r="M5" s="443">
        <f ca="1">'[2]Main Summary'!$G$21+'[2]Main Summary'!$K$21+'[2]Main Summary'!$O$21-D17-J3+K3-N3+O3+'[2]Main Summary'!$C$21</f>
        <v>15012456.395602852</v>
      </c>
      <c r="N5" s="445"/>
      <c r="O5" s="445"/>
      <c r="Q5" s="449"/>
      <c r="R5" s="308"/>
      <c r="S5" s="308"/>
    </row>
    <row r="6" spans="1:19 16384:16384" ht="26.25" x14ac:dyDescent="0.25">
      <c r="A6" s="954" t="s">
        <v>8179</v>
      </c>
      <c r="B6" s="955"/>
      <c r="C6" s="955"/>
      <c r="D6" s="952">
        <f>MCB!H2</f>
        <v>59336778.75120002</v>
      </c>
      <c r="E6" s="953"/>
      <c r="I6" s="974" t="s">
        <v>9892</v>
      </c>
      <c r="J6" s="974"/>
      <c r="K6" s="974"/>
      <c r="L6" s="450"/>
      <c r="M6" s="974" t="s">
        <v>9892</v>
      </c>
      <c r="N6" s="974"/>
      <c r="O6" s="974"/>
      <c r="Q6" s="449"/>
      <c r="R6" s="308"/>
      <c r="S6" s="308"/>
    </row>
    <row r="7" spans="1:19 16384:16384" ht="26.25" x14ac:dyDescent="0.25">
      <c r="A7" s="954" t="s">
        <v>8180</v>
      </c>
      <c r="B7" s="955"/>
      <c r="C7" s="955"/>
      <c r="D7" s="952">
        <f>'PES MCB'!H2</f>
        <v>1043202</v>
      </c>
      <c r="E7" s="953"/>
      <c r="I7" s="975" t="s">
        <v>9750</v>
      </c>
      <c r="J7" s="976"/>
      <c r="K7" s="977"/>
      <c r="L7" s="450"/>
      <c r="M7" s="975" t="s">
        <v>6977</v>
      </c>
      <c r="N7" s="976"/>
      <c r="O7" s="977"/>
      <c r="Q7" s="304"/>
      <c r="R7" s="304"/>
      <c r="S7" s="304"/>
    </row>
    <row r="8" spans="1:19 16384:16384" ht="30" x14ac:dyDescent="0.25">
      <c r="A8" s="954" t="s">
        <v>14758</v>
      </c>
      <c r="B8" s="955"/>
      <c r="C8" s="955"/>
      <c r="D8" s="952">
        <f>Meezan!H2</f>
        <v>14043600</v>
      </c>
      <c r="E8" s="953"/>
      <c r="I8" s="447" t="s">
        <v>3</v>
      </c>
      <c r="J8" s="448" t="s">
        <v>9893</v>
      </c>
      <c r="K8" s="448" t="s">
        <v>10131</v>
      </c>
      <c r="L8" s="451"/>
      <c r="M8" s="447" t="s">
        <v>3</v>
      </c>
      <c r="N8" s="448" t="s">
        <v>10132</v>
      </c>
      <c r="O8" s="448" t="s">
        <v>10133</v>
      </c>
      <c r="Q8" s="304"/>
      <c r="R8" s="304"/>
      <c r="S8" s="304"/>
    </row>
    <row r="9" spans="1:19 16384:16384" ht="26.25" x14ac:dyDescent="0.25">
      <c r="A9" s="954" t="s">
        <v>14989</v>
      </c>
      <c r="B9" s="955"/>
      <c r="C9" s="955"/>
      <c r="D9" s="952">
        <f>BAHL!H2</f>
        <v>2117343.9380000001</v>
      </c>
      <c r="E9" s="953"/>
      <c r="I9" s="449" t="s">
        <v>9566</v>
      </c>
      <c r="J9" s="504">
        <f ca="1">SUMIF(Cash!H:H,cb!I9,Cash!E1:E36789)</f>
        <v>360770</v>
      </c>
      <c r="K9" s="449"/>
      <c r="L9" s="450"/>
      <c r="M9" s="449" t="s">
        <v>12168</v>
      </c>
      <c r="N9" s="449">
        <f>S54</f>
        <v>-77251244.539999962</v>
      </c>
      <c r="O9" s="449"/>
      <c r="Q9" s="304"/>
      <c r="R9" s="304"/>
      <c r="S9" s="304"/>
    </row>
    <row r="10" spans="1:19 16384:16384" ht="26.25" x14ac:dyDescent="0.25">
      <c r="A10" s="956" t="s">
        <v>9221</v>
      </c>
      <c r="B10" s="957"/>
      <c r="C10" s="957"/>
      <c r="D10" s="958">
        <f>'Bilal bhai'!F1510</f>
        <v>-4922185</v>
      </c>
      <c r="E10" s="959"/>
      <c r="I10" s="449" t="s">
        <v>4989</v>
      </c>
      <c r="J10" s="504"/>
      <c r="K10" s="449"/>
      <c r="L10" s="450"/>
      <c r="M10" s="449"/>
      <c r="N10" s="308"/>
      <c r="O10" s="304">
        <v>78000</v>
      </c>
      <c r="Q10" s="304"/>
      <c r="R10" s="304"/>
      <c r="S10" s="304"/>
    </row>
    <row r="11" spans="1:19 16384:16384" ht="26.25" x14ac:dyDescent="0.25">
      <c r="A11" s="956" t="s">
        <v>9222</v>
      </c>
      <c r="B11" s="957"/>
      <c r="C11" s="957"/>
      <c r="D11" s="958">
        <f>'Nadeem bhai'!F2014</f>
        <v>615069</v>
      </c>
      <c r="E11" s="959"/>
      <c r="I11" s="449" t="s">
        <v>1449</v>
      </c>
      <c r="J11" s="504">
        <f>SUMIF(Cash!C5392:C36791,cb!I11,Cash!E5392:E36791)+2000+1000+16500+1000+1000+7500+5000+10500+4000+5000+2000+2000+2000+500-60000+1000+500+30000+15000+1000+9000+40000+5000+6000+19000+500+2000+3000+5000+10000+1000+500+10000+7000</f>
        <v>3447000</v>
      </c>
      <c r="K11" s="449"/>
      <c r="L11" s="450"/>
      <c r="M11" s="449"/>
      <c r="N11" s="308"/>
      <c r="O11" s="304">
        <v>12000</v>
      </c>
      <c r="Q11" s="304"/>
      <c r="R11" s="304"/>
      <c r="S11" s="304"/>
    </row>
    <row r="12" spans="1:19 16384:16384" ht="26.25" x14ac:dyDescent="0.25">
      <c r="A12" s="960" t="s">
        <v>9223</v>
      </c>
      <c r="B12" s="961"/>
      <c r="C12" s="961"/>
      <c r="D12" s="962">
        <f>Cash!G12668</f>
        <v>10662.613307113526</v>
      </c>
      <c r="E12" s="963"/>
      <c r="I12" s="449" t="s">
        <v>12519</v>
      </c>
      <c r="J12" s="504">
        <f>SUM(H21:H1000)</f>
        <v>779870</v>
      </c>
      <c r="K12" s="449"/>
      <c r="L12" s="450"/>
      <c r="M12" s="304"/>
      <c r="N12" s="304"/>
      <c r="O12" s="304">
        <v>13300</v>
      </c>
      <c r="Q12" s="304"/>
      <c r="R12" s="304"/>
      <c r="S12" s="304"/>
    </row>
    <row r="13" spans="1:19 16384:16384" ht="26.25" x14ac:dyDescent="0.25">
      <c r="A13" s="960" t="s">
        <v>9293</v>
      </c>
      <c r="B13" s="961"/>
      <c r="C13" s="961"/>
      <c r="D13" s="962">
        <f ca="1">staff!M626</f>
        <v>579906</v>
      </c>
      <c r="E13" s="963"/>
      <c r="I13" s="304" t="s">
        <v>10972</v>
      </c>
      <c r="J13" s="504">
        <f>'[3]Zakat 2020-21'!$P$23+'[3]Zakat 2020-21'!$G$23+'[3]Zakat 2020-21'!$C$23</f>
        <v>1575655</v>
      </c>
      <c r="K13" s="449"/>
      <c r="L13" s="450"/>
      <c r="M13" s="304"/>
      <c r="N13" s="304"/>
      <c r="O13" s="449">
        <v>14000</v>
      </c>
      <c r="P13" s="277"/>
      <c r="Q13" s="449"/>
      <c r="R13" s="308"/>
      <c r="S13" s="308"/>
    </row>
    <row r="14" spans="1:19 16384:16384" ht="26.25" x14ac:dyDescent="0.25">
      <c r="A14" s="960" t="s">
        <v>10899</v>
      </c>
      <c r="B14" s="961"/>
      <c r="C14" s="961"/>
      <c r="D14" s="962">
        <v>300000</v>
      </c>
      <c r="E14" s="963"/>
      <c r="I14" s="449"/>
      <c r="J14" s="449"/>
      <c r="K14" s="449"/>
      <c r="L14" s="451"/>
      <c r="M14" s="304"/>
      <c r="N14" s="304"/>
      <c r="O14" s="449"/>
      <c r="Q14" s="304"/>
      <c r="R14" s="308"/>
      <c r="S14" s="308"/>
      <c r="XFD14" s="277">
        <f>SUM(F14:XFC14)</f>
        <v>0</v>
      </c>
    </row>
    <row r="15" spans="1:19 16384:16384" ht="23.25" x14ac:dyDescent="0.25">
      <c r="A15" s="969" t="s">
        <v>12874</v>
      </c>
      <c r="B15" s="970"/>
      <c r="C15" s="970"/>
      <c r="D15" s="962">
        <v>100000</v>
      </c>
      <c r="E15" s="963"/>
      <c r="I15" s="449" t="s">
        <v>16042</v>
      </c>
      <c r="J15" s="449">
        <f>[2]Receiving!$I$186</f>
        <v>23447620</v>
      </c>
      <c r="K15" s="449"/>
      <c r="L15" s="451"/>
      <c r="M15" s="304"/>
      <c r="N15" s="304"/>
      <c r="O15" s="449"/>
      <c r="P15" s="277"/>
      <c r="Q15" s="304"/>
      <c r="R15" s="308"/>
      <c r="S15" s="308"/>
    </row>
    <row r="16" spans="1:19 16384:16384" ht="33.75" customHeight="1" x14ac:dyDescent="0.25">
      <c r="A16" s="971" t="s">
        <v>15157</v>
      </c>
      <c r="B16" s="970"/>
      <c r="C16" s="970"/>
      <c r="D16" s="962">
        <v>2500000</v>
      </c>
      <c r="E16" s="963"/>
      <c r="I16" s="449"/>
      <c r="J16" s="449"/>
      <c r="K16" s="304"/>
      <c r="L16" s="450"/>
      <c r="M16" s="449"/>
      <c r="N16" s="308"/>
      <c r="O16" s="449"/>
      <c r="Q16" s="304"/>
      <c r="R16" s="308"/>
      <c r="S16" s="308"/>
    </row>
    <row r="17" spans="1:21" ht="29.25" thickBot="1" x14ac:dyDescent="0.5">
      <c r="A17" s="964" t="s">
        <v>6976</v>
      </c>
      <c r="B17" s="965"/>
      <c r="C17" s="966"/>
      <c r="D17" s="967">
        <f ca="1">SUM(D5:E16)</f>
        <v>75585575.302507132</v>
      </c>
      <c r="E17" s="968"/>
      <c r="H17" s="277"/>
      <c r="I17" s="304" t="s">
        <v>9869</v>
      </c>
      <c r="J17" s="449">
        <v>400000</v>
      </c>
      <c r="K17" s="304"/>
      <c r="L17" s="450"/>
      <c r="M17" s="449"/>
      <c r="N17" s="308"/>
      <c r="O17" s="449"/>
      <c r="P17" s="308"/>
      <c r="Q17" s="304"/>
      <c r="R17" s="308"/>
      <c r="S17" s="308"/>
    </row>
    <row r="18" spans="1:21" x14ac:dyDescent="0.25">
      <c r="I18" s="304" t="s">
        <v>9869</v>
      </c>
      <c r="J18" s="449">
        <v>1632000</v>
      </c>
      <c r="K18" s="304"/>
      <c r="L18" s="452"/>
      <c r="M18" s="449"/>
      <c r="N18" s="308"/>
      <c r="O18" s="304"/>
      <c r="P18" s="308"/>
      <c r="Q18" s="449"/>
      <c r="R18" s="308"/>
      <c r="S18" s="308"/>
    </row>
    <row r="19" spans="1:21" x14ac:dyDescent="0.25">
      <c r="I19" s="304"/>
      <c r="J19" s="449"/>
      <c r="K19" s="304"/>
      <c r="L19" s="452"/>
      <c r="M19" s="449"/>
      <c r="N19" s="308"/>
      <c r="O19" s="304"/>
      <c r="P19" s="2"/>
      <c r="Q19" s="304"/>
      <c r="R19" s="308"/>
      <c r="S19" s="308"/>
    </row>
    <row r="20" spans="1:21" ht="26.25" x14ac:dyDescent="0.3">
      <c r="A20" s="960" t="s">
        <v>14198</v>
      </c>
      <c r="B20" s="961"/>
      <c r="C20" s="961"/>
      <c r="D20" s="962">
        <f>E32</f>
        <v>-1000008.849999994</v>
      </c>
      <c r="E20" s="963"/>
      <c r="G20" s="972" t="s">
        <v>12519</v>
      </c>
      <c r="H20" s="973"/>
      <c r="I20" s="449" t="s">
        <v>16328</v>
      </c>
      <c r="J20" s="449">
        <v>1000000</v>
      </c>
      <c r="K20" s="304"/>
      <c r="L20" s="452"/>
      <c r="M20" s="304"/>
      <c r="N20" s="304"/>
      <c r="O20" s="304"/>
      <c r="P20" s="2"/>
      <c r="Q20" s="304"/>
      <c r="R20" s="308"/>
      <c r="S20" s="308"/>
    </row>
    <row r="21" spans="1:21" ht="26.25" x14ac:dyDescent="0.25">
      <c r="A21" s="960" t="s">
        <v>14199</v>
      </c>
      <c r="B21" s="961"/>
      <c r="C21" s="961"/>
      <c r="D21" s="962">
        <f>E33</f>
        <v>-76443.019999980927</v>
      </c>
      <c r="E21" s="963"/>
      <c r="G21" t="s">
        <v>12605</v>
      </c>
      <c r="H21" s="2">
        <v>7000</v>
      </c>
      <c r="I21" s="449"/>
      <c r="J21" s="449"/>
      <c r="K21" s="304"/>
      <c r="L21" s="452"/>
      <c r="M21" s="304"/>
      <c r="N21" s="304"/>
      <c r="O21" s="304"/>
      <c r="Q21" s="304"/>
      <c r="R21" s="308"/>
      <c r="S21" s="308"/>
      <c r="U21" s="277"/>
    </row>
    <row r="22" spans="1:21" ht="26.25" x14ac:dyDescent="0.25">
      <c r="A22" s="960" t="s">
        <v>14200</v>
      </c>
      <c r="B22" s="961"/>
      <c r="C22" s="961"/>
      <c r="D22" s="962">
        <f>'PES MCB'!J21</f>
        <v>2393849</v>
      </c>
      <c r="E22" s="963"/>
      <c r="G22" t="s">
        <v>12683</v>
      </c>
      <c r="H22" s="2">
        <v>50000</v>
      </c>
      <c r="I22" s="449"/>
      <c r="J22" s="449"/>
      <c r="K22" s="304"/>
      <c r="L22" s="452"/>
      <c r="M22" s="304"/>
      <c r="N22" s="304"/>
      <c r="O22" s="304"/>
      <c r="Q22" s="304"/>
      <c r="R22" s="308"/>
      <c r="S22" s="308"/>
      <c r="U22" s="277">
        <f>SUM(S44:S51)</f>
        <v>0</v>
      </c>
    </row>
    <row r="23" spans="1:21" x14ac:dyDescent="0.25">
      <c r="G23" t="s">
        <v>6959</v>
      </c>
      <c r="H23" s="592">
        <v>1000</v>
      </c>
      <c r="I23" s="304"/>
      <c r="J23" s="304"/>
      <c r="K23" s="302"/>
      <c r="L23" s="452"/>
      <c r="M23" s="304"/>
      <c r="N23" s="304"/>
      <c r="O23" s="304"/>
      <c r="Q23" s="304"/>
      <c r="R23" s="308"/>
      <c r="S23" s="308"/>
    </row>
    <row r="24" spans="1:21" ht="28.5" x14ac:dyDescent="0.25">
      <c r="A24" s="978" t="s">
        <v>6976</v>
      </c>
      <c r="B24" s="979"/>
      <c r="C24" s="979"/>
      <c r="D24" s="980">
        <f ca="1">D22+D21+D20+D17</f>
        <v>76902972.432507157</v>
      </c>
      <c r="E24" s="981"/>
      <c r="G24" t="s">
        <v>12719</v>
      </c>
      <c r="H24" s="302">
        <v>500</v>
      </c>
      <c r="I24" s="304"/>
      <c r="J24" s="304"/>
      <c r="K24" s="302"/>
      <c r="L24" s="452"/>
      <c r="M24" s="304"/>
      <c r="N24" s="449"/>
      <c r="O24" s="304"/>
      <c r="Q24" s="304"/>
      <c r="R24" s="308"/>
      <c r="S24" s="308"/>
    </row>
    <row r="25" spans="1:21" x14ac:dyDescent="0.25">
      <c r="G25" t="s">
        <v>12605</v>
      </c>
      <c r="H25" s="2">
        <v>7000</v>
      </c>
      <c r="I25" s="304"/>
      <c r="J25" s="304"/>
      <c r="K25" s="302"/>
      <c r="L25" s="452"/>
      <c r="M25" s="304"/>
      <c r="N25" s="304"/>
      <c r="O25" s="304"/>
      <c r="Q25" s="304"/>
      <c r="R25" s="308"/>
      <c r="S25" s="308"/>
    </row>
    <row r="26" spans="1:21" x14ac:dyDescent="0.25">
      <c r="G26" t="s">
        <v>12905</v>
      </c>
      <c r="H26" s="2">
        <v>1000</v>
      </c>
      <c r="I26" s="304"/>
      <c r="J26" s="449"/>
      <c r="K26" s="302"/>
      <c r="L26" s="452"/>
      <c r="M26" s="304"/>
      <c r="N26" s="304"/>
      <c r="O26" s="302"/>
      <c r="Q26" s="304"/>
      <c r="R26" s="308"/>
      <c r="S26" s="308"/>
    </row>
    <row r="27" spans="1:21" x14ac:dyDescent="0.25">
      <c r="G27" t="s">
        <v>13061</v>
      </c>
      <c r="H27" s="612">
        <v>7000</v>
      </c>
      <c r="I27" s="304"/>
      <c r="J27" s="449"/>
      <c r="K27" s="302"/>
      <c r="L27" s="433"/>
      <c r="M27" s="302"/>
      <c r="N27" s="302"/>
      <c r="O27" s="302"/>
      <c r="Q27" s="304"/>
      <c r="R27" s="308"/>
      <c r="S27" s="308"/>
    </row>
    <row r="28" spans="1:21" x14ac:dyDescent="0.25">
      <c r="G28" t="s">
        <v>13082</v>
      </c>
      <c r="H28" s="2">
        <v>4000</v>
      </c>
      <c r="I28" s="449"/>
      <c r="J28" s="449"/>
      <c r="K28" s="302"/>
      <c r="L28" s="433"/>
      <c r="M28" s="302"/>
      <c r="N28" s="302"/>
      <c r="O28" s="302"/>
      <c r="Q28" s="304"/>
      <c r="R28" s="308"/>
      <c r="S28" s="308"/>
    </row>
    <row r="29" spans="1:21" x14ac:dyDescent="0.25">
      <c r="G29" t="s">
        <v>13085</v>
      </c>
      <c r="H29" s="612">
        <v>1000</v>
      </c>
      <c r="I29" s="449"/>
      <c r="J29" s="304"/>
      <c r="K29" s="302"/>
      <c r="L29" s="433"/>
      <c r="M29" s="302"/>
      <c r="N29" s="302"/>
      <c r="O29" s="302"/>
      <c r="Q29" s="304"/>
      <c r="R29" s="308"/>
      <c r="S29" s="308"/>
    </row>
    <row r="30" spans="1:21" x14ac:dyDescent="0.25">
      <c r="D30" s="2" t="s">
        <v>14034</v>
      </c>
      <c r="E30" s="2">
        <f ca="1">D17</f>
        <v>75585575.302507132</v>
      </c>
      <c r="G30" t="s">
        <v>13103</v>
      </c>
      <c r="H30">
        <f>5000+4000</f>
        <v>9000</v>
      </c>
      <c r="I30" s="449"/>
      <c r="J30" s="304"/>
      <c r="K30" s="302"/>
      <c r="L30" s="433"/>
      <c r="M30" s="302"/>
      <c r="N30" s="302"/>
      <c r="O30" s="302"/>
      <c r="Q30" s="304"/>
      <c r="R30" s="308"/>
      <c r="S30" s="308"/>
    </row>
    <row r="31" spans="1:21" x14ac:dyDescent="0.25">
      <c r="G31" t="s">
        <v>13104</v>
      </c>
      <c r="H31" s="612">
        <v>5000</v>
      </c>
      <c r="I31" s="449"/>
      <c r="J31" s="449"/>
      <c r="K31" s="302"/>
      <c r="L31" s="433"/>
      <c r="M31" s="302"/>
      <c r="N31" s="302"/>
      <c r="O31" s="302"/>
      <c r="Q31" s="304"/>
      <c r="R31" s="308"/>
      <c r="S31" s="308"/>
    </row>
    <row r="32" spans="1:21" x14ac:dyDescent="0.25">
      <c r="D32" s="2" t="s">
        <v>14035</v>
      </c>
      <c r="E32" s="2">
        <f>'[4]Al madina'!$P$11</f>
        <v>-1000008.849999994</v>
      </c>
      <c r="G32" t="s">
        <v>13061</v>
      </c>
      <c r="H32" s="612">
        <v>7000</v>
      </c>
      <c r="I32" s="449"/>
      <c r="J32" s="449"/>
      <c r="K32" s="302"/>
      <c r="L32" s="433"/>
      <c r="M32" s="302"/>
      <c r="N32" s="302"/>
      <c r="O32" s="302"/>
      <c r="Q32" s="304"/>
      <c r="R32" s="308"/>
      <c r="S32" s="308"/>
    </row>
    <row r="33" spans="4:19" x14ac:dyDescent="0.25">
      <c r="D33" s="2" t="s">
        <v>14036</v>
      </c>
      <c r="E33" s="2">
        <f>'[4]Al madina'!$Q$11</f>
        <v>-76443.019999980927</v>
      </c>
      <c r="G33" t="s">
        <v>13149</v>
      </c>
      <c r="H33">
        <v>5000</v>
      </c>
      <c r="I33" s="449"/>
      <c r="J33" s="449"/>
      <c r="K33" s="302"/>
      <c r="L33" s="433"/>
      <c r="M33" s="302"/>
      <c r="N33" s="302"/>
      <c r="O33" s="302"/>
      <c r="Q33" s="304"/>
      <c r="R33" s="308"/>
      <c r="S33" s="308"/>
    </row>
    <row r="34" spans="4:19" x14ac:dyDescent="0.25">
      <c r="G34" t="s">
        <v>13176</v>
      </c>
      <c r="H34" s="277">
        <v>5000</v>
      </c>
      <c r="I34" s="449"/>
      <c r="J34" s="304"/>
      <c r="K34" s="302"/>
      <c r="L34" s="433"/>
      <c r="M34" s="302"/>
      <c r="N34" s="302"/>
      <c r="O34" s="302"/>
      <c r="Q34" s="304"/>
      <c r="R34" s="308"/>
      <c r="S34" s="308"/>
    </row>
    <row r="35" spans="4:19" x14ac:dyDescent="0.25">
      <c r="D35" s="2" t="s">
        <v>12351</v>
      </c>
      <c r="E35" s="2">
        <f>'PES MCB'!J21</f>
        <v>2393849</v>
      </c>
      <c r="G35" t="s">
        <v>13237</v>
      </c>
      <c r="H35" s="277">
        <v>2000</v>
      </c>
      <c r="I35" s="449"/>
      <c r="J35" s="304"/>
      <c r="K35" s="302"/>
      <c r="L35" s="433"/>
      <c r="M35" s="302"/>
      <c r="N35" s="302"/>
      <c r="O35" s="302"/>
      <c r="Q35" s="304"/>
      <c r="R35" s="308"/>
      <c r="S35" s="308"/>
    </row>
    <row r="36" spans="4:19" x14ac:dyDescent="0.25">
      <c r="G36" t="s">
        <v>13295</v>
      </c>
      <c r="H36">
        <v>1000</v>
      </c>
      <c r="I36" s="449"/>
      <c r="J36" s="304"/>
      <c r="K36" s="302"/>
      <c r="L36" s="433"/>
      <c r="M36" s="302"/>
      <c r="N36" s="302"/>
      <c r="O36" s="302"/>
      <c r="Q36" s="304"/>
      <c r="R36" s="308"/>
      <c r="S36" s="308"/>
    </row>
    <row r="37" spans="4:19" x14ac:dyDescent="0.25">
      <c r="D37" s="2" t="s">
        <v>9746</v>
      </c>
      <c r="E37" s="2">
        <f ca="1">SUM(E30:E36)</f>
        <v>76902972.432507157</v>
      </c>
      <c r="G37" t="s">
        <v>13296</v>
      </c>
      <c r="H37">
        <v>1000</v>
      </c>
      <c r="I37" s="449"/>
      <c r="J37" s="304"/>
      <c r="K37" s="302"/>
      <c r="L37" s="433"/>
      <c r="M37" s="302"/>
      <c r="N37" s="302"/>
      <c r="O37" s="302"/>
      <c r="Q37" s="304"/>
      <c r="R37" s="308"/>
      <c r="S37" s="308"/>
    </row>
    <row r="38" spans="4:19" x14ac:dyDescent="0.25">
      <c r="G38" t="s">
        <v>13297</v>
      </c>
      <c r="H38">
        <v>3000</v>
      </c>
      <c r="I38" s="449"/>
      <c r="J38" s="304"/>
      <c r="K38" s="302"/>
      <c r="L38" s="433"/>
      <c r="M38" s="302"/>
      <c r="N38" s="302"/>
      <c r="O38" s="302"/>
      <c r="Q38" s="304"/>
      <c r="R38" s="308"/>
      <c r="S38" s="308"/>
    </row>
    <row r="39" spans="4:19" x14ac:dyDescent="0.25">
      <c r="D39" s="2" t="s">
        <v>14037</v>
      </c>
      <c r="E39" s="2">
        <f>[2]Profit!$J$29+[2]Profit!$I$29+[2]Profit!$H$29+[2]Profit!$E$29+[2]Profit!$D$29+[2]Profit!$C$29</f>
        <v>94692471.311539367</v>
      </c>
      <c r="G39" t="s">
        <v>13298</v>
      </c>
      <c r="H39">
        <v>500</v>
      </c>
      <c r="I39" s="449"/>
      <c r="J39" s="304"/>
      <c r="K39" s="302"/>
      <c r="L39" s="433"/>
      <c r="M39" s="302"/>
      <c r="N39" s="302"/>
      <c r="O39" s="302"/>
      <c r="Q39" s="304"/>
      <c r="R39" s="308"/>
      <c r="S39" s="308"/>
    </row>
    <row r="40" spans="4:19" x14ac:dyDescent="0.25">
      <c r="G40" t="s">
        <v>13297</v>
      </c>
      <c r="H40">
        <v>4000</v>
      </c>
      <c r="I40" s="449"/>
      <c r="J40" s="304"/>
      <c r="K40" s="302"/>
      <c r="L40" s="433"/>
      <c r="M40" s="302"/>
      <c r="N40" s="302"/>
      <c r="O40" s="302"/>
      <c r="Q40" s="304"/>
      <c r="R40" s="308"/>
      <c r="S40" s="308"/>
    </row>
    <row r="41" spans="4:19" x14ac:dyDescent="0.25">
      <c r="D41" s="2" t="s">
        <v>14038</v>
      </c>
      <c r="E41" s="2">
        <f ca="1">E37-E39</f>
        <v>-17789498.87903221</v>
      </c>
      <c r="G41" t="s">
        <v>13307</v>
      </c>
      <c r="H41">
        <v>5000</v>
      </c>
      <c r="I41" s="449"/>
      <c r="J41" s="304"/>
      <c r="K41" s="302"/>
      <c r="L41" s="433"/>
      <c r="M41" s="302"/>
      <c r="N41" s="302"/>
      <c r="O41" s="302"/>
      <c r="Q41" s="304"/>
      <c r="R41" s="308"/>
      <c r="S41" s="308"/>
    </row>
    <row r="42" spans="4:19" x14ac:dyDescent="0.25">
      <c r="G42" s="634" t="s">
        <v>13409</v>
      </c>
      <c r="H42" s="634">
        <v>5000</v>
      </c>
      <c r="I42" s="449"/>
      <c r="J42" s="304"/>
      <c r="K42" s="302"/>
      <c r="L42" s="433"/>
      <c r="M42" s="302"/>
      <c r="N42" s="302"/>
      <c r="O42" s="302"/>
      <c r="Q42" s="304"/>
      <c r="R42" s="308"/>
      <c r="S42" s="308"/>
    </row>
    <row r="43" spans="4:19" x14ac:dyDescent="0.25">
      <c r="G43" t="s">
        <v>13422</v>
      </c>
      <c r="H43">
        <v>10000</v>
      </c>
      <c r="I43" s="449" t="s">
        <v>14990</v>
      </c>
      <c r="J43" s="449"/>
      <c r="K43" s="302"/>
      <c r="L43" s="433"/>
      <c r="M43" s="302"/>
      <c r="N43" s="302"/>
      <c r="O43" s="302"/>
      <c r="Q43" s="304"/>
      <c r="R43" s="308"/>
      <c r="S43" s="308"/>
    </row>
    <row r="44" spans="4:19" x14ac:dyDescent="0.25">
      <c r="G44" t="s">
        <v>13452</v>
      </c>
      <c r="H44">
        <v>2000</v>
      </c>
      <c r="I44" s="449" t="s">
        <v>14990</v>
      </c>
      <c r="J44" s="449"/>
      <c r="K44" s="302"/>
      <c r="L44" s="433"/>
      <c r="M44" s="302"/>
      <c r="N44" s="302"/>
      <c r="O44" s="302"/>
      <c r="Q44" s="304"/>
      <c r="R44" s="308"/>
      <c r="S44" s="308"/>
    </row>
    <row r="45" spans="4:19" x14ac:dyDescent="0.25">
      <c r="G45" t="s">
        <v>13409</v>
      </c>
      <c r="H45">
        <v>5000</v>
      </c>
      <c r="I45" s="449" t="s">
        <v>14992</v>
      </c>
      <c r="J45" s="304"/>
      <c r="K45" s="302"/>
      <c r="L45" s="433"/>
      <c r="M45" s="302"/>
      <c r="N45" s="302"/>
      <c r="O45" s="302"/>
      <c r="Q45" s="449"/>
      <c r="R45" s="308"/>
      <c r="S45" s="308"/>
    </row>
    <row r="46" spans="4:19" x14ac:dyDescent="0.25">
      <c r="G46" t="s">
        <v>13409</v>
      </c>
      <c r="H46">
        <v>5000</v>
      </c>
      <c r="I46" s="449" t="s">
        <v>14992</v>
      </c>
      <c r="J46" s="304"/>
      <c r="K46" s="302"/>
      <c r="L46" s="433"/>
      <c r="M46" s="302"/>
      <c r="N46" s="302"/>
      <c r="O46" s="302"/>
      <c r="Q46" s="449"/>
      <c r="R46" s="308"/>
      <c r="S46" s="308"/>
    </row>
    <row r="47" spans="4:19" x14ac:dyDescent="0.25">
      <c r="G47" t="s">
        <v>13409</v>
      </c>
      <c r="H47">
        <v>5000</v>
      </c>
      <c r="I47" s="449" t="s">
        <v>14992</v>
      </c>
      <c r="J47" s="304"/>
      <c r="K47" s="302"/>
      <c r="L47" s="433"/>
      <c r="M47" s="302"/>
      <c r="N47" s="302"/>
      <c r="O47" s="302"/>
      <c r="Q47" s="449"/>
      <c r="R47" s="308"/>
      <c r="S47" s="308"/>
    </row>
    <row r="48" spans="4:19" x14ac:dyDescent="0.25">
      <c r="G48" s="634" t="s">
        <v>13556</v>
      </c>
      <c r="H48" s="634">
        <v>18000</v>
      </c>
      <c r="I48" s="449" t="s">
        <v>15424</v>
      </c>
      <c r="K48" s="302"/>
      <c r="L48" s="433"/>
      <c r="M48" s="302"/>
      <c r="N48" s="302"/>
      <c r="O48" s="302"/>
      <c r="Q48" s="449"/>
      <c r="R48" s="308"/>
      <c r="S48" s="308"/>
    </row>
    <row r="49" spans="7:19" x14ac:dyDescent="0.25">
      <c r="G49" t="s">
        <v>13557</v>
      </c>
      <c r="H49">
        <v>5000</v>
      </c>
      <c r="I49" s="449"/>
      <c r="J49" s="304"/>
      <c r="K49" s="302"/>
      <c r="L49" s="433"/>
      <c r="M49" s="302"/>
      <c r="N49" s="302"/>
      <c r="O49" s="302"/>
      <c r="Q49" s="449"/>
      <c r="R49" s="308"/>
      <c r="S49" s="308"/>
    </row>
    <row r="50" spans="7:19" x14ac:dyDescent="0.25">
      <c r="G50" t="s">
        <v>13569</v>
      </c>
      <c r="H50">
        <v>5000</v>
      </c>
      <c r="I50" s="302"/>
      <c r="J50" s="302"/>
      <c r="K50" s="302"/>
      <c r="L50" s="433"/>
      <c r="M50" s="302"/>
      <c r="N50" s="302"/>
      <c r="O50" s="302"/>
      <c r="Q50" s="449"/>
      <c r="R50" s="308"/>
      <c r="S50" s="308"/>
    </row>
    <row r="51" spans="7:19" x14ac:dyDescent="0.25">
      <c r="G51" t="s">
        <v>13569</v>
      </c>
      <c r="H51">
        <v>5000</v>
      </c>
      <c r="I51" s="302"/>
      <c r="J51" s="302"/>
      <c r="K51" s="302"/>
      <c r="L51" s="433"/>
      <c r="M51" s="302"/>
      <c r="N51" s="302"/>
      <c r="O51" s="302"/>
      <c r="Q51" s="449"/>
      <c r="R51" s="308"/>
      <c r="S51" s="308"/>
    </row>
    <row r="52" spans="7:19" x14ac:dyDescent="0.25">
      <c r="G52" t="s">
        <v>13569</v>
      </c>
      <c r="H52">
        <v>3000</v>
      </c>
      <c r="I52" s="302"/>
      <c r="J52" s="302"/>
      <c r="K52" s="302"/>
      <c r="L52" s="433"/>
      <c r="M52" s="302"/>
      <c r="N52" s="302"/>
      <c r="O52" s="302"/>
      <c r="Q52" s="308"/>
      <c r="R52" s="308"/>
      <c r="S52" s="308"/>
    </row>
    <row r="53" spans="7:19" ht="18.75" x14ac:dyDescent="0.25">
      <c r="G53" t="s">
        <v>13679</v>
      </c>
      <c r="H53">
        <v>100000</v>
      </c>
      <c r="I53" s="302"/>
      <c r="J53" s="302"/>
      <c r="K53" s="302"/>
      <c r="L53" s="433"/>
      <c r="M53" s="302"/>
      <c r="N53" s="302"/>
      <c r="O53" s="302"/>
      <c r="Q53" s="308"/>
      <c r="R53" s="308"/>
      <c r="S53" s="28">
        <f>SUM(S4:S52)</f>
        <v>0</v>
      </c>
    </row>
    <row r="54" spans="7:19" ht="18.75" x14ac:dyDescent="0.25">
      <c r="G54" s="634" t="s">
        <v>13557</v>
      </c>
      <c r="H54" s="634">
        <v>12000</v>
      </c>
      <c r="I54" s="302"/>
      <c r="J54" s="302"/>
      <c r="K54" s="302"/>
      <c r="L54" s="433"/>
      <c r="M54" s="302"/>
      <c r="N54" s="302"/>
      <c r="O54" s="302"/>
      <c r="Q54" s="449"/>
      <c r="R54" s="308"/>
      <c r="S54" s="28">
        <f>R55-S53-'[4]Al madina'!$Q$4</f>
        <v>-77251244.539999962</v>
      </c>
    </row>
    <row r="55" spans="7:19" ht="18.75" x14ac:dyDescent="0.25">
      <c r="G55" t="s">
        <v>13744</v>
      </c>
      <c r="H55">
        <v>5000</v>
      </c>
      <c r="I55" s="302"/>
      <c r="J55" s="302"/>
      <c r="K55" s="302"/>
      <c r="L55" s="433"/>
      <c r="M55" s="302"/>
      <c r="N55" s="302"/>
      <c r="O55" s="302"/>
      <c r="Q55" s="28" t="s">
        <v>9746</v>
      </c>
      <c r="R55" s="28">
        <f>'[4]Al madina'!$P$15</f>
        <v>210808973</v>
      </c>
    </row>
    <row r="56" spans="7:19" ht="18.75" x14ac:dyDescent="0.25">
      <c r="G56" t="s">
        <v>13948</v>
      </c>
      <c r="H56">
        <v>10000</v>
      </c>
      <c r="I56" s="302"/>
      <c r="J56" s="302"/>
      <c r="K56" s="302"/>
      <c r="L56" s="433"/>
      <c r="M56" s="302"/>
      <c r="N56" s="302"/>
      <c r="O56" s="302"/>
      <c r="Q56" s="28" t="s">
        <v>12167</v>
      </c>
      <c r="R56" s="28"/>
    </row>
    <row r="57" spans="7:19" x14ac:dyDescent="0.25">
      <c r="G57" t="s">
        <v>13949</v>
      </c>
      <c r="H57">
        <v>15000</v>
      </c>
      <c r="I57" s="302"/>
      <c r="J57" s="302"/>
      <c r="K57" s="302"/>
      <c r="L57" s="433"/>
      <c r="M57" s="302"/>
      <c r="N57" s="302"/>
      <c r="O57" s="302"/>
      <c r="R57" s="2"/>
    </row>
    <row r="58" spans="7:19" x14ac:dyDescent="0.25">
      <c r="G58" t="s">
        <v>14055</v>
      </c>
      <c r="H58">
        <v>50000</v>
      </c>
      <c r="I58" s="302"/>
      <c r="J58" s="302"/>
      <c r="K58" s="302"/>
      <c r="L58" s="433"/>
      <c r="M58" s="302"/>
      <c r="N58" s="302"/>
      <c r="O58" s="302"/>
      <c r="R58" s="2"/>
    </row>
    <row r="59" spans="7:19" x14ac:dyDescent="0.25">
      <c r="G59" t="s">
        <v>14137</v>
      </c>
      <c r="H59">
        <v>20000</v>
      </c>
      <c r="I59" s="302"/>
      <c r="J59" s="302"/>
      <c r="K59" s="302"/>
      <c r="L59" s="433"/>
      <c r="M59" s="302"/>
      <c r="N59" s="302"/>
      <c r="O59" s="302"/>
    </row>
    <row r="60" spans="7:19" x14ac:dyDescent="0.25">
      <c r="G60" t="s">
        <v>14212</v>
      </c>
      <c r="H60">
        <v>5000</v>
      </c>
      <c r="I60" s="302"/>
      <c r="J60" s="302"/>
      <c r="K60" s="302"/>
      <c r="L60" s="433"/>
      <c r="M60" s="302"/>
      <c r="N60" s="302"/>
      <c r="O60" s="302"/>
    </row>
    <row r="61" spans="7:19" x14ac:dyDescent="0.25">
      <c r="G61" t="s">
        <v>14345</v>
      </c>
      <c r="H61">
        <v>15000</v>
      </c>
      <c r="I61" s="302"/>
      <c r="J61" s="302"/>
      <c r="K61" s="302"/>
      <c r="L61" s="433"/>
      <c r="M61" s="302"/>
      <c r="N61" s="302"/>
      <c r="O61" s="302"/>
    </row>
    <row r="62" spans="7:19" x14ac:dyDescent="0.25">
      <c r="G62" t="s">
        <v>14346</v>
      </c>
      <c r="H62">
        <v>5000</v>
      </c>
      <c r="I62" s="302"/>
      <c r="J62" s="302"/>
      <c r="K62" s="302"/>
      <c r="L62" s="433"/>
      <c r="M62" s="302"/>
      <c r="N62" s="302"/>
      <c r="O62" s="302"/>
      <c r="R62" s="2"/>
    </row>
    <row r="63" spans="7:19" x14ac:dyDescent="0.25">
      <c r="G63" t="s">
        <v>14422</v>
      </c>
      <c r="H63">
        <v>4870</v>
      </c>
      <c r="I63" s="302"/>
      <c r="J63" s="302"/>
      <c r="K63" s="302"/>
      <c r="L63" s="433"/>
      <c r="M63" s="302"/>
      <c r="N63" s="302"/>
      <c r="O63" s="302"/>
    </row>
    <row r="64" spans="7:19" x14ac:dyDescent="0.25">
      <c r="G64" t="s">
        <v>14534</v>
      </c>
      <c r="H64">
        <v>1500</v>
      </c>
      <c r="I64" s="302"/>
      <c r="J64" s="302"/>
      <c r="K64" s="302"/>
      <c r="L64" s="433"/>
      <c r="M64" s="302"/>
      <c r="N64" s="302"/>
      <c r="O64" s="302"/>
    </row>
    <row r="65" spans="3:15" x14ac:dyDescent="0.25">
      <c r="G65" t="s">
        <v>14720</v>
      </c>
      <c r="H65">
        <v>100000</v>
      </c>
      <c r="I65" s="302"/>
      <c r="J65" s="302"/>
      <c r="K65" s="302"/>
      <c r="L65" s="433"/>
      <c r="M65" s="302"/>
      <c r="N65" s="302"/>
      <c r="O65" s="302"/>
    </row>
    <row r="66" spans="3:15" x14ac:dyDescent="0.25">
      <c r="G66" t="s">
        <v>14761</v>
      </c>
      <c r="H66">
        <v>5000</v>
      </c>
      <c r="I66" s="302"/>
      <c r="J66" s="302"/>
      <c r="K66" s="302"/>
      <c r="L66" s="433"/>
      <c r="M66" s="302"/>
      <c r="N66" s="302"/>
      <c r="O66" s="302"/>
    </row>
    <row r="67" spans="3:15" x14ac:dyDescent="0.25">
      <c r="G67" t="s">
        <v>14819</v>
      </c>
      <c r="H67">
        <v>2000</v>
      </c>
      <c r="I67" s="302"/>
      <c r="J67" s="302"/>
      <c r="K67" s="302"/>
      <c r="L67" s="433"/>
      <c r="M67" s="302"/>
      <c r="N67" s="302"/>
      <c r="O67" s="302"/>
    </row>
    <row r="68" spans="3:15" x14ac:dyDescent="0.25">
      <c r="G68" t="s">
        <v>14925</v>
      </c>
      <c r="H68">
        <v>10000</v>
      </c>
      <c r="I68" s="302"/>
      <c r="J68" s="302"/>
      <c r="K68" s="302"/>
      <c r="L68" s="433"/>
      <c r="M68" s="302"/>
      <c r="N68" s="302"/>
      <c r="O68" s="302"/>
    </row>
    <row r="69" spans="3:15" x14ac:dyDescent="0.25">
      <c r="G69" t="s">
        <v>14927</v>
      </c>
      <c r="H69">
        <v>5000</v>
      </c>
      <c r="I69" s="302"/>
      <c r="J69" s="302"/>
      <c r="K69" s="302"/>
      <c r="L69" s="433"/>
      <c r="M69" s="302"/>
      <c r="N69" s="302"/>
      <c r="O69" s="302"/>
    </row>
    <row r="70" spans="3:15" x14ac:dyDescent="0.25">
      <c r="E70" s="684" t="s">
        <v>14924</v>
      </c>
      <c r="G70" t="s">
        <v>14926</v>
      </c>
      <c r="H70">
        <v>3000</v>
      </c>
      <c r="I70" s="302"/>
      <c r="J70" s="302"/>
      <c r="K70" s="302"/>
      <c r="L70" s="433"/>
      <c r="M70" s="302"/>
      <c r="N70" s="302"/>
      <c r="O70" s="302"/>
    </row>
    <row r="71" spans="3:15" x14ac:dyDescent="0.25">
      <c r="E71" s="684" t="s">
        <v>14924</v>
      </c>
      <c r="G71" s="687" t="s">
        <v>15020</v>
      </c>
      <c r="H71" s="592">
        <v>10000</v>
      </c>
      <c r="I71" s="302"/>
      <c r="J71" s="302"/>
      <c r="K71" s="302"/>
      <c r="L71" s="433"/>
      <c r="M71" s="302"/>
      <c r="N71" s="302"/>
      <c r="O71" s="302"/>
    </row>
    <row r="72" spans="3:15" x14ac:dyDescent="0.25">
      <c r="E72" s="684" t="s">
        <v>15019</v>
      </c>
      <c r="G72" s="292" t="s">
        <v>15021</v>
      </c>
      <c r="H72" s="302">
        <v>3000</v>
      </c>
      <c r="I72" s="302"/>
      <c r="J72" s="302"/>
      <c r="K72" s="302"/>
      <c r="L72" s="433"/>
      <c r="M72" s="302"/>
      <c r="N72" s="302"/>
      <c r="O72" s="302"/>
    </row>
    <row r="73" spans="3:15" x14ac:dyDescent="0.25">
      <c r="E73" s="684" t="s">
        <v>15019</v>
      </c>
      <c r="G73" s="687" t="s">
        <v>15022</v>
      </c>
      <c r="H73" s="592">
        <v>2000</v>
      </c>
      <c r="I73" s="302"/>
      <c r="J73" s="302"/>
      <c r="K73" s="302"/>
      <c r="L73" s="433"/>
      <c r="M73" s="302"/>
      <c r="N73" s="302"/>
      <c r="O73" s="302"/>
    </row>
    <row r="74" spans="3:15" x14ac:dyDescent="0.25">
      <c r="E74" s="684" t="s">
        <v>15019</v>
      </c>
      <c r="G74" t="s">
        <v>15032</v>
      </c>
      <c r="H74">
        <v>10000</v>
      </c>
      <c r="I74" s="302"/>
      <c r="J74" s="302"/>
      <c r="K74" s="302"/>
      <c r="L74" s="433"/>
      <c r="M74" s="302"/>
      <c r="N74" s="302"/>
      <c r="O74" s="302"/>
    </row>
    <row r="75" spans="3:15" x14ac:dyDescent="0.25">
      <c r="G75" s="688" t="s">
        <v>15087</v>
      </c>
      <c r="H75">
        <v>5000</v>
      </c>
      <c r="I75" s="302"/>
      <c r="J75" s="302"/>
      <c r="K75" s="302"/>
      <c r="L75" s="433"/>
      <c r="M75" s="302"/>
      <c r="N75" s="302"/>
      <c r="O75" s="302"/>
    </row>
    <row r="76" spans="3:15" x14ac:dyDescent="0.25">
      <c r="C76" s="2" t="s">
        <v>15088</v>
      </c>
      <c r="E76" s="684" t="s">
        <v>15086</v>
      </c>
      <c r="I76" s="302"/>
      <c r="J76" s="302"/>
      <c r="K76" s="302"/>
      <c r="L76" s="433"/>
      <c r="M76" s="302"/>
      <c r="N76" s="302"/>
      <c r="O76" s="302"/>
    </row>
    <row r="77" spans="3:15" x14ac:dyDescent="0.25">
      <c r="E77" s="2" t="s">
        <v>15216</v>
      </c>
      <c r="I77" s="302"/>
      <c r="J77" s="302"/>
      <c r="K77" s="302"/>
      <c r="L77" s="433"/>
      <c r="M77" s="302"/>
      <c r="N77" s="302"/>
      <c r="O77" s="302"/>
    </row>
    <row r="78" spans="3:15" x14ac:dyDescent="0.25">
      <c r="G78" t="s">
        <v>15217</v>
      </c>
      <c r="H78">
        <v>40000</v>
      </c>
      <c r="I78" s="302"/>
      <c r="J78" s="302"/>
      <c r="K78" s="302"/>
      <c r="L78" s="433"/>
      <c r="M78" s="302"/>
      <c r="N78" s="302"/>
      <c r="O78" s="302"/>
    </row>
    <row r="79" spans="3:15" x14ac:dyDescent="0.25">
      <c r="G79" t="s">
        <v>15268</v>
      </c>
      <c r="H79">
        <v>2000</v>
      </c>
      <c r="I79" s="302"/>
      <c r="J79" s="302"/>
      <c r="K79" s="302"/>
      <c r="L79" s="433"/>
      <c r="M79" s="302"/>
      <c r="N79" s="302"/>
      <c r="O79" s="302"/>
    </row>
    <row r="80" spans="3:15" x14ac:dyDescent="0.25">
      <c r="G80" t="s">
        <v>15269</v>
      </c>
      <c r="H80">
        <v>1000</v>
      </c>
      <c r="I80" s="302"/>
      <c r="J80" s="302"/>
      <c r="K80" s="302"/>
      <c r="L80" s="433"/>
      <c r="M80" s="302"/>
      <c r="N80" s="302"/>
      <c r="O80" s="302"/>
    </row>
    <row r="81" spans="5:15" x14ac:dyDescent="0.25">
      <c r="G81" t="s">
        <v>15622</v>
      </c>
      <c r="H81">
        <v>50000</v>
      </c>
      <c r="I81" s="302"/>
      <c r="J81" s="302"/>
      <c r="K81" s="302"/>
      <c r="L81" s="433"/>
      <c r="M81" s="302"/>
      <c r="N81" s="302"/>
      <c r="O81" s="302"/>
    </row>
    <row r="82" spans="5:15" x14ac:dyDescent="0.25">
      <c r="I82" s="302"/>
      <c r="J82" s="302"/>
      <c r="K82" s="302"/>
      <c r="L82" s="433"/>
      <c r="M82" s="302"/>
      <c r="N82" s="302"/>
      <c r="O82" s="302"/>
    </row>
    <row r="83" spans="5:15" x14ac:dyDescent="0.25">
      <c r="G83" t="s">
        <v>15936</v>
      </c>
      <c r="H83" s="2">
        <v>5000</v>
      </c>
      <c r="I83" s="302"/>
      <c r="J83" s="302"/>
      <c r="K83" s="302"/>
      <c r="L83" s="433"/>
      <c r="M83" s="302"/>
      <c r="N83" s="302"/>
      <c r="O83" s="302"/>
    </row>
    <row r="84" spans="5:15" x14ac:dyDescent="0.25">
      <c r="G84" t="s">
        <v>15937</v>
      </c>
      <c r="H84" s="2">
        <v>5000</v>
      </c>
      <c r="I84" s="302"/>
      <c r="J84" s="302"/>
      <c r="K84" s="302"/>
      <c r="L84" s="433"/>
      <c r="M84" s="302"/>
      <c r="N84" s="302"/>
      <c r="O84" s="302"/>
    </row>
    <row r="85" spans="5:15" x14ac:dyDescent="0.25">
      <c r="G85" t="s">
        <v>15938</v>
      </c>
      <c r="H85" s="2">
        <v>3500</v>
      </c>
      <c r="I85" s="302"/>
      <c r="J85" s="302"/>
      <c r="K85" s="302"/>
      <c r="L85" s="433"/>
      <c r="M85" s="302"/>
      <c r="N85" s="302"/>
      <c r="O85" s="302"/>
    </row>
    <row r="86" spans="5:15" x14ac:dyDescent="0.25">
      <c r="G86" t="s">
        <v>15939</v>
      </c>
      <c r="H86" s="2">
        <v>1000</v>
      </c>
      <c r="I86" s="302"/>
      <c r="J86" s="302"/>
      <c r="K86" s="302"/>
      <c r="L86" s="433"/>
      <c r="M86" s="302"/>
      <c r="N86" s="302"/>
      <c r="O86" s="302"/>
    </row>
    <row r="87" spans="5:15" x14ac:dyDescent="0.25">
      <c r="G87" t="s">
        <v>15940</v>
      </c>
      <c r="H87" s="2">
        <v>50000</v>
      </c>
      <c r="I87" s="302"/>
      <c r="J87" s="302"/>
      <c r="K87" s="302"/>
      <c r="L87" s="433"/>
      <c r="M87" s="302"/>
      <c r="N87" s="302"/>
      <c r="O87" s="302"/>
    </row>
    <row r="88" spans="5:15" x14ac:dyDescent="0.25">
      <c r="H88" s="277"/>
      <c r="I88" s="302"/>
      <c r="J88" s="302"/>
      <c r="K88" s="302"/>
      <c r="L88" s="433"/>
      <c r="M88" s="302"/>
      <c r="N88" s="302"/>
      <c r="O88" s="302"/>
    </row>
    <row r="89" spans="5:15" x14ac:dyDescent="0.25">
      <c r="H89" s="277"/>
      <c r="I89" s="302"/>
      <c r="J89" s="302"/>
      <c r="K89" s="302"/>
      <c r="L89" s="433"/>
      <c r="M89" s="302"/>
      <c r="N89" s="302"/>
      <c r="O89" s="302"/>
    </row>
    <row r="90" spans="5:15" x14ac:dyDescent="0.25">
      <c r="E90" s="912">
        <v>45794</v>
      </c>
      <c r="G90" t="s">
        <v>16251</v>
      </c>
      <c r="H90" s="277">
        <v>10000</v>
      </c>
      <c r="I90" s="302"/>
      <c r="J90" s="302"/>
      <c r="K90" s="302"/>
      <c r="L90" s="433"/>
      <c r="M90" s="302"/>
      <c r="N90" s="302"/>
      <c r="O90" s="302"/>
    </row>
    <row r="91" spans="5:15" x14ac:dyDescent="0.25">
      <c r="E91" s="912">
        <v>45798</v>
      </c>
      <c r="G91" t="s">
        <v>16322</v>
      </c>
      <c r="H91" s="277">
        <v>10000</v>
      </c>
      <c r="I91" s="302"/>
      <c r="J91" s="302"/>
      <c r="K91" s="302"/>
      <c r="L91" s="433"/>
      <c r="M91" s="302"/>
      <c r="N91" s="302"/>
      <c r="O91" s="302"/>
    </row>
    <row r="92" spans="5:15" x14ac:dyDescent="0.25">
      <c r="E92" s="912">
        <v>45798</v>
      </c>
      <c r="G92" t="s">
        <v>16323</v>
      </c>
      <c r="H92" s="277">
        <v>10000</v>
      </c>
      <c r="I92" s="302"/>
      <c r="J92" s="302"/>
      <c r="K92" s="302"/>
      <c r="L92" s="433"/>
      <c r="M92" s="302"/>
      <c r="N92" s="302"/>
      <c r="O92" s="302"/>
    </row>
    <row r="93" spans="5:15" x14ac:dyDescent="0.25">
      <c r="I93" s="302"/>
      <c r="J93" s="302"/>
      <c r="K93" s="302"/>
      <c r="L93" s="433"/>
      <c r="M93" s="302"/>
      <c r="N93" s="302"/>
      <c r="O93" s="302"/>
    </row>
    <row r="94" spans="5:15" x14ac:dyDescent="0.25">
      <c r="I94" s="302"/>
      <c r="J94" s="302"/>
      <c r="K94" s="302"/>
      <c r="L94" s="433"/>
      <c r="M94" s="302"/>
      <c r="N94" s="302"/>
      <c r="O94" s="302"/>
    </row>
    <row r="95" spans="5:15" x14ac:dyDescent="0.25">
      <c r="I95" s="302"/>
      <c r="J95" s="302"/>
      <c r="K95" s="302"/>
      <c r="L95" s="433"/>
      <c r="M95" s="302"/>
      <c r="N95" s="302"/>
      <c r="O95" s="302"/>
    </row>
    <row r="96" spans="5: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E66"/>
  <sheetViews>
    <sheetView zoomScale="115" zoomScaleNormal="115" workbookViewId="0">
      <pane ySplit="2" topLeftCell="A3" activePane="bottomLeft" state="frozen"/>
      <selection activeCell="D6707" sqref="D6707"/>
      <selection pane="bottomLeft" activeCell="B13" sqref="B13"/>
    </sheetView>
  </sheetViews>
  <sheetFormatPr defaultRowHeight="18.75" x14ac:dyDescent="0.3"/>
  <cols>
    <col min="1" max="1" width="11.42578125" customWidth="1"/>
    <col min="2" max="2" width="43.42578125" style="518" customWidth="1"/>
    <col min="3" max="3" width="14.7109375" style="376" customWidth="1"/>
    <col min="4" max="4" width="16" style="4" customWidth="1"/>
    <col min="5" max="6" width="12.28515625" bestFit="1" customWidth="1"/>
    <col min="7" max="7" width="11.85546875" bestFit="1" customWidth="1"/>
  </cols>
  <sheetData>
    <row r="1" spans="1:5" ht="18.75" customHeight="1" x14ac:dyDescent="0.25">
      <c r="A1" s="982" t="s">
        <v>15782</v>
      </c>
      <c r="B1" s="982"/>
      <c r="C1" s="982"/>
      <c r="D1" s="982"/>
    </row>
    <row r="2" spans="1:5" ht="37.5" x14ac:dyDescent="0.25">
      <c r="A2" s="53" t="s">
        <v>1</v>
      </c>
      <c r="B2" s="49" t="s">
        <v>3</v>
      </c>
      <c r="C2" s="50" t="s">
        <v>55</v>
      </c>
      <c r="D2" s="50" t="s">
        <v>7767</v>
      </c>
      <c r="E2" s="2"/>
    </row>
    <row r="3" spans="1:5" x14ac:dyDescent="0.25">
      <c r="A3" s="440">
        <v>45737</v>
      </c>
      <c r="B3" s="303" t="s">
        <v>15769</v>
      </c>
      <c r="C3" s="304"/>
      <c r="D3" s="48">
        <v>740000</v>
      </c>
    </row>
    <row r="4" spans="1:5" x14ac:dyDescent="0.25">
      <c r="A4" s="440">
        <v>45738</v>
      </c>
      <c r="B4" s="303" t="s">
        <v>15783</v>
      </c>
      <c r="C4" s="304">
        <v>35000</v>
      </c>
      <c r="D4" s="48">
        <f t="shared" ref="D4:D12" si="0">D3-C4</f>
        <v>705000</v>
      </c>
    </row>
    <row r="5" spans="1:5" ht="30" x14ac:dyDescent="0.25">
      <c r="A5" s="440">
        <v>45738</v>
      </c>
      <c r="B5" s="303" t="s">
        <v>15784</v>
      </c>
      <c r="C5" s="304">
        <v>50000</v>
      </c>
      <c r="D5" s="48">
        <f t="shared" si="0"/>
        <v>655000</v>
      </c>
    </row>
    <row r="6" spans="1:5" x14ac:dyDescent="0.25">
      <c r="A6" s="440">
        <v>45742</v>
      </c>
      <c r="B6" s="303" t="s">
        <v>15799</v>
      </c>
      <c r="C6" s="304">
        <v>187000</v>
      </c>
      <c r="D6" s="48">
        <f t="shared" si="0"/>
        <v>468000</v>
      </c>
    </row>
    <row r="7" spans="1:5" x14ac:dyDescent="0.25">
      <c r="A7" s="440">
        <v>45742</v>
      </c>
      <c r="B7" s="303" t="s">
        <v>15800</v>
      </c>
      <c r="C7" s="304">
        <v>120000</v>
      </c>
      <c r="D7" s="48">
        <f t="shared" si="0"/>
        <v>348000</v>
      </c>
    </row>
    <row r="8" spans="1:5" x14ac:dyDescent="0.25">
      <c r="A8" s="440">
        <v>45742</v>
      </c>
      <c r="B8" s="303" t="s">
        <v>15801</v>
      </c>
      <c r="C8" s="304">
        <v>90000</v>
      </c>
      <c r="D8" s="48">
        <f t="shared" si="0"/>
        <v>258000</v>
      </c>
    </row>
    <row r="9" spans="1:5" x14ac:dyDescent="0.25">
      <c r="A9" s="440">
        <v>45742</v>
      </c>
      <c r="B9" s="303" t="s">
        <v>15802</v>
      </c>
      <c r="C9" s="304">
        <v>50000</v>
      </c>
      <c r="D9" s="48">
        <f t="shared" si="0"/>
        <v>208000</v>
      </c>
    </row>
    <row r="10" spans="1:5" x14ac:dyDescent="0.25">
      <c r="A10" s="440">
        <v>45743</v>
      </c>
      <c r="B10" s="303" t="s">
        <v>15812</v>
      </c>
      <c r="C10" s="304">
        <v>184560</v>
      </c>
      <c r="D10" s="48">
        <f t="shared" si="0"/>
        <v>23440</v>
      </c>
    </row>
    <row r="11" spans="1:5" ht="30" x14ac:dyDescent="0.25">
      <c r="A11" s="440">
        <v>45745</v>
      </c>
      <c r="B11" s="303" t="s">
        <v>15784</v>
      </c>
      <c r="C11" s="304">
        <v>20000</v>
      </c>
      <c r="D11" s="48">
        <f t="shared" si="0"/>
        <v>3440</v>
      </c>
    </row>
    <row r="12" spans="1:5" x14ac:dyDescent="0.25">
      <c r="A12" s="440">
        <v>45791</v>
      </c>
      <c r="B12" s="303" t="s">
        <v>16173</v>
      </c>
      <c r="C12" s="304">
        <v>1500</v>
      </c>
      <c r="D12" s="48">
        <f t="shared" si="0"/>
        <v>1940</v>
      </c>
    </row>
    <row r="13" spans="1:5" x14ac:dyDescent="0.25">
      <c r="A13" s="292"/>
      <c r="B13" s="303"/>
      <c r="C13" s="304"/>
      <c r="D13" s="48"/>
    </row>
    <row r="14" spans="1:5" x14ac:dyDescent="0.25">
      <c r="A14" s="292"/>
      <c r="B14" s="303"/>
      <c r="C14" s="304"/>
      <c r="D14" s="48"/>
    </row>
    <row r="15" spans="1:5" x14ac:dyDescent="0.25">
      <c r="A15" s="292"/>
      <c r="B15" s="303"/>
      <c r="C15" s="304"/>
      <c r="D15" s="48"/>
    </row>
    <row r="16" spans="1:5" x14ac:dyDescent="0.25">
      <c r="A16" s="292"/>
      <c r="B16" s="303"/>
      <c r="C16" s="304"/>
      <c r="D16" s="48"/>
    </row>
    <row r="17" spans="1:4" x14ac:dyDescent="0.25">
      <c r="A17" s="292"/>
      <c r="B17" s="303"/>
      <c r="C17" s="304"/>
      <c r="D17" s="48"/>
    </row>
    <row r="18" spans="1:4" x14ac:dyDescent="0.25">
      <c r="A18" s="292"/>
      <c r="B18" s="303"/>
      <c r="C18" s="304"/>
      <c r="D18" s="48"/>
    </row>
    <row r="19" spans="1:4" x14ac:dyDescent="0.25">
      <c r="A19" s="292"/>
      <c r="B19" s="303"/>
      <c r="C19" s="304"/>
      <c r="D19" s="48"/>
    </row>
    <row r="20" spans="1:4" x14ac:dyDescent="0.25">
      <c r="A20" s="292"/>
      <c r="B20" s="303"/>
      <c r="C20" s="304"/>
      <c r="D20" s="48"/>
    </row>
    <row r="21" spans="1:4" x14ac:dyDescent="0.25">
      <c r="A21" s="292"/>
      <c r="B21" s="303"/>
      <c r="C21" s="304"/>
      <c r="D21" s="48"/>
    </row>
    <row r="22" spans="1:4" x14ac:dyDescent="0.25">
      <c r="A22" s="292"/>
      <c r="B22" s="303"/>
      <c r="C22" s="304"/>
      <c r="D22" s="48"/>
    </row>
    <row r="23" spans="1:4" x14ac:dyDescent="0.25">
      <c r="A23" s="292"/>
      <c r="B23" s="303"/>
      <c r="C23" s="304"/>
      <c r="D23" s="48"/>
    </row>
    <row r="24" spans="1:4" x14ac:dyDescent="0.25">
      <c r="A24" s="292"/>
      <c r="B24" s="303"/>
      <c r="C24" s="304"/>
      <c r="D24" s="48"/>
    </row>
    <row r="25" spans="1:4" x14ac:dyDescent="0.25">
      <c r="A25" s="292"/>
      <c r="B25" s="303"/>
      <c r="C25" s="304"/>
      <c r="D25" s="48"/>
    </row>
    <row r="26" spans="1:4" x14ac:dyDescent="0.25">
      <c r="A26" s="292"/>
      <c r="B26" s="303"/>
      <c r="C26" s="304"/>
      <c r="D26" s="48"/>
    </row>
    <row r="27" spans="1:4" x14ac:dyDescent="0.25">
      <c r="A27" s="292"/>
      <c r="B27" s="303"/>
      <c r="C27" s="304"/>
      <c r="D27" s="48"/>
    </row>
    <row r="28" spans="1:4" x14ac:dyDescent="0.25">
      <c r="A28" s="292"/>
      <c r="B28" s="303"/>
      <c r="C28" s="304"/>
      <c r="D28" s="48"/>
    </row>
    <row r="29" spans="1:4" x14ac:dyDescent="0.25">
      <c r="A29" s="292"/>
      <c r="B29" s="303"/>
      <c r="C29" s="304"/>
      <c r="D29" s="48"/>
    </row>
    <row r="30" spans="1:4" x14ac:dyDescent="0.25">
      <c r="A30" s="292"/>
      <c r="B30" s="303"/>
      <c r="C30" s="304"/>
      <c r="D30" s="48"/>
    </row>
    <row r="31" spans="1:4" x14ac:dyDescent="0.25">
      <c r="A31" s="292"/>
      <c r="B31" s="303"/>
      <c r="C31" s="304"/>
      <c r="D31" s="48"/>
    </row>
    <row r="32" spans="1:4" x14ac:dyDescent="0.25">
      <c r="A32" s="292"/>
      <c r="B32" s="303"/>
      <c r="C32" s="304"/>
      <c r="D32" s="48"/>
    </row>
    <row r="33" spans="1:4" x14ac:dyDescent="0.25">
      <c r="A33" s="292"/>
      <c r="B33" s="303"/>
      <c r="C33" s="304"/>
      <c r="D33" s="48"/>
    </row>
    <row r="34" spans="1:4" x14ac:dyDescent="0.25">
      <c r="A34" s="292"/>
      <c r="B34" s="303"/>
      <c r="C34" s="304"/>
      <c r="D34" s="48"/>
    </row>
    <row r="35" spans="1:4" x14ac:dyDescent="0.25">
      <c r="A35" s="292"/>
      <c r="B35" s="303"/>
      <c r="C35" s="304"/>
      <c r="D35" s="48"/>
    </row>
    <row r="36" spans="1:4" x14ac:dyDescent="0.25">
      <c r="A36" s="292"/>
      <c r="B36" s="303"/>
      <c r="C36" s="304"/>
      <c r="D36" s="48"/>
    </row>
    <row r="37" spans="1:4" x14ac:dyDescent="0.25">
      <c r="A37" s="292"/>
      <c r="B37" s="303"/>
      <c r="C37" s="304"/>
      <c r="D37" s="48"/>
    </row>
    <row r="38" spans="1:4" x14ac:dyDescent="0.25">
      <c r="A38" s="292"/>
      <c r="B38" s="303"/>
      <c r="C38" s="304"/>
      <c r="D38" s="48"/>
    </row>
    <row r="39" spans="1:4" x14ac:dyDescent="0.25">
      <c r="A39" s="292"/>
      <c r="B39" s="303"/>
      <c r="C39" s="304"/>
      <c r="D39" s="48"/>
    </row>
    <row r="40" spans="1:4" x14ac:dyDescent="0.25">
      <c r="A40" s="292"/>
      <c r="B40" s="303"/>
      <c r="C40" s="304"/>
      <c r="D40" s="48"/>
    </row>
    <row r="41" spans="1:4" x14ac:dyDescent="0.25">
      <c r="A41" s="292"/>
      <c r="B41" s="303"/>
      <c r="C41" s="304"/>
      <c r="D41" s="48"/>
    </row>
    <row r="42" spans="1:4" x14ac:dyDescent="0.25">
      <c r="A42" s="292"/>
      <c r="B42" s="303"/>
      <c r="C42" s="304"/>
      <c r="D42" s="48"/>
    </row>
    <row r="43" spans="1:4" x14ac:dyDescent="0.25">
      <c r="A43" s="292"/>
      <c r="B43" s="303"/>
      <c r="C43" s="304"/>
      <c r="D43" s="48"/>
    </row>
    <row r="44" spans="1:4" x14ac:dyDescent="0.25">
      <c r="A44" s="292"/>
      <c r="B44" s="303"/>
      <c r="C44" s="304"/>
      <c r="D44" s="48"/>
    </row>
    <row r="45" spans="1:4" x14ac:dyDescent="0.25">
      <c r="A45" s="292"/>
      <c r="B45" s="303"/>
      <c r="C45" s="304"/>
      <c r="D45" s="48"/>
    </row>
    <row r="46" spans="1:4" x14ac:dyDescent="0.25">
      <c r="A46" s="292"/>
      <c r="B46" s="303"/>
      <c r="C46" s="304"/>
      <c r="D46" s="48"/>
    </row>
    <row r="47" spans="1:4" x14ac:dyDescent="0.25">
      <c r="A47" s="292"/>
      <c r="B47" s="303"/>
      <c r="C47" s="304"/>
      <c r="D47" s="48"/>
    </row>
    <row r="48" spans="1:4" x14ac:dyDescent="0.25">
      <c r="A48" s="292"/>
      <c r="B48" s="303"/>
      <c r="C48" s="304"/>
      <c r="D48" s="48"/>
    </row>
    <row r="49" spans="1:4" x14ac:dyDescent="0.25">
      <c r="A49" s="292"/>
      <c r="B49" s="303"/>
      <c r="C49" s="304"/>
      <c r="D49" s="48"/>
    </row>
    <row r="50" spans="1:4" x14ac:dyDescent="0.25">
      <c r="A50" s="292"/>
      <c r="B50" s="303"/>
      <c r="C50" s="304"/>
      <c r="D50" s="48"/>
    </row>
    <row r="51" spans="1:4" x14ac:dyDescent="0.25">
      <c r="A51" s="292"/>
      <c r="B51" s="303"/>
      <c r="C51" s="304"/>
      <c r="D51" s="48"/>
    </row>
    <row r="52" spans="1:4" x14ac:dyDescent="0.25">
      <c r="A52" s="292"/>
      <c r="B52" s="303"/>
      <c r="C52" s="304"/>
      <c r="D52" s="48"/>
    </row>
    <row r="53" spans="1:4" x14ac:dyDescent="0.25">
      <c r="A53" s="292"/>
      <c r="B53" s="303"/>
      <c r="C53" s="304"/>
      <c r="D53" s="48"/>
    </row>
    <row r="54" spans="1:4" x14ac:dyDescent="0.25">
      <c r="A54" s="292"/>
      <c r="B54" s="303"/>
      <c r="C54" s="304"/>
      <c r="D54" s="48"/>
    </row>
    <row r="55" spans="1:4" x14ac:dyDescent="0.25">
      <c r="A55" s="292"/>
      <c r="B55" s="303"/>
      <c r="C55" s="304"/>
      <c r="D55" s="48"/>
    </row>
    <row r="56" spans="1:4" x14ac:dyDescent="0.25">
      <c r="A56" s="292"/>
      <c r="B56" s="303"/>
      <c r="C56" s="304"/>
      <c r="D56" s="48"/>
    </row>
    <row r="57" spans="1:4" x14ac:dyDescent="0.25">
      <c r="A57" s="292"/>
      <c r="B57" s="303"/>
      <c r="C57" s="304"/>
      <c r="D57" s="48"/>
    </row>
    <row r="58" spans="1:4" x14ac:dyDescent="0.25">
      <c r="A58" s="292"/>
      <c r="B58" s="303"/>
      <c r="C58" s="304"/>
      <c r="D58" s="48"/>
    </row>
    <row r="59" spans="1:4" x14ac:dyDescent="0.25">
      <c r="A59" s="292"/>
      <c r="B59" s="303"/>
      <c r="C59" s="304"/>
      <c r="D59" s="48"/>
    </row>
    <row r="60" spans="1:4" x14ac:dyDescent="0.25">
      <c r="A60" s="292"/>
      <c r="B60" s="303"/>
      <c r="C60" s="304"/>
      <c r="D60" s="48"/>
    </row>
    <row r="61" spans="1:4" x14ac:dyDescent="0.25">
      <c r="A61" s="292"/>
      <c r="B61" s="303"/>
      <c r="C61" s="304"/>
      <c r="D61" s="48"/>
    </row>
    <row r="62" spans="1:4" x14ac:dyDescent="0.25">
      <c r="A62" s="292"/>
      <c r="B62" s="303"/>
      <c r="C62" s="304"/>
      <c r="D62" s="48"/>
    </row>
    <row r="63" spans="1:4" x14ac:dyDescent="0.25">
      <c r="A63" s="292"/>
      <c r="B63" s="303"/>
      <c r="C63" s="304"/>
      <c r="D63" s="48"/>
    </row>
    <row r="64" spans="1:4" x14ac:dyDescent="0.25">
      <c r="A64" s="292"/>
      <c r="B64" s="303"/>
      <c r="C64" s="304"/>
      <c r="D64" s="48"/>
    </row>
    <row r="65" spans="1:4" x14ac:dyDescent="0.25">
      <c r="A65" s="292"/>
      <c r="B65" s="303"/>
      <c r="C65" s="304"/>
      <c r="D65" s="48"/>
    </row>
    <row r="66" spans="1:4" x14ac:dyDescent="0.25">
      <c r="A66" s="292"/>
      <c r="B66" s="303"/>
      <c r="C66" s="304"/>
      <c r="D66" s="48"/>
    </row>
  </sheetData>
  <autoFilter ref="A2:G66" xr:uid="{00000000-0001-0000-0300-000000000000}"/>
  <mergeCells count="1">
    <mergeCell ref="A1:D1"/>
  </mergeCells>
  <pageMargins left="0.7" right="0.7" top="0.75" bottom="0.75" header="0.3" footer="0.3"/>
  <pageSetup scale="7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24" workbookViewId="0">
      <selection activeCell="C38" sqref="C38"/>
    </sheetView>
  </sheetViews>
  <sheetFormatPr defaultRowHeight="15" x14ac:dyDescent="0.25"/>
  <cols>
    <col min="1" max="1" width="41" customWidth="1"/>
    <col min="2" max="2" width="21.140625" customWidth="1"/>
    <col min="3" max="3" width="21.28515625" customWidth="1"/>
  </cols>
  <sheetData>
    <row r="1" spans="1:8" ht="36" x14ac:dyDescent="0.55000000000000004">
      <c r="A1" s="983" t="s">
        <v>12100</v>
      </c>
      <c r="B1" s="983"/>
      <c r="C1" s="983"/>
    </row>
    <row r="2" spans="1:8" ht="31.5" x14ac:dyDescent="0.25">
      <c r="A2" s="653" t="s">
        <v>13817</v>
      </c>
      <c r="B2" s="653" t="s">
        <v>13818</v>
      </c>
      <c r="C2" s="653" t="s">
        <v>11311</v>
      </c>
    </row>
    <row r="3" spans="1:8" s="354" customFormat="1" ht="26.25" x14ac:dyDescent="0.25">
      <c r="A3" s="652" t="s">
        <v>12796</v>
      </c>
      <c r="B3" s="651" t="s">
        <v>55</v>
      </c>
      <c r="C3" s="654">
        <v>5000</v>
      </c>
      <c r="G3" s="376"/>
    </row>
    <row r="4" spans="1:8" s="354" customFormat="1" ht="26.25" x14ac:dyDescent="0.25">
      <c r="A4" s="652" t="s">
        <v>13427</v>
      </c>
      <c r="B4" s="651" t="s">
        <v>55</v>
      </c>
      <c r="C4" s="654">
        <v>5000</v>
      </c>
      <c r="E4" s="637"/>
      <c r="F4" s="941"/>
      <c r="G4" s="941"/>
      <c r="H4" s="638"/>
    </row>
    <row r="5" spans="1:8" s="354" customFormat="1" ht="26.25" x14ac:dyDescent="0.25">
      <c r="A5" s="652" t="s">
        <v>12054</v>
      </c>
      <c r="B5" s="651" t="s">
        <v>55</v>
      </c>
      <c r="C5" s="654">
        <v>10000</v>
      </c>
      <c r="E5" s="637"/>
      <c r="F5" s="941"/>
      <c r="G5" s="941"/>
      <c r="H5" s="638"/>
    </row>
    <row r="6" spans="1:8" s="354" customFormat="1" ht="26.25" x14ac:dyDescent="0.25">
      <c r="A6" s="652" t="s">
        <v>13188</v>
      </c>
      <c r="B6" s="651" t="s">
        <v>55</v>
      </c>
      <c r="C6" s="654">
        <v>5000</v>
      </c>
      <c r="E6" s="637"/>
      <c r="F6" s="941"/>
      <c r="G6" s="941"/>
      <c r="H6" s="638"/>
    </row>
    <row r="7" spans="1:8" s="354" customFormat="1" ht="26.25" x14ac:dyDescent="0.25">
      <c r="A7" s="652" t="s">
        <v>13379</v>
      </c>
      <c r="B7" s="651" t="s">
        <v>55</v>
      </c>
      <c r="C7" s="654">
        <v>5000</v>
      </c>
      <c r="E7" s="637"/>
      <c r="F7" s="941"/>
      <c r="G7" s="941"/>
      <c r="H7" s="638"/>
    </row>
    <row r="8" spans="1:8" s="354" customFormat="1" ht="26.25" x14ac:dyDescent="0.25">
      <c r="A8" s="652" t="s">
        <v>13385</v>
      </c>
      <c r="B8" s="651" t="s">
        <v>55</v>
      </c>
      <c r="C8" s="654">
        <v>5000</v>
      </c>
      <c r="E8" s="637"/>
      <c r="F8" s="941"/>
      <c r="G8" s="941"/>
      <c r="H8" s="638"/>
    </row>
    <row r="9" spans="1:8" s="354" customFormat="1" ht="26.25" x14ac:dyDescent="0.25">
      <c r="A9" s="652" t="s">
        <v>13458</v>
      </c>
      <c r="B9" s="651" t="s">
        <v>55</v>
      </c>
      <c r="C9" s="654">
        <v>5000</v>
      </c>
      <c r="E9" s="637"/>
      <c r="F9" s="941"/>
      <c r="G9" s="941"/>
      <c r="H9" s="638"/>
    </row>
    <row r="10" spans="1:8" s="354" customFormat="1" ht="26.25" x14ac:dyDescent="0.25">
      <c r="A10" s="652" t="s">
        <v>13454</v>
      </c>
      <c r="B10" s="651" t="s">
        <v>55</v>
      </c>
      <c r="C10" s="654">
        <v>5000</v>
      </c>
      <c r="E10" s="637"/>
      <c r="F10" s="941"/>
      <c r="G10" s="941"/>
      <c r="H10" s="638"/>
    </row>
    <row r="11" spans="1:8" s="354" customFormat="1" ht="26.25" x14ac:dyDescent="0.25">
      <c r="A11" s="652" t="s">
        <v>13709</v>
      </c>
      <c r="B11" s="651" t="s">
        <v>55</v>
      </c>
      <c r="C11" s="654">
        <v>10000</v>
      </c>
      <c r="E11" s="637"/>
      <c r="F11" s="941"/>
      <c r="G11" s="941"/>
      <c r="H11" s="638"/>
    </row>
    <row r="12" spans="1:8" s="354" customFormat="1" ht="26.25" x14ac:dyDescent="0.25">
      <c r="A12" s="652" t="s">
        <v>13823</v>
      </c>
      <c r="B12" s="651" t="s">
        <v>55</v>
      </c>
      <c r="C12" s="654">
        <v>10000</v>
      </c>
      <c r="E12" s="637"/>
      <c r="F12" s="650"/>
      <c r="G12" s="650"/>
      <c r="H12" s="638"/>
    </row>
    <row r="13" spans="1:8" s="354" customFormat="1" ht="26.25" x14ac:dyDescent="0.25">
      <c r="A13" s="652" t="s">
        <v>13820</v>
      </c>
      <c r="B13" s="651" t="s">
        <v>55</v>
      </c>
      <c r="C13" s="654">
        <v>5000</v>
      </c>
      <c r="E13" s="942"/>
      <c r="F13" s="942"/>
      <c r="G13" s="942"/>
      <c r="H13" s="639"/>
    </row>
    <row r="14" spans="1:8" s="354" customFormat="1" ht="26.25" x14ac:dyDescent="0.25">
      <c r="A14" s="652" t="s">
        <v>13819</v>
      </c>
      <c r="B14" s="651" t="s">
        <v>55</v>
      </c>
      <c r="C14" s="654">
        <v>10000</v>
      </c>
      <c r="E14" s="637"/>
      <c r="F14" s="941"/>
      <c r="G14" s="941"/>
      <c r="H14" s="638"/>
    </row>
    <row r="15" spans="1:8" s="354" customFormat="1" ht="26.25" x14ac:dyDescent="0.25">
      <c r="A15" s="652" t="s">
        <v>13821</v>
      </c>
      <c r="B15" s="651" t="s">
        <v>55</v>
      </c>
      <c r="C15" s="654">
        <v>5000</v>
      </c>
      <c r="E15" s="517"/>
      <c r="G15" s="376"/>
    </row>
    <row r="16" spans="1:8" s="354" customFormat="1" ht="26.25" x14ac:dyDescent="0.25">
      <c r="A16" s="652" t="s">
        <v>13822</v>
      </c>
      <c r="B16" s="651" t="s">
        <v>55</v>
      </c>
      <c r="C16" s="654">
        <v>5000</v>
      </c>
      <c r="E16" s="517"/>
      <c r="F16" s="517"/>
      <c r="G16" s="376"/>
    </row>
    <row r="17" spans="1:7" s="354" customFormat="1" ht="26.25" x14ac:dyDescent="0.25">
      <c r="A17" s="652" t="s">
        <v>14032</v>
      </c>
      <c r="B17" s="651" t="s">
        <v>55</v>
      </c>
      <c r="C17" s="654">
        <v>5000</v>
      </c>
      <c r="E17" s="517"/>
      <c r="F17" s="517"/>
      <c r="G17" s="376"/>
    </row>
    <row r="18" spans="1:7" s="354" customFormat="1" ht="26.25" x14ac:dyDescent="0.25">
      <c r="A18" s="652" t="s">
        <v>13762</v>
      </c>
      <c r="B18" s="651" t="s">
        <v>55</v>
      </c>
      <c r="C18" s="654">
        <v>5000</v>
      </c>
      <c r="G18" s="376"/>
    </row>
    <row r="19" spans="1:7" s="354" customFormat="1" ht="26.25" x14ac:dyDescent="0.25">
      <c r="A19" s="652" t="s">
        <v>13922</v>
      </c>
      <c r="B19" s="651" t="s">
        <v>55</v>
      </c>
      <c r="C19" s="654">
        <v>10000</v>
      </c>
      <c r="E19" s="517"/>
      <c r="G19" s="376"/>
    </row>
    <row r="20" spans="1:7" s="354" customFormat="1" ht="26.25" x14ac:dyDescent="0.25">
      <c r="A20" s="652" t="s">
        <v>14104</v>
      </c>
      <c r="B20" s="651" t="s">
        <v>55</v>
      </c>
      <c r="C20" s="654">
        <v>5000</v>
      </c>
      <c r="G20" s="376"/>
    </row>
    <row r="21" spans="1:7" s="354" customFormat="1" ht="26.25" x14ac:dyDescent="0.25">
      <c r="A21" s="652" t="s">
        <v>14031</v>
      </c>
      <c r="B21" s="651" t="s">
        <v>55</v>
      </c>
      <c r="C21" s="654">
        <v>10000</v>
      </c>
      <c r="E21" s="517"/>
      <c r="G21" s="376"/>
    </row>
    <row r="22" spans="1:7" s="642" customFormat="1" ht="19.5" customHeight="1" x14ac:dyDescent="0.25">
      <c r="A22" s="652" t="s">
        <v>14589</v>
      </c>
      <c r="B22" s="651" t="s">
        <v>55</v>
      </c>
      <c r="C22" s="654">
        <v>10000</v>
      </c>
    </row>
    <row r="23" spans="1:7" ht="26.25" x14ac:dyDescent="0.25">
      <c r="A23" s="652" t="s">
        <v>14590</v>
      </c>
      <c r="B23" s="651" t="s">
        <v>55</v>
      </c>
      <c r="C23" s="654">
        <v>10000</v>
      </c>
    </row>
    <row r="24" spans="1:7" ht="26.25" x14ac:dyDescent="0.25">
      <c r="A24" s="652" t="s">
        <v>14591</v>
      </c>
      <c r="B24" s="651" t="s">
        <v>55</v>
      </c>
      <c r="C24" s="654">
        <v>10000</v>
      </c>
      <c r="D24" t="s">
        <v>14698</v>
      </c>
    </row>
    <row r="25" spans="1:7" ht="26.25" x14ac:dyDescent="0.25">
      <c r="A25" s="652" t="s">
        <v>14700</v>
      </c>
      <c r="B25" s="651" t="s">
        <v>55</v>
      </c>
      <c r="C25" s="654">
        <v>10000</v>
      </c>
      <c r="D25" t="s">
        <v>14698</v>
      </c>
    </row>
    <row r="26" spans="1:7" ht="26.25" x14ac:dyDescent="0.25">
      <c r="A26" s="652" t="s">
        <v>14950</v>
      </c>
      <c r="B26" s="651" t="s">
        <v>55</v>
      </c>
      <c r="C26" s="654">
        <v>5000</v>
      </c>
    </row>
    <row r="27" spans="1:7" ht="26.25" x14ac:dyDescent="0.25">
      <c r="A27" s="652" t="s">
        <v>15023</v>
      </c>
      <c r="B27" s="651" t="s">
        <v>55</v>
      </c>
      <c r="C27" s="654">
        <v>10000</v>
      </c>
    </row>
    <row r="28" spans="1:7" ht="26.25" x14ac:dyDescent="0.25">
      <c r="A28" s="652" t="s">
        <v>15033</v>
      </c>
      <c r="B28" s="651" t="s">
        <v>55</v>
      </c>
      <c r="C28" s="654">
        <v>10000</v>
      </c>
      <c r="D28" t="s">
        <v>15203</v>
      </c>
    </row>
    <row r="29" spans="1:7" ht="26.25" x14ac:dyDescent="0.25">
      <c r="A29" s="652" t="s">
        <v>15034</v>
      </c>
      <c r="B29" s="651" t="s">
        <v>55</v>
      </c>
      <c r="C29" s="654">
        <v>10000</v>
      </c>
      <c r="D29" t="s">
        <v>15205</v>
      </c>
    </row>
    <row r="30" spans="1:7" ht="26.25" x14ac:dyDescent="0.25">
      <c r="A30" s="652" t="s">
        <v>15162</v>
      </c>
      <c r="B30" s="651" t="s">
        <v>55</v>
      </c>
      <c r="C30" s="654">
        <v>10000</v>
      </c>
    </row>
    <row r="31" spans="1:7" ht="26.25" x14ac:dyDescent="0.25">
      <c r="A31" s="652" t="s">
        <v>15538</v>
      </c>
      <c r="B31" s="651" t="s">
        <v>55</v>
      </c>
      <c r="C31" s="654">
        <v>15000</v>
      </c>
    </row>
    <row r="32" spans="1:7" ht="52.5" x14ac:dyDescent="0.25">
      <c r="A32" s="652" t="s">
        <v>15581</v>
      </c>
      <c r="B32" s="651" t="s">
        <v>55</v>
      </c>
      <c r="C32" s="654">
        <v>10000</v>
      </c>
    </row>
    <row r="33" spans="1:4" ht="52.5" x14ac:dyDescent="0.25">
      <c r="A33" s="652" t="s">
        <v>15671</v>
      </c>
      <c r="B33" s="651" t="s">
        <v>55</v>
      </c>
      <c r="C33" s="654">
        <v>10000</v>
      </c>
    </row>
    <row r="34" spans="1:4" ht="26.25" x14ac:dyDescent="0.25">
      <c r="A34" s="652" t="s">
        <v>15928</v>
      </c>
      <c r="B34" s="651" t="s">
        <v>55</v>
      </c>
      <c r="C34" s="654">
        <v>5000</v>
      </c>
    </row>
    <row r="35" spans="1:4" ht="26.25" x14ac:dyDescent="0.25">
      <c r="A35" s="652" t="s">
        <v>15929</v>
      </c>
      <c r="B35" s="651" t="s">
        <v>55</v>
      </c>
      <c r="C35" s="654">
        <v>10000</v>
      </c>
    </row>
    <row r="36" spans="1:4" ht="26.25" x14ac:dyDescent="0.25">
      <c r="A36" s="652" t="s">
        <v>16223</v>
      </c>
      <c r="B36" s="651" t="s">
        <v>55</v>
      </c>
      <c r="C36" s="654">
        <v>10000</v>
      </c>
      <c r="D36" t="s">
        <v>16220</v>
      </c>
    </row>
    <row r="37" spans="1:4" ht="26.25" x14ac:dyDescent="0.25">
      <c r="A37" s="652" t="s">
        <v>16222</v>
      </c>
      <c r="B37" s="651" t="s">
        <v>55</v>
      </c>
      <c r="C37" s="654">
        <v>20000</v>
      </c>
      <c r="D37" t="s">
        <v>16282</v>
      </c>
    </row>
    <row r="38" spans="1:4" ht="26.25" x14ac:dyDescent="0.25">
      <c r="A38" s="652" t="s">
        <v>16170</v>
      </c>
      <c r="B38" s="651" t="s">
        <v>55</v>
      </c>
      <c r="C38" s="654">
        <v>15000</v>
      </c>
      <c r="D38" t="s">
        <v>16282</v>
      </c>
    </row>
    <row r="39" spans="1:4" ht="26.25" x14ac:dyDescent="0.25">
      <c r="A39" s="652" t="s">
        <v>15927</v>
      </c>
      <c r="B39" s="651"/>
      <c r="C39" s="654">
        <v>10000</v>
      </c>
    </row>
    <row r="40" spans="1:4" ht="26.25" x14ac:dyDescent="0.25">
      <c r="A40" s="652" t="s">
        <v>15963</v>
      </c>
      <c r="B40" s="651"/>
      <c r="C40" s="654">
        <v>5000</v>
      </c>
    </row>
    <row r="41" spans="1:4" ht="26.25" x14ac:dyDescent="0.25">
      <c r="A41" s="652"/>
      <c r="B41" s="651"/>
      <c r="C41" s="654"/>
    </row>
    <row r="42" spans="1:4" ht="26.25" x14ac:dyDescent="0.25">
      <c r="A42" s="652"/>
      <c r="B42" s="651"/>
      <c r="C42" s="654"/>
    </row>
    <row r="43" spans="1:4" ht="26.25" x14ac:dyDescent="0.25">
      <c r="A43" s="652"/>
      <c r="B43" s="651"/>
      <c r="C43" s="654"/>
    </row>
    <row r="44" spans="1:4" ht="26.25" x14ac:dyDescent="0.25">
      <c r="A44" s="652"/>
      <c r="B44" s="651"/>
      <c r="C44" s="654"/>
    </row>
    <row r="45" spans="1:4" ht="26.25" x14ac:dyDescent="0.25">
      <c r="A45" s="652"/>
      <c r="B45" s="651"/>
      <c r="C45" s="654"/>
    </row>
    <row r="46" spans="1:4" ht="26.25" x14ac:dyDescent="0.25">
      <c r="A46" s="652"/>
      <c r="B46" s="651"/>
      <c r="C46" s="654"/>
    </row>
    <row r="47" spans="1:4" ht="26.25" x14ac:dyDescent="0.25">
      <c r="A47" s="652"/>
      <c r="B47" s="651"/>
      <c r="C47" s="654"/>
    </row>
    <row r="48" spans="1:4" ht="26.25" x14ac:dyDescent="0.25">
      <c r="A48" s="652"/>
      <c r="B48" s="651"/>
      <c r="C48" s="654"/>
    </row>
    <row r="49" spans="1:3" ht="26.25" x14ac:dyDescent="0.25">
      <c r="A49" s="652"/>
      <c r="B49" s="651"/>
      <c r="C49" s="654"/>
    </row>
    <row r="50" spans="1:3" ht="26.25" x14ac:dyDescent="0.25">
      <c r="A50" s="652"/>
      <c r="B50" s="651"/>
      <c r="C50" s="654"/>
    </row>
    <row r="51" spans="1:3" ht="26.25" x14ac:dyDescent="0.25">
      <c r="A51" s="652"/>
      <c r="B51" s="651"/>
      <c r="C51" s="654"/>
    </row>
    <row r="52" spans="1:3" ht="26.25" x14ac:dyDescent="0.25">
      <c r="A52" s="652"/>
      <c r="B52" s="651"/>
      <c r="C52" s="654"/>
    </row>
    <row r="53" spans="1:3" ht="26.25" x14ac:dyDescent="0.25">
      <c r="A53" s="652"/>
      <c r="B53" s="651"/>
      <c r="C53" s="654"/>
    </row>
    <row r="54" spans="1:3" ht="26.25" x14ac:dyDescent="0.25">
      <c r="A54" s="652"/>
      <c r="B54" s="651"/>
      <c r="C54" s="654"/>
    </row>
    <row r="55" spans="1:3" ht="26.25" x14ac:dyDescent="0.25">
      <c r="A55" s="652"/>
      <c r="B55" s="651"/>
      <c r="C55" s="654"/>
    </row>
    <row r="56" spans="1:3" ht="26.25" x14ac:dyDescent="0.25">
      <c r="A56" s="652"/>
      <c r="B56" s="651"/>
      <c r="C56" s="654"/>
    </row>
    <row r="57" spans="1:3" ht="26.25" x14ac:dyDescent="0.25">
      <c r="A57" s="652"/>
      <c r="B57" s="651"/>
      <c r="C57" s="654"/>
    </row>
    <row r="58" spans="1:3" ht="26.25" x14ac:dyDescent="0.25">
      <c r="A58" s="652"/>
      <c r="B58" s="651"/>
      <c r="C58" s="654"/>
    </row>
    <row r="59" spans="1:3" ht="26.25" x14ac:dyDescent="0.25">
      <c r="A59" s="652"/>
      <c r="B59" s="651"/>
      <c r="C59" s="654"/>
    </row>
    <row r="60" spans="1:3" ht="26.25" x14ac:dyDescent="0.25">
      <c r="A60" s="652"/>
      <c r="B60" s="651"/>
      <c r="C60" s="654"/>
    </row>
    <row r="61" spans="1:3" ht="26.25" x14ac:dyDescent="0.25">
      <c r="A61" s="652"/>
      <c r="B61" s="651"/>
      <c r="C61" s="654"/>
    </row>
    <row r="62" spans="1:3" ht="26.25" x14ac:dyDescent="0.25">
      <c r="A62" s="652"/>
      <c r="B62" s="651"/>
      <c r="C62" s="654"/>
    </row>
    <row r="63" spans="1:3" ht="26.25" x14ac:dyDescent="0.25">
      <c r="A63" s="652"/>
      <c r="B63" s="651"/>
      <c r="C63" s="654"/>
    </row>
    <row r="64" spans="1:3" ht="26.25" x14ac:dyDescent="0.25">
      <c r="A64" s="652"/>
      <c r="B64" s="651"/>
      <c r="C64" s="654"/>
    </row>
    <row r="65" spans="1:3" ht="26.25" x14ac:dyDescent="0.25">
      <c r="A65" s="652"/>
      <c r="B65" s="651"/>
      <c r="C65" s="654"/>
    </row>
    <row r="66" spans="1:3" ht="26.25" x14ac:dyDescent="0.25">
      <c r="A66" s="652"/>
      <c r="B66" s="651"/>
      <c r="C66" s="654"/>
    </row>
    <row r="67" spans="1:3" ht="26.25" x14ac:dyDescent="0.25">
      <c r="A67" s="652"/>
      <c r="B67" s="651"/>
      <c r="C67" s="654"/>
    </row>
    <row r="68" spans="1:3" ht="26.25" x14ac:dyDescent="0.25">
      <c r="A68" s="652"/>
      <c r="B68" s="651"/>
      <c r="C68" s="654"/>
    </row>
    <row r="69" spans="1:3" ht="26.25" x14ac:dyDescent="0.25">
      <c r="A69" s="652"/>
      <c r="B69" s="651"/>
      <c r="C69" s="654"/>
    </row>
    <row r="70" spans="1:3" ht="26.25" x14ac:dyDescent="0.25">
      <c r="A70" s="652"/>
      <c r="B70" s="651"/>
      <c r="C70" s="654"/>
    </row>
    <row r="71" spans="1:3" ht="26.25" x14ac:dyDescent="0.25">
      <c r="A71" s="652"/>
      <c r="B71" s="651"/>
      <c r="C71" s="654"/>
    </row>
    <row r="72" spans="1:3" ht="26.25" x14ac:dyDescent="0.25">
      <c r="A72" s="652"/>
      <c r="B72" s="651"/>
      <c r="C72" s="654"/>
    </row>
    <row r="73" spans="1:3" ht="26.25" x14ac:dyDescent="0.25">
      <c r="A73" s="652"/>
      <c r="B73" s="651"/>
      <c r="C73" s="654"/>
    </row>
    <row r="74" spans="1:3" ht="26.25" x14ac:dyDescent="0.25">
      <c r="A74" s="652"/>
      <c r="B74" s="651"/>
      <c r="C74" s="654"/>
    </row>
    <row r="75" spans="1:3" ht="26.25" x14ac:dyDescent="0.25">
      <c r="A75" s="652"/>
      <c r="B75" s="651"/>
      <c r="C75" s="654"/>
    </row>
    <row r="76" spans="1:3" ht="26.25" x14ac:dyDescent="0.25">
      <c r="A76" s="652"/>
      <c r="B76" s="651"/>
      <c r="C76" s="654"/>
    </row>
    <row r="77" spans="1:3" ht="26.25" x14ac:dyDescent="0.25">
      <c r="A77" s="652"/>
      <c r="B77" s="651"/>
      <c r="C77" s="654"/>
    </row>
    <row r="78" spans="1:3" ht="26.25" x14ac:dyDescent="0.25">
      <c r="A78" s="652"/>
      <c r="B78" s="651"/>
      <c r="C78" s="654"/>
    </row>
    <row r="79" spans="1:3" ht="26.25" x14ac:dyDescent="0.25">
      <c r="A79" s="652"/>
      <c r="B79" s="651"/>
      <c r="C79" s="654"/>
    </row>
    <row r="80" spans="1:3" ht="26.25" x14ac:dyDescent="0.25">
      <c r="A80" s="652"/>
      <c r="B80" s="651"/>
      <c r="C80" s="654"/>
    </row>
    <row r="81" spans="1:3" ht="26.25" x14ac:dyDescent="0.25">
      <c r="A81" s="652"/>
      <c r="B81" s="651"/>
      <c r="C81" s="654"/>
    </row>
    <row r="82" spans="1:3" ht="26.25" x14ac:dyDescent="0.25">
      <c r="A82" s="652"/>
      <c r="B82" s="651"/>
      <c r="C82" s="654"/>
    </row>
    <row r="83" spans="1:3" ht="26.25" x14ac:dyDescent="0.25">
      <c r="A83" s="652"/>
      <c r="B83" s="651"/>
      <c r="C83" s="654"/>
    </row>
    <row r="84" spans="1:3" ht="26.25" x14ac:dyDescent="0.25">
      <c r="A84" s="652"/>
      <c r="B84" s="651"/>
      <c r="C84" s="654"/>
    </row>
    <row r="85" spans="1:3" ht="26.25" x14ac:dyDescent="0.25">
      <c r="A85" s="652"/>
      <c r="B85" s="651"/>
      <c r="C85" s="654"/>
    </row>
    <row r="86" spans="1:3" ht="26.25" x14ac:dyDescent="0.25">
      <c r="A86" s="652"/>
      <c r="B86" s="651"/>
      <c r="C86" s="654"/>
    </row>
    <row r="87" spans="1:3" ht="26.25" x14ac:dyDescent="0.25">
      <c r="A87" s="652"/>
      <c r="B87" s="651"/>
      <c r="C87" s="654"/>
    </row>
    <row r="88" spans="1:3" ht="26.25" x14ac:dyDescent="0.25">
      <c r="A88" s="652"/>
      <c r="B88" s="651"/>
      <c r="C88" s="654"/>
    </row>
    <row r="89" spans="1:3" ht="26.25" x14ac:dyDescent="0.25">
      <c r="A89" s="652"/>
      <c r="B89" s="651"/>
      <c r="C89" s="654"/>
    </row>
    <row r="90" spans="1:3" ht="26.25" x14ac:dyDescent="0.25">
      <c r="A90" s="652"/>
      <c r="B90" s="651"/>
      <c r="C90" s="654"/>
    </row>
    <row r="91" spans="1:3" ht="26.25" x14ac:dyDescent="0.25">
      <c r="A91" s="652"/>
      <c r="B91" s="651"/>
      <c r="C91" s="654"/>
    </row>
    <row r="92" spans="1:3" ht="26.25" x14ac:dyDescent="0.25">
      <c r="A92" s="652"/>
      <c r="B92" s="651"/>
      <c r="C92" s="654"/>
    </row>
    <row r="93" spans="1:3" ht="26.25" x14ac:dyDescent="0.25">
      <c r="A93" s="652"/>
      <c r="B93" s="651"/>
      <c r="C93" s="654"/>
    </row>
    <row r="94" spans="1:3" ht="26.25" x14ac:dyDescent="0.25">
      <c r="A94" s="652"/>
      <c r="B94" s="651"/>
      <c r="C94" s="654"/>
    </row>
    <row r="95" spans="1:3" ht="26.25" x14ac:dyDescent="0.25">
      <c r="A95" s="652"/>
      <c r="B95" s="651"/>
      <c r="C95" s="654"/>
    </row>
    <row r="96" spans="1:3" ht="26.25" x14ac:dyDescent="0.25">
      <c r="A96" s="652"/>
      <c r="B96" s="651"/>
      <c r="C96" s="654"/>
    </row>
    <row r="97" spans="1:3" ht="26.25" x14ac:dyDescent="0.25">
      <c r="A97" s="652"/>
      <c r="B97" s="651"/>
      <c r="C97" s="654"/>
    </row>
    <row r="98" spans="1:3" ht="26.25" x14ac:dyDescent="0.25">
      <c r="A98" s="652"/>
      <c r="B98" s="651"/>
      <c r="C98" s="654"/>
    </row>
    <row r="99" spans="1:3" ht="26.25" x14ac:dyDescent="0.25">
      <c r="A99" s="652"/>
      <c r="B99" s="651"/>
      <c r="C99" s="654"/>
    </row>
    <row r="100" spans="1:3" ht="26.25" x14ac:dyDescent="0.25">
      <c r="A100" s="652"/>
      <c r="B100" s="651"/>
      <c r="C100" s="654"/>
    </row>
    <row r="101" spans="1:3" ht="26.25" x14ac:dyDescent="0.25">
      <c r="A101" s="652"/>
      <c r="B101" s="651"/>
      <c r="C101" s="654"/>
    </row>
    <row r="102" spans="1:3" ht="26.25" x14ac:dyDescent="0.25">
      <c r="A102" s="652"/>
      <c r="B102" s="651"/>
      <c r="C102" s="654"/>
    </row>
    <row r="103" spans="1:3" ht="26.25" x14ac:dyDescent="0.25">
      <c r="A103" s="652"/>
      <c r="B103" s="651"/>
      <c r="C103" s="654"/>
    </row>
    <row r="104" spans="1:3" ht="26.25" x14ac:dyDescent="0.25">
      <c r="A104" s="652"/>
      <c r="B104" s="651"/>
      <c r="C104" s="654"/>
    </row>
    <row r="105" spans="1:3" ht="26.25" x14ac:dyDescent="0.25">
      <c r="A105" s="652"/>
      <c r="B105" s="651"/>
      <c r="C105" s="654"/>
    </row>
    <row r="106" spans="1:3" ht="26.25" x14ac:dyDescent="0.25">
      <c r="A106" s="652"/>
      <c r="B106" s="651"/>
      <c r="C106" s="654"/>
    </row>
    <row r="107" spans="1:3" ht="26.25" x14ac:dyDescent="0.25">
      <c r="A107" s="652"/>
      <c r="B107" s="651"/>
      <c r="C107" s="654"/>
    </row>
    <row r="108" spans="1:3" ht="26.25" x14ac:dyDescent="0.25">
      <c r="A108" s="652"/>
      <c r="B108" s="651"/>
      <c r="C108" s="654"/>
    </row>
    <row r="109" spans="1:3" ht="26.25" x14ac:dyDescent="0.25">
      <c r="A109" s="652"/>
      <c r="B109" s="651"/>
      <c r="C109" s="654"/>
    </row>
    <row r="110" spans="1:3" ht="26.25" x14ac:dyDescent="0.25">
      <c r="A110" s="652"/>
      <c r="B110" s="651"/>
      <c r="C110" s="654"/>
    </row>
    <row r="111" spans="1:3" ht="26.25" x14ac:dyDescent="0.25">
      <c r="A111" s="652"/>
      <c r="B111" s="651"/>
      <c r="C111" s="654"/>
    </row>
    <row r="112" spans="1:3" ht="26.25" x14ac:dyDescent="0.25">
      <c r="A112" s="652"/>
      <c r="B112" s="651"/>
      <c r="C112" s="654"/>
    </row>
    <row r="113" spans="1:3" ht="26.25" x14ac:dyDescent="0.25">
      <c r="A113" s="652"/>
      <c r="B113" s="651"/>
      <c r="C113" s="654"/>
    </row>
    <row r="114" spans="1:3" ht="26.25" x14ac:dyDescent="0.25">
      <c r="A114" s="652"/>
      <c r="B114" s="651"/>
      <c r="C114" s="654"/>
    </row>
    <row r="115" spans="1:3" ht="26.25" x14ac:dyDescent="0.25">
      <c r="A115" s="652"/>
      <c r="B115" s="651"/>
      <c r="C115" s="654"/>
    </row>
    <row r="116" spans="1:3" ht="26.25" x14ac:dyDescent="0.25">
      <c r="A116" s="652"/>
      <c r="B116" s="651"/>
      <c r="C116" s="654"/>
    </row>
    <row r="117" spans="1:3" ht="26.25" x14ac:dyDescent="0.25">
      <c r="A117" s="652"/>
      <c r="B117" s="651"/>
      <c r="C117" s="654"/>
    </row>
    <row r="118" spans="1:3" ht="26.25" x14ac:dyDescent="0.25">
      <c r="A118" s="652"/>
      <c r="B118" s="651"/>
      <c r="C118" s="654"/>
    </row>
    <row r="119" spans="1:3" ht="26.25" x14ac:dyDescent="0.25">
      <c r="A119" s="652"/>
      <c r="B119" s="651"/>
      <c r="C119" s="654"/>
    </row>
    <row r="120" spans="1:3" ht="26.25" x14ac:dyDescent="0.25">
      <c r="A120" s="652"/>
      <c r="B120" s="651"/>
      <c r="C120" s="654"/>
    </row>
    <row r="121" spans="1:3" ht="26.25" x14ac:dyDescent="0.25">
      <c r="A121" s="652"/>
      <c r="B121" s="651"/>
      <c r="C121" s="654"/>
    </row>
    <row r="122" spans="1:3" ht="26.25" x14ac:dyDescent="0.25">
      <c r="A122" s="652"/>
      <c r="B122" s="651"/>
      <c r="C122" s="654"/>
    </row>
    <row r="123" spans="1:3" ht="26.25" x14ac:dyDescent="0.25">
      <c r="A123" s="652"/>
      <c r="B123" s="651"/>
      <c r="C123" s="654"/>
    </row>
    <row r="124" spans="1:3" ht="26.25" x14ac:dyDescent="0.25">
      <c r="A124" s="652"/>
      <c r="B124" s="651"/>
      <c r="C124" s="654"/>
    </row>
    <row r="125" spans="1:3" ht="26.25" x14ac:dyDescent="0.25">
      <c r="A125" s="652"/>
      <c r="B125" s="651"/>
      <c r="C125" s="654"/>
    </row>
    <row r="126" spans="1:3" ht="26.25" x14ac:dyDescent="0.25">
      <c r="A126" s="652"/>
      <c r="B126" s="651"/>
      <c r="C126" s="654"/>
    </row>
    <row r="127" spans="1:3" ht="26.25" x14ac:dyDescent="0.25">
      <c r="A127" s="652"/>
      <c r="B127" s="651"/>
      <c r="C127" s="654"/>
    </row>
    <row r="128" spans="1:3" ht="26.25" x14ac:dyDescent="0.25">
      <c r="A128" s="652"/>
      <c r="B128" s="651"/>
      <c r="C128" s="654"/>
    </row>
    <row r="129" spans="1:3" ht="26.25" x14ac:dyDescent="0.25">
      <c r="A129" s="652"/>
      <c r="B129" s="651"/>
      <c r="C129" s="654"/>
    </row>
    <row r="130" spans="1:3" ht="26.25" x14ac:dyDescent="0.25">
      <c r="A130" s="652"/>
      <c r="B130" s="651"/>
      <c r="C130" s="654"/>
    </row>
    <row r="131" spans="1:3" ht="26.25" x14ac:dyDescent="0.25">
      <c r="A131" s="652"/>
      <c r="B131" s="651"/>
      <c r="C131" s="654"/>
    </row>
    <row r="132" spans="1:3" ht="26.25" x14ac:dyDescent="0.25">
      <c r="A132" s="652"/>
      <c r="B132" s="651"/>
      <c r="C132" s="654"/>
    </row>
    <row r="133" spans="1:3" ht="26.25" x14ac:dyDescent="0.25">
      <c r="A133" s="652"/>
      <c r="B133" s="651"/>
      <c r="C133" s="654"/>
    </row>
    <row r="134" spans="1:3" ht="26.25" x14ac:dyDescent="0.25">
      <c r="A134" s="652"/>
      <c r="B134" s="651"/>
      <c r="C134" s="654"/>
    </row>
    <row r="135" spans="1:3" ht="26.25" x14ac:dyDescent="0.25">
      <c r="A135" s="652"/>
      <c r="B135" s="651"/>
      <c r="C135" s="654"/>
    </row>
    <row r="136" spans="1:3" ht="26.25" x14ac:dyDescent="0.25">
      <c r="A136" s="652"/>
      <c r="B136" s="651"/>
      <c r="C136" s="654"/>
    </row>
    <row r="137" spans="1:3" ht="26.25" x14ac:dyDescent="0.25">
      <c r="A137" s="652"/>
      <c r="B137" s="651"/>
      <c r="C137" s="654"/>
    </row>
    <row r="138" spans="1:3" ht="26.25" x14ac:dyDescent="0.25">
      <c r="A138" s="652"/>
      <c r="B138" s="651"/>
      <c r="C138" s="654"/>
    </row>
    <row r="139" spans="1:3" ht="26.25" x14ac:dyDescent="0.25">
      <c r="A139" s="652"/>
      <c r="B139" s="651"/>
      <c r="C139" s="654"/>
    </row>
    <row r="140" spans="1:3" ht="26.25" x14ac:dyDescent="0.25">
      <c r="A140" s="652"/>
      <c r="B140" s="651"/>
      <c r="C140" s="654"/>
    </row>
    <row r="141" spans="1:3" ht="26.25" x14ac:dyDescent="0.25">
      <c r="A141" s="652"/>
      <c r="B141" s="651"/>
      <c r="C141" s="654"/>
    </row>
    <row r="142" spans="1:3" ht="26.25" x14ac:dyDescent="0.25">
      <c r="A142" s="652"/>
      <c r="B142" s="651"/>
      <c r="C142" s="654"/>
    </row>
    <row r="143" spans="1:3" ht="26.25" x14ac:dyDescent="0.25">
      <c r="A143" s="652"/>
      <c r="B143" s="651"/>
      <c r="C143" s="654"/>
    </row>
    <row r="144" spans="1:3" ht="26.25" x14ac:dyDescent="0.25">
      <c r="A144" s="652"/>
      <c r="B144" s="651"/>
      <c r="C144" s="654"/>
    </row>
    <row r="145" spans="1:3" ht="26.25" x14ac:dyDescent="0.25">
      <c r="A145" s="652"/>
      <c r="B145" s="651"/>
      <c r="C145" s="654"/>
    </row>
    <row r="146" spans="1:3" ht="26.25" x14ac:dyDescent="0.25">
      <c r="A146" s="652"/>
      <c r="B146" s="651"/>
      <c r="C146" s="654"/>
    </row>
    <row r="147" spans="1:3" ht="26.25" x14ac:dyDescent="0.25">
      <c r="A147" s="652"/>
      <c r="B147" s="651"/>
      <c r="C147" s="654"/>
    </row>
    <row r="148" spans="1:3" ht="26.25" x14ac:dyDescent="0.25">
      <c r="A148" s="652"/>
      <c r="B148" s="651"/>
      <c r="C148" s="654"/>
    </row>
    <row r="149" spans="1:3" ht="26.25" x14ac:dyDescent="0.25">
      <c r="A149" s="652"/>
      <c r="B149" s="651"/>
      <c r="C149" s="654"/>
    </row>
    <row r="150" spans="1:3" ht="26.25" x14ac:dyDescent="0.25">
      <c r="A150" s="652"/>
      <c r="B150" s="651"/>
      <c r="C150" s="654"/>
    </row>
    <row r="151" spans="1:3" ht="26.25" x14ac:dyDescent="0.25">
      <c r="A151" s="652"/>
      <c r="B151" s="651"/>
      <c r="C151" s="654"/>
    </row>
    <row r="152" spans="1:3" ht="26.25" x14ac:dyDescent="0.25">
      <c r="A152" s="652"/>
      <c r="B152" s="651"/>
      <c r="C152" s="654"/>
    </row>
    <row r="153" spans="1:3" ht="26.25" x14ac:dyDescent="0.25">
      <c r="A153" s="652"/>
      <c r="B153" s="651"/>
      <c r="C153" s="654"/>
    </row>
    <row r="154" spans="1:3" ht="26.25" x14ac:dyDescent="0.25">
      <c r="A154" s="652"/>
      <c r="B154" s="651"/>
      <c r="C154" s="654"/>
    </row>
    <row r="155" spans="1:3" ht="26.25" x14ac:dyDescent="0.25">
      <c r="A155" s="652"/>
      <c r="B155" s="651"/>
      <c r="C155" s="654"/>
    </row>
    <row r="156" spans="1:3" ht="26.25" x14ac:dyDescent="0.25">
      <c r="A156" s="652"/>
      <c r="B156" s="651"/>
      <c r="C156" s="654"/>
    </row>
    <row r="157" spans="1:3" ht="26.25" x14ac:dyDescent="0.25">
      <c r="A157" s="652"/>
      <c r="B157" s="651"/>
      <c r="C157" s="654"/>
    </row>
    <row r="158" spans="1:3" ht="26.25" x14ac:dyDescent="0.25">
      <c r="A158" s="652"/>
      <c r="B158" s="651"/>
      <c r="C158" s="654"/>
    </row>
    <row r="159" spans="1:3" ht="26.25" x14ac:dyDescent="0.25">
      <c r="A159" s="652"/>
      <c r="B159" s="651"/>
      <c r="C159" s="654"/>
    </row>
    <row r="160" spans="1:3" ht="26.25" x14ac:dyDescent="0.25">
      <c r="A160" s="652"/>
      <c r="B160" s="651"/>
      <c r="C160" s="654"/>
    </row>
    <row r="161" spans="1:3" ht="26.25" x14ac:dyDescent="0.25">
      <c r="A161" s="652"/>
      <c r="B161" s="651"/>
      <c r="C161" s="654"/>
    </row>
    <row r="162" spans="1:3" ht="26.25" x14ac:dyDescent="0.25">
      <c r="A162" s="652"/>
      <c r="B162" s="651"/>
      <c r="C162" s="654"/>
    </row>
    <row r="163" spans="1:3" ht="26.25" x14ac:dyDescent="0.25">
      <c r="A163" s="652"/>
      <c r="B163" s="651"/>
      <c r="C163" s="654"/>
    </row>
    <row r="164" spans="1:3" ht="26.25" x14ac:dyDescent="0.25">
      <c r="A164" s="652"/>
      <c r="B164" s="651"/>
      <c r="C164" s="654"/>
    </row>
    <row r="165" spans="1:3" ht="26.25" x14ac:dyDescent="0.25">
      <c r="A165" s="652"/>
      <c r="B165" s="651"/>
      <c r="C165" s="654"/>
    </row>
    <row r="166" spans="1:3" ht="26.25" x14ac:dyDescent="0.25">
      <c r="A166" s="652"/>
      <c r="B166" s="651"/>
      <c r="C166" s="654"/>
    </row>
    <row r="167" spans="1:3" ht="26.25" x14ac:dyDescent="0.25">
      <c r="A167" s="652"/>
      <c r="B167" s="651"/>
      <c r="C167" s="654"/>
    </row>
    <row r="168" spans="1:3" ht="26.25" x14ac:dyDescent="0.25">
      <c r="A168" s="652"/>
      <c r="B168" s="651"/>
      <c r="C168" s="654"/>
    </row>
    <row r="169" spans="1:3" ht="26.25" x14ac:dyDescent="0.25">
      <c r="A169" s="652"/>
      <c r="B169" s="651"/>
      <c r="C169" s="654"/>
    </row>
    <row r="170" spans="1:3" ht="26.25" x14ac:dyDescent="0.25">
      <c r="A170" s="652"/>
      <c r="B170" s="651"/>
      <c r="C170" s="654"/>
    </row>
    <row r="171" spans="1:3" ht="26.25" x14ac:dyDescent="0.25">
      <c r="A171" s="652"/>
      <c r="B171" s="651"/>
      <c r="C171" s="654"/>
    </row>
    <row r="172" spans="1:3" ht="26.25" x14ac:dyDescent="0.25">
      <c r="A172" s="652"/>
      <c r="B172" s="651"/>
      <c r="C172" s="654"/>
    </row>
    <row r="173" spans="1:3" ht="26.25" x14ac:dyDescent="0.25">
      <c r="A173" s="652"/>
      <c r="B173" s="651"/>
      <c r="C173" s="654"/>
    </row>
    <row r="174" spans="1:3" ht="26.25" x14ac:dyDescent="0.25">
      <c r="A174" s="652"/>
      <c r="B174" s="651"/>
      <c r="C174" s="654"/>
    </row>
    <row r="175" spans="1:3" ht="26.25" x14ac:dyDescent="0.25">
      <c r="A175" s="652"/>
      <c r="B175" s="651"/>
      <c r="C175" s="654"/>
    </row>
    <row r="176" spans="1:3" ht="26.25" x14ac:dyDescent="0.25">
      <c r="A176" s="652"/>
      <c r="B176" s="651"/>
      <c r="C176" s="654"/>
    </row>
    <row r="177" spans="1:3" ht="26.25" x14ac:dyDescent="0.25">
      <c r="A177" s="652"/>
      <c r="B177" s="651"/>
      <c r="C177" s="654"/>
    </row>
    <row r="178" spans="1:3" ht="26.25" x14ac:dyDescent="0.25">
      <c r="A178" s="652"/>
      <c r="B178" s="651"/>
      <c r="C178" s="654"/>
    </row>
    <row r="179" spans="1:3" ht="26.25" x14ac:dyDescent="0.25">
      <c r="A179" s="652"/>
      <c r="B179" s="651"/>
      <c r="C179" s="654"/>
    </row>
    <row r="180" spans="1:3" ht="26.25" x14ac:dyDescent="0.25">
      <c r="A180" s="652"/>
      <c r="B180" s="651"/>
      <c r="C180" s="654"/>
    </row>
    <row r="181" spans="1:3" ht="26.25" x14ac:dyDescent="0.25">
      <c r="A181" s="652"/>
      <c r="B181" s="651"/>
      <c r="C181" s="654"/>
    </row>
    <row r="182" spans="1:3" ht="26.25" x14ac:dyDescent="0.25">
      <c r="A182" s="652"/>
      <c r="B182" s="651"/>
      <c r="C182" s="654"/>
    </row>
    <row r="183" spans="1:3" ht="26.25" x14ac:dyDescent="0.25">
      <c r="A183" s="652"/>
      <c r="B183" s="651"/>
      <c r="C183" s="654"/>
    </row>
    <row r="184" spans="1:3" ht="26.25" x14ac:dyDescent="0.25">
      <c r="A184" s="652"/>
      <c r="B184" s="651"/>
      <c r="C184" s="654"/>
    </row>
    <row r="185" spans="1:3" ht="26.25" x14ac:dyDescent="0.25">
      <c r="A185" s="652"/>
      <c r="B185" s="651"/>
      <c r="C185" s="654"/>
    </row>
    <row r="186" spans="1:3" ht="26.25" x14ac:dyDescent="0.25">
      <c r="A186" s="652"/>
      <c r="B186" s="651"/>
      <c r="C186" s="654"/>
    </row>
    <row r="187" spans="1:3" ht="26.25" x14ac:dyDescent="0.25">
      <c r="A187" s="652"/>
      <c r="B187" s="651"/>
      <c r="C187" s="654"/>
    </row>
    <row r="188" spans="1:3" ht="26.25" x14ac:dyDescent="0.25">
      <c r="A188" s="652"/>
      <c r="B188" s="651"/>
      <c r="C188" s="654"/>
    </row>
    <row r="189" spans="1:3" ht="26.25" x14ac:dyDescent="0.25">
      <c r="A189" s="652"/>
      <c r="B189" s="651"/>
      <c r="C189" s="654"/>
    </row>
    <row r="190" spans="1:3" ht="26.25" x14ac:dyDescent="0.25">
      <c r="A190" s="652"/>
      <c r="B190" s="651"/>
      <c r="C190" s="654"/>
    </row>
    <row r="191" spans="1:3" ht="26.25" x14ac:dyDescent="0.25">
      <c r="A191" s="652"/>
      <c r="B191" s="651"/>
      <c r="C191" s="654"/>
    </row>
    <row r="192" spans="1:3" ht="26.25" x14ac:dyDescent="0.25">
      <c r="A192" s="652"/>
      <c r="B192" s="651"/>
      <c r="C192" s="654"/>
    </row>
    <row r="193" spans="1:3" ht="26.25" x14ac:dyDescent="0.25">
      <c r="A193" s="652"/>
      <c r="B193" s="651"/>
      <c r="C193" s="654"/>
    </row>
    <row r="194" spans="1:3" ht="26.25" x14ac:dyDescent="0.25">
      <c r="A194" s="652"/>
      <c r="B194" s="651"/>
      <c r="C194" s="654"/>
    </row>
    <row r="195" spans="1:3" ht="26.25" x14ac:dyDescent="0.25">
      <c r="A195" s="652"/>
      <c r="B195" s="651"/>
      <c r="C195" s="654"/>
    </row>
    <row r="196" spans="1:3" ht="26.25" x14ac:dyDescent="0.25">
      <c r="A196" s="652"/>
      <c r="B196" s="651"/>
      <c r="C196" s="654"/>
    </row>
    <row r="197" spans="1:3" ht="26.25" x14ac:dyDescent="0.25">
      <c r="A197" s="652"/>
      <c r="B197" s="651"/>
      <c r="C197" s="654"/>
    </row>
    <row r="198" spans="1:3" ht="26.25" x14ac:dyDescent="0.25">
      <c r="A198" s="652"/>
      <c r="B198" s="651"/>
      <c r="C198" s="654"/>
    </row>
    <row r="199" spans="1:3" ht="26.25" x14ac:dyDescent="0.25">
      <c r="A199" s="652"/>
      <c r="B199" s="651"/>
      <c r="C199" s="654"/>
    </row>
    <row r="200" spans="1:3" ht="26.25" x14ac:dyDescent="0.25">
      <c r="A200" s="652"/>
      <c r="B200" s="651"/>
      <c r="C200" s="654"/>
    </row>
    <row r="201" spans="1:3" ht="26.25" x14ac:dyDescent="0.25">
      <c r="A201" s="652"/>
      <c r="B201" s="651"/>
      <c r="C201" s="654"/>
    </row>
    <row r="202" spans="1:3" ht="26.25" x14ac:dyDescent="0.25">
      <c r="A202" s="652"/>
      <c r="B202" s="651"/>
      <c r="C202" s="654"/>
    </row>
    <row r="203" spans="1:3" ht="26.25" x14ac:dyDescent="0.25">
      <c r="A203" s="652"/>
      <c r="B203" s="651"/>
      <c r="C203" s="654"/>
    </row>
    <row r="204" spans="1:3" ht="26.25" x14ac:dyDescent="0.25">
      <c r="A204" s="652"/>
      <c r="B204" s="651"/>
      <c r="C204" s="654"/>
    </row>
    <row r="205" spans="1:3" ht="26.25" x14ac:dyDescent="0.25">
      <c r="A205" s="652"/>
      <c r="B205" s="651"/>
      <c r="C205" s="654"/>
    </row>
    <row r="206" spans="1:3" ht="26.25" x14ac:dyDescent="0.25">
      <c r="A206" s="652"/>
      <c r="B206" s="651"/>
      <c r="C206" s="654"/>
    </row>
    <row r="207" spans="1:3" ht="26.25" x14ac:dyDescent="0.25">
      <c r="A207" s="652"/>
      <c r="B207" s="651"/>
      <c r="C207" s="654"/>
    </row>
    <row r="208" spans="1:3" ht="26.25" x14ac:dyDescent="0.25">
      <c r="A208" s="652"/>
      <c r="B208" s="651"/>
      <c r="C208" s="654"/>
    </row>
    <row r="209" spans="1:3" ht="26.25" x14ac:dyDescent="0.25">
      <c r="A209" s="652"/>
      <c r="B209" s="651"/>
      <c r="C209" s="654"/>
    </row>
    <row r="210" spans="1:3" ht="26.25" x14ac:dyDescent="0.25">
      <c r="A210" s="652"/>
      <c r="B210" s="651"/>
      <c r="C210" s="654"/>
    </row>
    <row r="211" spans="1:3" ht="26.25" x14ac:dyDescent="0.25">
      <c r="A211" s="652"/>
      <c r="B211" s="651"/>
      <c r="C211" s="654"/>
    </row>
    <row r="212" spans="1:3" ht="26.25" x14ac:dyDescent="0.25">
      <c r="A212" s="652"/>
      <c r="B212" s="651"/>
      <c r="C212" s="654"/>
    </row>
    <row r="213" spans="1:3" ht="26.25" x14ac:dyDescent="0.25">
      <c r="A213" s="652"/>
      <c r="B213" s="651"/>
      <c r="C213" s="654"/>
    </row>
    <row r="214" spans="1:3" ht="26.25" x14ac:dyDescent="0.25">
      <c r="A214" s="652"/>
      <c r="B214" s="651"/>
      <c r="C214" s="654"/>
    </row>
    <row r="215" spans="1:3" ht="26.25" x14ac:dyDescent="0.25">
      <c r="A215" s="652"/>
      <c r="B215" s="651"/>
      <c r="C215" s="654"/>
    </row>
    <row r="216" spans="1:3" ht="26.25" x14ac:dyDescent="0.25">
      <c r="A216" s="652"/>
      <c r="B216" s="651"/>
      <c r="C216" s="654"/>
    </row>
    <row r="217" spans="1:3" ht="26.25" x14ac:dyDescent="0.25">
      <c r="A217" s="652"/>
      <c r="B217" s="651"/>
      <c r="C217" s="654"/>
    </row>
    <row r="218" spans="1:3" ht="26.25" x14ac:dyDescent="0.25">
      <c r="A218" s="652"/>
      <c r="B218" s="651"/>
      <c r="C218" s="654"/>
    </row>
    <row r="219" spans="1:3" ht="26.25" x14ac:dyDescent="0.25">
      <c r="A219" s="652"/>
      <c r="B219" s="651"/>
      <c r="C219" s="654"/>
    </row>
    <row r="220" spans="1:3" ht="26.25" x14ac:dyDescent="0.25">
      <c r="A220" s="652"/>
      <c r="B220" s="651"/>
      <c r="C220" s="654"/>
    </row>
    <row r="221" spans="1:3" ht="26.25" x14ac:dyDescent="0.25">
      <c r="A221" s="652"/>
      <c r="B221" s="651"/>
      <c r="C221" s="654"/>
    </row>
    <row r="222" spans="1:3" ht="26.25" x14ac:dyDescent="0.25">
      <c r="A222" s="652"/>
      <c r="B222" s="651"/>
      <c r="C222" s="654"/>
    </row>
    <row r="223" spans="1:3" ht="26.25" x14ac:dyDescent="0.25">
      <c r="A223" s="652"/>
      <c r="B223" s="651"/>
      <c r="C223" s="654"/>
    </row>
    <row r="224" spans="1:3" ht="26.25" x14ac:dyDescent="0.25">
      <c r="A224" s="652"/>
      <c r="B224" s="651"/>
      <c r="C224" s="654"/>
    </row>
    <row r="225" spans="1:3" ht="26.25" x14ac:dyDescent="0.25">
      <c r="A225" s="652"/>
      <c r="B225" s="651"/>
      <c r="C225" s="654"/>
    </row>
    <row r="226" spans="1:3" ht="26.25" x14ac:dyDescent="0.25">
      <c r="A226" s="652"/>
      <c r="B226" s="651"/>
      <c r="C226" s="654"/>
    </row>
    <row r="227" spans="1:3" ht="26.25" x14ac:dyDescent="0.25">
      <c r="A227" s="652"/>
      <c r="B227" s="651"/>
      <c r="C227" s="654"/>
    </row>
    <row r="228" spans="1:3" ht="26.25" x14ac:dyDescent="0.25">
      <c r="A228" s="652"/>
      <c r="B228" s="651"/>
      <c r="C228" s="654"/>
    </row>
    <row r="229" spans="1:3" ht="26.25" x14ac:dyDescent="0.25">
      <c r="A229" s="652"/>
      <c r="B229" s="651"/>
      <c r="C229" s="654"/>
    </row>
    <row r="230" spans="1:3" ht="26.25" x14ac:dyDescent="0.25">
      <c r="A230" s="652"/>
      <c r="B230" s="651"/>
      <c r="C230" s="654"/>
    </row>
    <row r="231" spans="1:3" ht="26.25" x14ac:dyDescent="0.25">
      <c r="A231" s="652"/>
      <c r="B231" s="651"/>
      <c r="C231" s="654"/>
    </row>
    <row r="232" spans="1:3" ht="26.25" x14ac:dyDescent="0.25">
      <c r="A232" s="652"/>
      <c r="B232" s="651"/>
      <c r="C232" s="654"/>
    </row>
    <row r="233" spans="1:3" ht="26.25" x14ac:dyDescent="0.25">
      <c r="A233" s="652"/>
      <c r="B233" s="651"/>
      <c r="C233" s="654"/>
    </row>
    <row r="234" spans="1:3" ht="26.25" x14ac:dyDescent="0.25">
      <c r="A234" s="652"/>
      <c r="B234" s="651"/>
      <c r="C234" s="654"/>
    </row>
    <row r="235" spans="1:3" ht="26.25" x14ac:dyDescent="0.25">
      <c r="A235" s="652"/>
      <c r="B235" s="651"/>
      <c r="C235" s="654"/>
    </row>
    <row r="236" spans="1:3" ht="26.25" x14ac:dyDescent="0.25">
      <c r="A236" s="652"/>
      <c r="B236" s="651"/>
      <c r="C236" s="654"/>
    </row>
    <row r="237" spans="1:3" ht="26.25" x14ac:dyDescent="0.25">
      <c r="A237" s="652"/>
      <c r="B237" s="651"/>
      <c r="C237" s="654"/>
    </row>
    <row r="238" spans="1:3" ht="26.25" x14ac:dyDescent="0.25">
      <c r="A238" s="652"/>
      <c r="B238" s="651"/>
      <c r="C238" s="654"/>
    </row>
    <row r="239" spans="1:3" ht="26.25" x14ac:dyDescent="0.25">
      <c r="A239" s="652"/>
      <c r="B239" s="651"/>
      <c r="C239" s="654"/>
    </row>
    <row r="240" spans="1:3" ht="26.25" x14ac:dyDescent="0.25">
      <c r="A240" s="652"/>
      <c r="B240" s="651"/>
      <c r="C240" s="654"/>
    </row>
    <row r="241" spans="1:3" ht="26.25" x14ac:dyDescent="0.25">
      <c r="A241" s="652"/>
      <c r="B241" s="651"/>
      <c r="C241" s="654"/>
    </row>
    <row r="242" spans="1:3" ht="26.25" x14ac:dyDescent="0.25">
      <c r="A242" s="652"/>
      <c r="B242" s="651"/>
      <c r="C242" s="654"/>
    </row>
    <row r="243" spans="1:3" ht="26.25" x14ac:dyDescent="0.25">
      <c r="A243" s="652"/>
      <c r="B243" s="651"/>
      <c r="C243" s="654"/>
    </row>
    <row r="244" spans="1:3" ht="26.25" x14ac:dyDescent="0.25">
      <c r="A244" s="652"/>
      <c r="B244" s="651"/>
      <c r="C244" s="654"/>
    </row>
    <row r="245" spans="1:3" ht="26.25" x14ac:dyDescent="0.25">
      <c r="A245" s="652"/>
      <c r="B245" s="651"/>
      <c r="C245" s="654"/>
    </row>
    <row r="246" spans="1:3" ht="26.25" x14ac:dyDescent="0.25">
      <c r="A246" s="652"/>
      <c r="B246" s="651"/>
      <c r="C246" s="654"/>
    </row>
    <row r="247" spans="1:3" ht="26.25" x14ac:dyDescent="0.25">
      <c r="A247" s="652"/>
      <c r="B247" s="651"/>
      <c r="C247" s="654"/>
    </row>
    <row r="248" spans="1:3" ht="26.25" x14ac:dyDescent="0.25">
      <c r="A248" s="652"/>
      <c r="B248" s="651"/>
      <c r="C248" s="654"/>
    </row>
    <row r="249" spans="1:3" ht="26.25" x14ac:dyDescent="0.25">
      <c r="A249" s="652"/>
      <c r="B249" s="651"/>
      <c r="C249" s="654"/>
    </row>
    <row r="250" spans="1:3" ht="26.25" x14ac:dyDescent="0.25">
      <c r="A250" s="652"/>
      <c r="B250" s="651"/>
      <c r="C250" s="654"/>
    </row>
    <row r="251" spans="1:3" ht="26.25" x14ac:dyDescent="0.25">
      <c r="A251" s="652"/>
      <c r="B251" s="651"/>
      <c r="C251" s="654"/>
    </row>
    <row r="252" spans="1:3" ht="26.25" x14ac:dyDescent="0.25">
      <c r="A252" s="652"/>
      <c r="B252" s="651"/>
      <c r="C252" s="654"/>
    </row>
    <row r="253" spans="1:3" ht="26.25" x14ac:dyDescent="0.25">
      <c r="A253" s="652"/>
      <c r="B253" s="651"/>
      <c r="C253" s="654"/>
    </row>
    <row r="254" spans="1:3" ht="26.25" x14ac:dyDescent="0.25">
      <c r="A254" s="652"/>
      <c r="B254" s="651"/>
      <c r="C254" s="654"/>
    </row>
    <row r="255" spans="1:3" ht="26.25" x14ac:dyDescent="0.25">
      <c r="A255" s="652"/>
      <c r="B255" s="651"/>
      <c r="C255" s="654"/>
    </row>
    <row r="256" spans="1:3" ht="26.25" x14ac:dyDescent="0.25">
      <c r="A256" s="652"/>
      <c r="B256" s="651"/>
      <c r="C256" s="654"/>
    </row>
    <row r="257" spans="1:3" ht="26.25" x14ac:dyDescent="0.25">
      <c r="A257" s="652"/>
      <c r="B257" s="651"/>
      <c r="C257" s="654"/>
    </row>
    <row r="258" spans="1:3" ht="26.25" x14ac:dyDescent="0.25">
      <c r="A258" s="652"/>
      <c r="B258" s="651"/>
      <c r="C258" s="654"/>
    </row>
    <row r="259" spans="1:3" ht="26.25" x14ac:dyDescent="0.25">
      <c r="A259" s="652"/>
      <c r="B259" s="651"/>
      <c r="C259" s="654"/>
    </row>
    <row r="260" spans="1:3" ht="26.25" x14ac:dyDescent="0.25">
      <c r="A260" s="652"/>
      <c r="B260" s="651"/>
      <c r="C260" s="654"/>
    </row>
    <row r="261" spans="1:3" ht="26.25" x14ac:dyDescent="0.25">
      <c r="A261" s="652"/>
      <c r="B261" s="651"/>
      <c r="C261" s="654"/>
    </row>
    <row r="262" spans="1:3" ht="26.25" x14ac:dyDescent="0.25">
      <c r="A262" s="652"/>
      <c r="B262" s="651"/>
      <c r="C262" s="654"/>
    </row>
    <row r="263" spans="1:3" ht="26.25" x14ac:dyDescent="0.25">
      <c r="A263" s="652"/>
      <c r="B263" s="651"/>
      <c r="C263" s="654"/>
    </row>
    <row r="264" spans="1:3" ht="26.25" x14ac:dyDescent="0.25">
      <c r="A264" s="652"/>
      <c r="B264" s="651"/>
      <c r="C264" s="654"/>
    </row>
    <row r="265" spans="1:3" ht="26.25" x14ac:dyDescent="0.25">
      <c r="A265" s="652"/>
      <c r="B265" s="651"/>
      <c r="C265" s="654"/>
    </row>
    <row r="266" spans="1:3" ht="26.25" x14ac:dyDescent="0.25">
      <c r="A266" s="652"/>
      <c r="B266" s="651"/>
      <c r="C266" s="654"/>
    </row>
    <row r="267" spans="1:3" ht="26.25" x14ac:dyDescent="0.25">
      <c r="A267" s="652"/>
      <c r="B267" s="651"/>
      <c r="C267" s="654"/>
    </row>
    <row r="268" spans="1:3" ht="26.25" x14ac:dyDescent="0.25">
      <c r="A268" s="652"/>
      <c r="B268" s="651"/>
      <c r="C268" s="654"/>
    </row>
    <row r="269" spans="1:3" ht="26.25" x14ac:dyDescent="0.25">
      <c r="A269" s="652"/>
      <c r="B269" s="651"/>
      <c r="C269" s="654"/>
    </row>
    <row r="270" spans="1:3" ht="26.25" x14ac:dyDescent="0.25">
      <c r="A270" s="652"/>
      <c r="B270" s="651"/>
      <c r="C270" s="654"/>
    </row>
    <row r="271" spans="1:3" ht="26.25" x14ac:dyDescent="0.25">
      <c r="A271" s="652"/>
      <c r="B271" s="651"/>
      <c r="C271" s="654"/>
    </row>
    <row r="272" spans="1:3" ht="26.25" x14ac:dyDescent="0.25">
      <c r="A272" s="652"/>
      <c r="B272" s="651"/>
      <c r="C272" s="654"/>
    </row>
    <row r="273" spans="1:3" ht="26.25" x14ac:dyDescent="0.25">
      <c r="A273" s="652"/>
      <c r="B273" s="651"/>
      <c r="C273" s="654"/>
    </row>
    <row r="274" spans="1:3" ht="26.25" x14ac:dyDescent="0.25">
      <c r="A274" s="652"/>
      <c r="B274" s="651"/>
      <c r="C274" s="654"/>
    </row>
    <row r="275" spans="1:3" ht="26.25" x14ac:dyDescent="0.25">
      <c r="A275" s="652"/>
      <c r="B275" s="651"/>
      <c r="C275" s="654"/>
    </row>
    <row r="276" spans="1:3" ht="26.25" x14ac:dyDescent="0.25">
      <c r="A276" s="652"/>
      <c r="B276" s="651"/>
      <c r="C276" s="654"/>
    </row>
    <row r="277" spans="1:3" ht="26.25" x14ac:dyDescent="0.25">
      <c r="A277" s="652"/>
      <c r="B277" s="651"/>
      <c r="C277" s="654"/>
    </row>
    <row r="278" spans="1:3" ht="26.25" x14ac:dyDescent="0.25">
      <c r="A278" s="652"/>
      <c r="B278" s="651"/>
      <c r="C278" s="654"/>
    </row>
    <row r="279" spans="1:3" ht="26.25" x14ac:dyDescent="0.25">
      <c r="A279" s="652"/>
      <c r="B279" s="651"/>
      <c r="C279" s="654"/>
    </row>
    <row r="280" spans="1:3" ht="26.25" x14ac:dyDescent="0.25">
      <c r="A280" s="652"/>
      <c r="B280" s="651"/>
      <c r="C280" s="654"/>
    </row>
    <row r="281" spans="1:3" ht="26.25" x14ac:dyDescent="0.25">
      <c r="A281" s="652"/>
      <c r="B281" s="651"/>
      <c r="C281" s="654"/>
    </row>
    <row r="282" spans="1:3" ht="26.25" x14ac:dyDescent="0.25">
      <c r="A282" s="652"/>
      <c r="B282" s="651"/>
      <c r="C282" s="654"/>
    </row>
    <row r="283" spans="1:3" ht="26.25" x14ac:dyDescent="0.25">
      <c r="A283" s="652"/>
      <c r="B283" s="651"/>
      <c r="C283" s="654"/>
    </row>
    <row r="284" spans="1:3" ht="26.25" x14ac:dyDescent="0.25">
      <c r="A284" s="652"/>
      <c r="B284" s="651"/>
      <c r="C284" s="654"/>
    </row>
    <row r="285" spans="1:3" ht="26.25" x14ac:dyDescent="0.25">
      <c r="A285" s="652"/>
      <c r="B285" s="651"/>
      <c r="C285" s="654"/>
    </row>
    <row r="286" spans="1:3" ht="26.25" x14ac:dyDescent="0.25">
      <c r="A286" s="652"/>
      <c r="B286" s="651"/>
      <c r="C286" s="654"/>
    </row>
    <row r="287" spans="1:3" ht="26.25" x14ac:dyDescent="0.25">
      <c r="A287" s="652"/>
      <c r="B287" s="651"/>
      <c r="C287" s="654"/>
    </row>
    <row r="288" spans="1:3" ht="26.25" x14ac:dyDescent="0.25">
      <c r="A288" s="652"/>
      <c r="B288" s="651"/>
      <c r="C288" s="654"/>
    </row>
    <row r="289" spans="1:3" ht="26.25" x14ac:dyDescent="0.25">
      <c r="A289" s="652"/>
      <c r="B289" s="651"/>
      <c r="C289" s="654"/>
    </row>
    <row r="290" spans="1:3" ht="26.25" x14ac:dyDescent="0.25">
      <c r="A290" s="652"/>
      <c r="B290" s="651"/>
      <c r="C290" s="654"/>
    </row>
    <row r="291" spans="1:3" ht="26.25" x14ac:dyDescent="0.25">
      <c r="A291" s="652"/>
      <c r="B291" s="651"/>
      <c r="C291" s="654"/>
    </row>
    <row r="292" spans="1:3" ht="26.25" x14ac:dyDescent="0.25">
      <c r="A292" s="652"/>
      <c r="B292" s="651"/>
      <c r="C292" s="654"/>
    </row>
    <row r="293" spans="1:3" ht="26.25" x14ac:dyDescent="0.25">
      <c r="A293" s="652"/>
      <c r="B293" s="651"/>
      <c r="C293" s="654"/>
    </row>
    <row r="294" spans="1:3" ht="26.25" x14ac:dyDescent="0.25">
      <c r="A294" s="652"/>
      <c r="B294" s="651"/>
      <c r="C294" s="654"/>
    </row>
    <row r="295" spans="1:3" ht="26.25" x14ac:dyDescent="0.25">
      <c r="A295" s="652"/>
      <c r="B295" s="651"/>
      <c r="C295" s="654"/>
    </row>
    <row r="296" spans="1:3" ht="26.25" x14ac:dyDescent="0.25">
      <c r="A296" s="652"/>
      <c r="B296" s="651"/>
      <c r="C296" s="654"/>
    </row>
    <row r="297" spans="1:3" ht="26.25" x14ac:dyDescent="0.25">
      <c r="A297" s="652"/>
      <c r="B297" s="651"/>
      <c r="C297" s="654"/>
    </row>
    <row r="298" spans="1:3" ht="26.25" x14ac:dyDescent="0.25">
      <c r="A298" s="652"/>
      <c r="B298" s="651"/>
      <c r="C298" s="654"/>
    </row>
    <row r="299" spans="1:3" ht="26.25" x14ac:dyDescent="0.25">
      <c r="A299" s="652"/>
      <c r="B299" s="651"/>
      <c r="C299" s="654"/>
    </row>
    <row r="300" spans="1:3" ht="26.25" x14ac:dyDescent="0.25">
      <c r="A300" s="652"/>
      <c r="B300" s="651"/>
      <c r="C300" s="654"/>
    </row>
    <row r="301" spans="1:3" ht="26.25" x14ac:dyDescent="0.25">
      <c r="A301" s="652"/>
      <c r="B301" s="651"/>
      <c r="C301" s="654"/>
    </row>
    <row r="302" spans="1:3" ht="26.25" x14ac:dyDescent="0.25">
      <c r="A302" s="652"/>
      <c r="B302" s="651"/>
      <c r="C302" s="654"/>
    </row>
    <row r="303" spans="1:3" ht="26.25" x14ac:dyDescent="0.25">
      <c r="A303" s="652"/>
      <c r="B303" s="651"/>
      <c r="C303" s="654"/>
    </row>
    <row r="304" spans="1:3" ht="26.25" x14ac:dyDescent="0.25">
      <c r="A304" s="652"/>
      <c r="B304" s="651"/>
      <c r="C304" s="654"/>
    </row>
    <row r="305" spans="1:3" ht="26.25" x14ac:dyDescent="0.25">
      <c r="A305" s="652"/>
      <c r="B305" s="651"/>
      <c r="C305" s="654"/>
    </row>
    <row r="306" spans="1:3" ht="26.25" x14ac:dyDescent="0.25">
      <c r="A306" s="652"/>
      <c r="B306" s="651"/>
      <c r="C306" s="654"/>
    </row>
    <row r="307" spans="1:3" ht="26.25" x14ac:dyDescent="0.25">
      <c r="A307" s="652"/>
      <c r="B307" s="651"/>
      <c r="C307" s="654"/>
    </row>
    <row r="308" spans="1:3" ht="26.25" x14ac:dyDescent="0.25">
      <c r="A308" s="652"/>
      <c r="B308" s="651"/>
      <c r="C308" s="654"/>
    </row>
    <row r="309" spans="1:3" ht="26.25" x14ac:dyDescent="0.25">
      <c r="A309" s="652"/>
      <c r="B309" s="651"/>
      <c r="C309" s="654"/>
    </row>
    <row r="310" spans="1:3" ht="26.25" x14ac:dyDescent="0.25">
      <c r="A310" s="652"/>
      <c r="B310" s="651"/>
      <c r="C310" s="654"/>
    </row>
    <row r="311" spans="1:3" ht="26.25" x14ac:dyDescent="0.25">
      <c r="A311" s="652"/>
      <c r="B311" s="651"/>
      <c r="C311" s="654"/>
    </row>
    <row r="312" spans="1:3" ht="26.25" x14ac:dyDescent="0.25">
      <c r="A312" s="652"/>
      <c r="B312" s="651"/>
      <c r="C312" s="654"/>
    </row>
    <row r="313" spans="1:3" ht="26.25" x14ac:dyDescent="0.25">
      <c r="A313" s="652"/>
      <c r="B313" s="651"/>
      <c r="C313" s="654"/>
    </row>
    <row r="314" spans="1:3" ht="26.25" x14ac:dyDescent="0.25">
      <c r="A314" s="652"/>
      <c r="B314" s="651"/>
      <c r="C314" s="654"/>
    </row>
    <row r="315" spans="1:3" ht="26.25" x14ac:dyDescent="0.25">
      <c r="A315" s="652"/>
      <c r="B315" s="651"/>
      <c r="C315" s="654"/>
    </row>
    <row r="316" spans="1:3" ht="26.25" x14ac:dyDescent="0.25">
      <c r="A316" s="652"/>
      <c r="B316" s="651"/>
      <c r="C316" s="654"/>
    </row>
    <row r="317" spans="1:3" ht="26.25" x14ac:dyDescent="0.25">
      <c r="A317" s="652"/>
      <c r="B317" s="651"/>
      <c r="C317" s="654"/>
    </row>
    <row r="318" spans="1:3" ht="26.25" x14ac:dyDescent="0.25">
      <c r="A318" s="652"/>
      <c r="B318" s="651"/>
      <c r="C318" s="654"/>
    </row>
    <row r="319" spans="1:3" ht="26.25" x14ac:dyDescent="0.25">
      <c r="A319" s="652"/>
      <c r="B319" s="651"/>
      <c r="C319" s="654"/>
    </row>
    <row r="320" spans="1:3" ht="26.25" x14ac:dyDescent="0.25">
      <c r="A320" s="652"/>
      <c r="B320" s="651"/>
      <c r="C320" s="654"/>
    </row>
    <row r="321" spans="1:3" ht="26.25" x14ac:dyDescent="0.25">
      <c r="A321" s="652"/>
      <c r="B321" s="651"/>
      <c r="C321" s="654"/>
    </row>
    <row r="322" spans="1:3" ht="26.25" x14ac:dyDescent="0.25">
      <c r="A322" s="652"/>
      <c r="B322" s="651"/>
      <c r="C322" s="654"/>
    </row>
    <row r="323" spans="1:3" ht="26.25" x14ac:dyDescent="0.25">
      <c r="A323" s="652"/>
      <c r="B323" s="651"/>
      <c r="C323" s="654"/>
    </row>
    <row r="324" spans="1:3" ht="26.25" x14ac:dyDescent="0.25">
      <c r="A324" s="652"/>
      <c r="B324" s="651"/>
      <c r="C324" s="654"/>
    </row>
    <row r="325" spans="1:3" ht="26.25" x14ac:dyDescent="0.25">
      <c r="A325" s="652"/>
      <c r="B325" s="651"/>
      <c r="C325" s="654"/>
    </row>
    <row r="326" spans="1:3" ht="26.25" x14ac:dyDescent="0.25">
      <c r="A326" s="652"/>
      <c r="B326" s="651"/>
      <c r="C326" s="654"/>
    </row>
    <row r="327" spans="1:3" ht="26.25" x14ac:dyDescent="0.25">
      <c r="A327" s="652"/>
      <c r="B327" s="651"/>
      <c r="C327" s="654"/>
    </row>
    <row r="328" spans="1:3" ht="26.25" x14ac:dyDescent="0.25">
      <c r="A328" s="652"/>
      <c r="B328" s="651"/>
      <c r="C328" s="654"/>
    </row>
    <row r="329" spans="1:3" ht="26.25" x14ac:dyDescent="0.25">
      <c r="A329" s="652"/>
      <c r="B329" s="651"/>
      <c r="C329" s="654"/>
    </row>
    <row r="330" spans="1:3" ht="26.25" x14ac:dyDescent="0.25">
      <c r="A330" s="652"/>
      <c r="B330" s="651"/>
      <c r="C330" s="654"/>
    </row>
    <row r="331" spans="1:3" ht="26.25" x14ac:dyDescent="0.25">
      <c r="A331" s="652"/>
      <c r="B331" s="651"/>
      <c r="C331" s="654"/>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3" operator="containsText" text="Not Paid">
      <formula>NOT(ISERROR(SEARCH("Not Paid",B3)))</formula>
    </cfRule>
    <cfRule type="containsText" dxfId="1" priority="4"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48" t="s">
        <v>1</v>
      </c>
      <c r="B1" s="648" t="s">
        <v>14110</v>
      </c>
      <c r="C1" s="648" t="s">
        <v>14120</v>
      </c>
      <c r="D1" s="648" t="s">
        <v>14121</v>
      </c>
      <c r="E1" s="648" t="s">
        <v>11311</v>
      </c>
      <c r="F1" s="648" t="s">
        <v>55</v>
      </c>
      <c r="G1" s="648"/>
      <c r="H1" s="648"/>
      <c r="I1" s="648" t="s">
        <v>1</v>
      </c>
      <c r="J1" s="648" t="s">
        <v>14110</v>
      </c>
      <c r="K1" s="648" t="s">
        <v>14120</v>
      </c>
      <c r="L1" s="648" t="s">
        <v>14121</v>
      </c>
      <c r="M1" s="648" t="s">
        <v>11311</v>
      </c>
      <c r="N1" s="648" t="s">
        <v>55</v>
      </c>
      <c r="O1" s="648"/>
      <c r="P1" s="648" t="s">
        <v>1</v>
      </c>
      <c r="Q1" s="648" t="s">
        <v>14110</v>
      </c>
      <c r="R1" s="648" t="s">
        <v>14120</v>
      </c>
      <c r="S1" s="648" t="s">
        <v>14121</v>
      </c>
      <c r="T1" s="648" t="s">
        <v>11311</v>
      </c>
      <c r="U1" s="648" t="s">
        <v>55</v>
      </c>
      <c r="V1" s="648"/>
      <c r="W1" s="648" t="s">
        <v>1</v>
      </c>
      <c r="X1" s="648" t="s">
        <v>14110</v>
      </c>
      <c r="Y1" s="648" t="s">
        <v>14120</v>
      </c>
      <c r="Z1" s="648" t="s">
        <v>14121</v>
      </c>
      <c r="AA1" s="648" t="s">
        <v>11311</v>
      </c>
      <c r="AB1" s="648" t="s">
        <v>55</v>
      </c>
      <c r="AC1" s="648"/>
      <c r="AD1" s="648" t="s">
        <v>1</v>
      </c>
      <c r="AE1" s="648" t="s">
        <v>14110</v>
      </c>
      <c r="AF1" s="648" t="s">
        <v>14120</v>
      </c>
      <c r="AG1" s="648" t="s">
        <v>14121</v>
      </c>
      <c r="AH1" s="648" t="s">
        <v>11311</v>
      </c>
      <c r="AI1" s="648" t="s">
        <v>55</v>
      </c>
    </row>
    <row r="2" spans="1:42" ht="23.25" x14ac:dyDescent="0.35">
      <c r="A2" s="664">
        <v>45658</v>
      </c>
      <c r="B2" s="649">
        <v>15298</v>
      </c>
      <c r="C2" s="649">
        <v>15377</v>
      </c>
      <c r="D2" s="649">
        <f t="shared" ref="D2:D7" si="0">C2-B2</f>
        <v>79</v>
      </c>
      <c r="E2" s="680">
        <f>D2/30*248</f>
        <v>653.06666666666661</v>
      </c>
      <c r="F2" s="649">
        <v>929</v>
      </c>
      <c r="G2" s="649"/>
      <c r="H2" s="649"/>
      <c r="I2" s="664">
        <v>45627</v>
      </c>
      <c r="J2" s="649"/>
      <c r="K2" s="649"/>
      <c r="L2" s="649">
        <f t="shared" ref="L2:L7" si="1">K2-J2</f>
        <v>0</v>
      </c>
      <c r="M2" s="680">
        <f>L2/30*248</f>
        <v>0</v>
      </c>
      <c r="N2" s="649">
        <v>175</v>
      </c>
      <c r="O2" s="649"/>
      <c r="P2" s="664">
        <v>45597</v>
      </c>
      <c r="Q2" s="649">
        <v>9840</v>
      </c>
      <c r="R2" s="649">
        <v>9938</v>
      </c>
      <c r="S2" s="649">
        <f t="shared" ref="S2:S7" si="2">R2-Q2</f>
        <v>98</v>
      </c>
      <c r="T2" s="680">
        <f>S2/30*248</f>
        <v>810.13333333333333</v>
      </c>
      <c r="U2" s="649">
        <v>1720</v>
      </c>
      <c r="V2" s="649"/>
      <c r="W2" s="664">
        <v>45566</v>
      </c>
      <c r="X2" s="649">
        <v>6351</v>
      </c>
      <c r="Y2" s="649">
        <v>6450</v>
      </c>
      <c r="Z2" s="649">
        <f t="shared" ref="Z2" si="3">Y2-X2</f>
        <v>99</v>
      </c>
      <c r="AA2" s="680">
        <f>Z2/30*248</f>
        <v>818.4</v>
      </c>
      <c r="AB2" s="649">
        <v>1300</v>
      </c>
      <c r="AC2" s="649"/>
      <c r="AD2" s="664">
        <v>45536</v>
      </c>
      <c r="AE2" s="649"/>
      <c r="AF2" s="649"/>
      <c r="AG2" s="649"/>
      <c r="AH2" s="649"/>
      <c r="AI2" s="649"/>
    </row>
    <row r="3" spans="1:42" ht="23.25" x14ac:dyDescent="0.35">
      <c r="A3" s="664">
        <v>45659</v>
      </c>
      <c r="B3" s="649">
        <v>15392</v>
      </c>
      <c r="C3" s="649">
        <v>15490</v>
      </c>
      <c r="D3" s="649">
        <f t="shared" si="0"/>
        <v>98</v>
      </c>
      <c r="E3" s="680">
        <f>D3/30*252</f>
        <v>823.19999999999993</v>
      </c>
      <c r="F3" s="649">
        <v>2000</v>
      </c>
      <c r="G3" s="649"/>
      <c r="H3" s="649"/>
      <c r="I3" s="664">
        <v>45628</v>
      </c>
      <c r="J3" s="649">
        <v>12850</v>
      </c>
      <c r="K3" s="649">
        <v>12948</v>
      </c>
      <c r="L3" s="649">
        <f t="shared" si="1"/>
        <v>98</v>
      </c>
      <c r="M3" s="680">
        <f>L3/30*252</f>
        <v>823.19999999999993</v>
      </c>
      <c r="N3" s="649">
        <v>2000</v>
      </c>
      <c r="O3" s="649"/>
      <c r="P3" s="664">
        <v>45598</v>
      </c>
      <c r="Q3" s="649">
        <v>9966</v>
      </c>
      <c r="R3" s="649">
        <v>10029</v>
      </c>
      <c r="S3" s="649">
        <f t="shared" si="2"/>
        <v>63</v>
      </c>
      <c r="T3" s="680">
        <f t="shared" ref="T3:T7" si="4">S3/30*270</f>
        <v>567</v>
      </c>
      <c r="U3" s="649"/>
      <c r="V3" s="649"/>
      <c r="W3" s="664">
        <v>45567</v>
      </c>
      <c r="X3" s="649">
        <v>6499</v>
      </c>
      <c r="Y3" s="649">
        <v>6595</v>
      </c>
      <c r="Z3" s="649">
        <f t="shared" ref="Z3:Z7" si="5">Y3-X3</f>
        <v>96</v>
      </c>
      <c r="AA3" s="680">
        <f t="shared" ref="AA3:AA7" si="6">Z3/30*270</f>
        <v>864</v>
      </c>
      <c r="AB3" s="649">
        <v>1000</v>
      </c>
      <c r="AC3" s="649"/>
      <c r="AD3" s="664">
        <v>45537</v>
      </c>
      <c r="AE3" s="649">
        <v>3489</v>
      </c>
      <c r="AF3" s="649">
        <v>3560</v>
      </c>
      <c r="AG3" s="649">
        <f t="shared" ref="AG3:AG7" si="7">AF3-AE3</f>
        <v>71</v>
      </c>
      <c r="AH3" s="680">
        <f t="shared" ref="AH3:AH7" si="8">AG3/30*270</f>
        <v>639</v>
      </c>
      <c r="AI3" s="649">
        <v>700</v>
      </c>
    </row>
    <row r="4" spans="1:42" ht="23.25" x14ac:dyDescent="0.35">
      <c r="A4" s="664">
        <v>45660</v>
      </c>
      <c r="B4" s="649">
        <v>15514</v>
      </c>
      <c r="C4" s="649">
        <v>15610</v>
      </c>
      <c r="D4" s="649">
        <f t="shared" si="0"/>
        <v>96</v>
      </c>
      <c r="E4" s="680">
        <f t="shared" ref="E4:E31" si="9">D4/30*252</f>
        <v>806.40000000000009</v>
      </c>
      <c r="F4" s="649"/>
      <c r="G4" s="649"/>
      <c r="H4" s="649"/>
      <c r="I4" s="664">
        <v>45629</v>
      </c>
      <c r="J4" s="649">
        <v>12969</v>
      </c>
      <c r="K4" s="649">
        <v>13074</v>
      </c>
      <c r="L4" s="649">
        <f t="shared" si="1"/>
        <v>105</v>
      </c>
      <c r="M4" s="680">
        <f t="shared" ref="M4:M32" si="10">L4/30*252</f>
        <v>882</v>
      </c>
      <c r="N4" s="649"/>
      <c r="O4" s="649"/>
      <c r="P4" s="664">
        <v>45599</v>
      </c>
      <c r="Q4" s="649"/>
      <c r="R4" s="649"/>
      <c r="S4" s="649">
        <f t="shared" si="2"/>
        <v>0</v>
      </c>
      <c r="T4" s="680">
        <f t="shared" si="4"/>
        <v>0</v>
      </c>
      <c r="U4" s="649"/>
      <c r="V4" s="649"/>
      <c r="W4" s="664">
        <v>45568</v>
      </c>
      <c r="X4" s="649">
        <v>6616</v>
      </c>
      <c r="Y4" s="649">
        <v>6711</v>
      </c>
      <c r="Z4" s="649">
        <f t="shared" si="5"/>
        <v>95</v>
      </c>
      <c r="AA4" s="680">
        <f t="shared" si="6"/>
        <v>855</v>
      </c>
      <c r="AB4" s="649"/>
      <c r="AC4" s="649"/>
      <c r="AD4" s="664">
        <v>45538</v>
      </c>
      <c r="AE4" s="649">
        <v>3572</v>
      </c>
      <c r="AF4" s="649">
        <v>3623</v>
      </c>
      <c r="AG4" s="649">
        <f t="shared" si="7"/>
        <v>51</v>
      </c>
      <c r="AH4" s="680">
        <f t="shared" si="8"/>
        <v>459</v>
      </c>
      <c r="AI4" s="649">
        <v>500</v>
      </c>
      <c r="AO4" s="668">
        <v>639</v>
      </c>
      <c r="AP4">
        <v>700</v>
      </c>
    </row>
    <row r="5" spans="1:42" ht="23.25" x14ac:dyDescent="0.35">
      <c r="A5" s="664">
        <v>45661</v>
      </c>
      <c r="B5" s="649">
        <v>15628</v>
      </c>
      <c r="C5" s="649">
        <v>15739</v>
      </c>
      <c r="D5" s="649">
        <f t="shared" si="0"/>
        <v>111</v>
      </c>
      <c r="E5" s="680">
        <f t="shared" si="9"/>
        <v>932.40000000000009</v>
      </c>
      <c r="F5" s="649"/>
      <c r="G5" s="649"/>
      <c r="H5" s="649"/>
      <c r="I5" s="664">
        <v>45630</v>
      </c>
      <c r="J5" s="649"/>
      <c r="K5" s="649"/>
      <c r="L5" s="649">
        <f t="shared" si="1"/>
        <v>0</v>
      </c>
      <c r="M5" s="680">
        <f t="shared" si="10"/>
        <v>0</v>
      </c>
      <c r="N5" s="649"/>
      <c r="O5" s="649"/>
      <c r="P5" s="664">
        <v>45600</v>
      </c>
      <c r="Q5" s="649">
        <v>10111</v>
      </c>
      <c r="R5" s="649">
        <v>10196</v>
      </c>
      <c r="S5" s="649">
        <f t="shared" si="2"/>
        <v>85</v>
      </c>
      <c r="T5" s="680">
        <f t="shared" si="4"/>
        <v>765</v>
      </c>
      <c r="U5" s="649">
        <v>1000</v>
      </c>
      <c r="V5" s="649"/>
      <c r="W5" s="664">
        <v>45569</v>
      </c>
      <c r="X5" s="649">
        <v>6730</v>
      </c>
      <c r="Y5" s="649">
        <v>6796</v>
      </c>
      <c r="Z5" s="649">
        <f t="shared" si="5"/>
        <v>66</v>
      </c>
      <c r="AA5" s="680">
        <f t="shared" si="6"/>
        <v>594</v>
      </c>
      <c r="AB5" s="649">
        <v>1500</v>
      </c>
      <c r="AC5" s="649"/>
      <c r="AD5" s="664">
        <v>45539</v>
      </c>
      <c r="AE5" s="649">
        <v>3645</v>
      </c>
      <c r="AF5" s="649">
        <v>3723</v>
      </c>
      <c r="AG5" s="649">
        <f t="shared" si="7"/>
        <v>78</v>
      </c>
      <c r="AH5" s="680">
        <f t="shared" si="8"/>
        <v>702</v>
      </c>
      <c r="AI5" s="649">
        <v>350</v>
      </c>
      <c r="AK5">
        <v>702</v>
      </c>
      <c r="AO5" s="668">
        <v>459</v>
      </c>
      <c r="AP5">
        <v>500</v>
      </c>
    </row>
    <row r="6" spans="1:42" ht="23.25" x14ac:dyDescent="0.35">
      <c r="A6" s="702">
        <v>45662</v>
      </c>
      <c r="B6" s="649"/>
      <c r="C6" s="649"/>
      <c r="D6" s="649">
        <f t="shared" si="0"/>
        <v>0</v>
      </c>
      <c r="E6" s="680">
        <f t="shared" si="9"/>
        <v>0</v>
      </c>
      <c r="F6" s="649"/>
      <c r="G6" s="649"/>
      <c r="H6" s="649"/>
      <c r="I6" s="664">
        <v>45631</v>
      </c>
      <c r="J6" s="649">
        <v>13100</v>
      </c>
      <c r="K6" s="649">
        <v>13165</v>
      </c>
      <c r="L6" s="649">
        <f t="shared" si="1"/>
        <v>65</v>
      </c>
      <c r="M6" s="680">
        <f t="shared" si="10"/>
        <v>546</v>
      </c>
      <c r="N6" s="649">
        <v>1000</v>
      </c>
      <c r="O6" s="649"/>
      <c r="P6" s="664">
        <v>45601</v>
      </c>
      <c r="Q6" s="649">
        <v>10217</v>
      </c>
      <c r="R6" s="649">
        <v>10337</v>
      </c>
      <c r="S6" s="649">
        <f t="shared" si="2"/>
        <v>120</v>
      </c>
      <c r="T6" s="680">
        <f t="shared" si="4"/>
        <v>1080</v>
      </c>
      <c r="U6" s="649"/>
      <c r="V6" s="649"/>
      <c r="W6" s="664">
        <v>45570</v>
      </c>
      <c r="X6" s="649">
        <v>6813</v>
      </c>
      <c r="Y6" s="649">
        <v>6953</v>
      </c>
      <c r="Z6" s="649">
        <f t="shared" si="5"/>
        <v>140</v>
      </c>
      <c r="AA6" s="680">
        <f t="shared" si="6"/>
        <v>1260</v>
      </c>
      <c r="AB6" s="649"/>
      <c r="AC6" s="649"/>
      <c r="AD6" s="664">
        <v>45540</v>
      </c>
      <c r="AE6" s="649">
        <v>3755</v>
      </c>
      <c r="AF6" s="649">
        <v>3894</v>
      </c>
      <c r="AG6" s="649">
        <f t="shared" si="7"/>
        <v>139</v>
      </c>
      <c r="AH6" s="680">
        <f t="shared" si="8"/>
        <v>1251</v>
      </c>
      <c r="AI6" s="649">
        <v>1500</v>
      </c>
      <c r="AK6">
        <v>350</v>
      </c>
      <c r="AO6" s="668">
        <v>702</v>
      </c>
      <c r="AP6">
        <v>350</v>
      </c>
    </row>
    <row r="7" spans="1:42" ht="23.25" x14ac:dyDescent="0.35">
      <c r="A7" s="664">
        <v>45663</v>
      </c>
      <c r="B7" s="649">
        <v>15758</v>
      </c>
      <c r="C7" s="649">
        <v>15863</v>
      </c>
      <c r="D7" s="649">
        <f t="shared" si="0"/>
        <v>105</v>
      </c>
      <c r="E7" s="680">
        <f t="shared" si="9"/>
        <v>882</v>
      </c>
      <c r="F7" s="649">
        <v>2000</v>
      </c>
      <c r="G7" s="649"/>
      <c r="H7" s="649"/>
      <c r="I7" s="664">
        <v>45632</v>
      </c>
      <c r="J7" s="649">
        <v>13200</v>
      </c>
      <c r="K7" s="649">
        <v>13241</v>
      </c>
      <c r="L7" s="649">
        <f t="shared" si="1"/>
        <v>41</v>
      </c>
      <c r="M7" s="680">
        <f t="shared" si="10"/>
        <v>344.40000000000003</v>
      </c>
      <c r="N7" s="649">
        <v>3000</v>
      </c>
      <c r="O7" s="649"/>
      <c r="P7" s="664">
        <v>45602</v>
      </c>
      <c r="Q7" s="649">
        <v>10356</v>
      </c>
      <c r="R7" s="649">
        <v>10423</v>
      </c>
      <c r="S7" s="649">
        <f t="shared" si="2"/>
        <v>67</v>
      </c>
      <c r="T7" s="680">
        <f t="shared" si="4"/>
        <v>603</v>
      </c>
      <c r="U7" s="649">
        <v>1000</v>
      </c>
      <c r="V7" s="649"/>
      <c r="W7" s="664">
        <v>45571</v>
      </c>
      <c r="X7" s="649"/>
      <c r="Y7" s="649"/>
      <c r="Z7" s="649">
        <f t="shared" si="5"/>
        <v>0</v>
      </c>
      <c r="AA7" s="680">
        <f t="shared" si="6"/>
        <v>0</v>
      </c>
      <c r="AB7" s="649"/>
      <c r="AC7" s="649"/>
      <c r="AD7" s="664">
        <v>45541</v>
      </c>
      <c r="AE7" s="649">
        <v>3916</v>
      </c>
      <c r="AF7" s="649">
        <v>3991</v>
      </c>
      <c r="AG7" s="649">
        <f t="shared" si="7"/>
        <v>75</v>
      </c>
      <c r="AH7" s="680">
        <f t="shared" si="8"/>
        <v>675</v>
      </c>
      <c r="AI7" s="649"/>
      <c r="AK7">
        <f>AK5-AK6</f>
        <v>352</v>
      </c>
      <c r="AO7" s="668">
        <v>1251</v>
      </c>
      <c r="AP7">
        <v>1500</v>
      </c>
    </row>
    <row r="8" spans="1:42" ht="23.25" x14ac:dyDescent="0.35">
      <c r="A8" s="664">
        <v>45664</v>
      </c>
      <c r="B8" s="649">
        <v>15875</v>
      </c>
      <c r="C8" s="649">
        <v>15983</v>
      </c>
      <c r="D8" s="649">
        <f>C8-B8</f>
        <v>108</v>
      </c>
      <c r="E8" s="680">
        <f t="shared" si="9"/>
        <v>907.2</v>
      </c>
      <c r="F8" s="649">
        <f>3000-650</f>
        <v>2350</v>
      </c>
      <c r="G8" s="649" t="s">
        <v>15304</v>
      </c>
      <c r="H8" s="649"/>
      <c r="I8" s="664">
        <v>45633</v>
      </c>
      <c r="J8" s="649">
        <v>13274</v>
      </c>
      <c r="K8" s="649">
        <v>13376</v>
      </c>
      <c r="L8" s="649">
        <f>K8-J8</f>
        <v>102</v>
      </c>
      <c r="M8" s="680">
        <f t="shared" si="10"/>
        <v>856.8</v>
      </c>
      <c r="N8" s="649">
        <v>-650</v>
      </c>
      <c r="O8" s="649" t="s">
        <v>15069</v>
      </c>
      <c r="P8" s="664">
        <v>45603</v>
      </c>
      <c r="Q8" s="649">
        <v>10443</v>
      </c>
      <c r="R8" s="649">
        <v>10555</v>
      </c>
      <c r="S8" s="649">
        <f>R8-Q8</f>
        <v>112</v>
      </c>
      <c r="T8" s="680">
        <f>S8/30*270</f>
        <v>1008</v>
      </c>
      <c r="U8" s="649"/>
      <c r="V8" s="649"/>
      <c r="W8" s="664">
        <v>45572</v>
      </c>
      <c r="X8" s="649">
        <v>7002</v>
      </c>
      <c r="Y8" s="649">
        <v>7147</v>
      </c>
      <c r="Z8" s="649">
        <f>Y8-X8</f>
        <v>145</v>
      </c>
      <c r="AA8" s="680">
        <f>Z8/30*270</f>
        <v>1305</v>
      </c>
      <c r="AB8" s="649">
        <v>1000</v>
      </c>
      <c r="AC8" s="649"/>
      <c r="AD8" s="664">
        <v>45542</v>
      </c>
      <c r="AE8" s="649">
        <v>4012</v>
      </c>
      <c r="AF8" s="649">
        <v>4072</v>
      </c>
      <c r="AG8" s="649">
        <f>AF8-AE8</f>
        <v>60</v>
      </c>
      <c r="AH8" s="680">
        <f>AG8/30*270</f>
        <v>540</v>
      </c>
      <c r="AI8" s="649">
        <v>1000</v>
      </c>
      <c r="AK8">
        <v>41</v>
      </c>
      <c r="AO8" s="668">
        <v>676</v>
      </c>
      <c r="AP8">
        <f>SUM(AP4:AP7)</f>
        <v>3050</v>
      </c>
    </row>
    <row r="9" spans="1:42" ht="23.25" x14ac:dyDescent="0.35">
      <c r="A9" s="664">
        <v>45665</v>
      </c>
      <c r="B9" s="649">
        <v>15998</v>
      </c>
      <c r="C9" s="649">
        <v>16108</v>
      </c>
      <c r="D9" s="649">
        <f t="shared" ref="D9:D31" si="11">C9-B9</f>
        <v>110</v>
      </c>
      <c r="E9" s="680">
        <f t="shared" si="9"/>
        <v>924</v>
      </c>
      <c r="F9" s="649"/>
      <c r="G9" s="649"/>
      <c r="H9" s="649"/>
      <c r="I9" s="664">
        <v>45634</v>
      </c>
      <c r="J9" s="649"/>
      <c r="K9" s="649"/>
      <c r="L9" s="649">
        <f t="shared" ref="L9:L32" si="12">K9-J9</f>
        <v>0</v>
      </c>
      <c r="M9" s="680">
        <f t="shared" si="10"/>
        <v>0</v>
      </c>
      <c r="N9" s="649">
        <v>-274</v>
      </c>
      <c r="O9" s="649" t="s">
        <v>14816</v>
      </c>
      <c r="P9" s="664">
        <v>45604</v>
      </c>
      <c r="Q9" s="649">
        <v>10614</v>
      </c>
      <c r="R9" s="649">
        <v>10667</v>
      </c>
      <c r="S9" s="649">
        <f t="shared" ref="S9:S31" si="13">R9-Q9</f>
        <v>53</v>
      </c>
      <c r="T9" s="680">
        <f t="shared" ref="T9:T19" si="14">S9/30*270</f>
        <v>477</v>
      </c>
      <c r="U9" s="649"/>
      <c r="V9" s="649"/>
      <c r="W9" s="664">
        <v>45573</v>
      </c>
      <c r="X9" s="649">
        <v>7164</v>
      </c>
      <c r="Y9" s="649">
        <v>7228</v>
      </c>
      <c r="Z9" s="649">
        <f t="shared" ref="Z9:Z32" si="15">Y9-X9</f>
        <v>64</v>
      </c>
      <c r="AA9" s="680">
        <f t="shared" ref="AA9:AA19" si="16">Z9/30*270</f>
        <v>576</v>
      </c>
      <c r="AB9" s="649">
        <v>1000</v>
      </c>
      <c r="AC9" s="649"/>
      <c r="AD9" s="664">
        <v>45543</v>
      </c>
      <c r="AE9" s="649"/>
      <c r="AF9" s="649"/>
      <c r="AG9" s="649">
        <f t="shared" ref="AG9:AG31" si="17">AF9-AE9</f>
        <v>0</v>
      </c>
      <c r="AH9" s="680">
        <f t="shared" ref="AH9:AH19" si="18">AG9/30*270</f>
        <v>0</v>
      </c>
      <c r="AI9" s="649"/>
      <c r="AK9">
        <f>AK7-AK8</f>
        <v>311</v>
      </c>
      <c r="AO9" s="668">
        <f>SUM(AO4:AO8)</f>
        <v>3727</v>
      </c>
      <c r="AP9" s="277">
        <f>AO9-AP8</f>
        <v>677</v>
      </c>
    </row>
    <row r="10" spans="1:42" ht="23.25" x14ac:dyDescent="0.35">
      <c r="A10" s="664">
        <v>45666</v>
      </c>
      <c r="B10" s="649">
        <v>16123</v>
      </c>
      <c r="C10" s="649">
        <v>16228</v>
      </c>
      <c r="D10" s="649">
        <f t="shared" si="11"/>
        <v>105</v>
      </c>
      <c r="E10" s="680">
        <f t="shared" si="9"/>
        <v>882</v>
      </c>
      <c r="F10" s="649"/>
      <c r="G10" s="649"/>
      <c r="H10" s="649"/>
      <c r="I10" s="664">
        <v>45635</v>
      </c>
      <c r="J10" s="649"/>
      <c r="K10" s="649"/>
      <c r="L10" s="649">
        <f t="shared" si="12"/>
        <v>0</v>
      </c>
      <c r="M10" s="680">
        <f t="shared" si="10"/>
        <v>0</v>
      </c>
      <c r="N10" s="649"/>
      <c r="O10" s="649"/>
      <c r="P10" s="664">
        <v>45605</v>
      </c>
      <c r="Q10" s="649"/>
      <c r="R10" s="649"/>
      <c r="S10" s="649">
        <f t="shared" si="13"/>
        <v>0</v>
      </c>
      <c r="T10" s="680">
        <f t="shared" si="14"/>
        <v>0</v>
      </c>
      <c r="U10" s="649"/>
      <c r="V10" s="649"/>
      <c r="W10" s="664">
        <v>45574</v>
      </c>
      <c r="X10" s="649">
        <v>7260</v>
      </c>
      <c r="Y10" s="649">
        <v>7317</v>
      </c>
      <c r="Z10" s="649">
        <f t="shared" si="15"/>
        <v>57</v>
      </c>
      <c r="AA10" s="680">
        <f t="shared" si="16"/>
        <v>513</v>
      </c>
      <c r="AB10" s="649"/>
      <c r="AC10" s="649"/>
      <c r="AD10" s="664">
        <v>45544</v>
      </c>
      <c r="AE10" s="649">
        <v>4192</v>
      </c>
      <c r="AF10" s="649">
        <v>4270</v>
      </c>
      <c r="AG10" s="649">
        <f t="shared" si="17"/>
        <v>78</v>
      </c>
      <c r="AH10" s="680">
        <f t="shared" si="18"/>
        <v>702</v>
      </c>
      <c r="AI10" s="649"/>
      <c r="AO10" s="668"/>
    </row>
    <row r="11" spans="1:42" ht="23.25" x14ac:dyDescent="0.35">
      <c r="A11" s="664">
        <v>45667</v>
      </c>
      <c r="B11" s="649">
        <v>16242</v>
      </c>
      <c r="C11" s="649">
        <v>16358</v>
      </c>
      <c r="D11" s="649">
        <f t="shared" si="11"/>
        <v>116</v>
      </c>
      <c r="E11" s="680">
        <f t="shared" si="9"/>
        <v>974.4</v>
      </c>
      <c r="F11" s="649">
        <v>1000</v>
      </c>
      <c r="G11" s="649"/>
      <c r="H11" s="649"/>
      <c r="I11" s="664">
        <v>45636</v>
      </c>
      <c r="J11" s="649"/>
      <c r="K11" s="649"/>
      <c r="L11" s="649">
        <f t="shared" si="12"/>
        <v>0</v>
      </c>
      <c r="M11" s="680">
        <f t="shared" si="10"/>
        <v>0</v>
      </c>
      <c r="N11" s="649"/>
      <c r="O11" s="649"/>
      <c r="P11" s="664">
        <v>45606</v>
      </c>
      <c r="Q11" s="649"/>
      <c r="R11" s="649"/>
      <c r="S11" s="649">
        <f t="shared" si="13"/>
        <v>0</v>
      </c>
      <c r="T11" s="680">
        <f t="shared" si="14"/>
        <v>0</v>
      </c>
      <c r="U11" s="649"/>
      <c r="V11" s="649"/>
      <c r="W11" s="664">
        <v>45575</v>
      </c>
      <c r="X11" s="649">
        <v>7395</v>
      </c>
      <c r="Y11" s="649">
        <v>7503</v>
      </c>
      <c r="Z11" s="649">
        <f t="shared" si="15"/>
        <v>108</v>
      </c>
      <c r="AA11" s="680">
        <f t="shared" si="16"/>
        <v>972</v>
      </c>
      <c r="AB11" s="649">
        <v>2400</v>
      </c>
      <c r="AC11" s="649"/>
      <c r="AD11" s="664">
        <v>45545</v>
      </c>
      <c r="AE11" s="649">
        <v>4294</v>
      </c>
      <c r="AF11" s="649">
        <v>4370</v>
      </c>
      <c r="AG11" s="649">
        <f t="shared" si="17"/>
        <v>76</v>
      </c>
      <c r="AH11" s="680">
        <f t="shared" si="18"/>
        <v>684</v>
      </c>
      <c r="AI11" s="649">
        <v>2000</v>
      </c>
      <c r="AO11" s="668"/>
    </row>
    <row r="12" spans="1:42" ht="23.25" x14ac:dyDescent="0.35">
      <c r="A12" s="664">
        <v>45668</v>
      </c>
      <c r="B12" s="649"/>
      <c r="C12" s="649"/>
      <c r="D12" s="649">
        <f t="shared" si="11"/>
        <v>0</v>
      </c>
      <c r="E12" s="680">
        <f t="shared" si="9"/>
        <v>0</v>
      </c>
      <c r="F12" s="649">
        <v>1500</v>
      </c>
      <c r="G12" s="649"/>
      <c r="H12" s="649"/>
      <c r="I12" s="664">
        <v>45637</v>
      </c>
      <c r="J12" s="649"/>
      <c r="K12" s="649"/>
      <c r="L12" s="649">
        <f t="shared" si="12"/>
        <v>0</v>
      </c>
      <c r="M12" s="680">
        <f t="shared" si="10"/>
        <v>0</v>
      </c>
      <c r="N12" s="649"/>
      <c r="O12" s="649"/>
      <c r="P12" s="664">
        <v>45607</v>
      </c>
      <c r="Q12" s="649">
        <v>10793</v>
      </c>
      <c r="R12" s="649">
        <v>10887</v>
      </c>
      <c r="S12" s="649">
        <f t="shared" si="13"/>
        <v>94</v>
      </c>
      <c r="T12" s="680">
        <f t="shared" si="14"/>
        <v>846</v>
      </c>
      <c r="U12" s="649">
        <v>2000</v>
      </c>
      <c r="V12" s="649"/>
      <c r="W12" s="664">
        <v>45576</v>
      </c>
      <c r="X12" s="649">
        <v>7524</v>
      </c>
      <c r="Y12" s="649">
        <v>7629</v>
      </c>
      <c r="Z12" s="649">
        <f t="shared" si="15"/>
        <v>105</v>
      </c>
      <c r="AA12" s="680">
        <f t="shared" si="16"/>
        <v>945</v>
      </c>
      <c r="AB12" s="649">
        <v>500</v>
      </c>
      <c r="AC12" s="649" t="s">
        <v>14689</v>
      </c>
      <c r="AD12" s="664">
        <v>45546</v>
      </c>
      <c r="AE12" s="649"/>
      <c r="AF12" s="649"/>
      <c r="AG12" s="649">
        <f t="shared" si="17"/>
        <v>0</v>
      </c>
      <c r="AH12" s="680">
        <f t="shared" si="18"/>
        <v>0</v>
      </c>
      <c r="AI12" s="649"/>
    </row>
    <row r="13" spans="1:42" ht="23.25" x14ac:dyDescent="0.35">
      <c r="A13" s="702">
        <v>45669</v>
      </c>
      <c r="B13" s="649"/>
      <c r="C13" s="649"/>
      <c r="D13" s="649">
        <f t="shared" si="11"/>
        <v>0</v>
      </c>
      <c r="E13" s="680">
        <f t="shared" si="9"/>
        <v>0</v>
      </c>
      <c r="F13" s="649"/>
      <c r="G13" s="649"/>
      <c r="H13" s="649"/>
      <c r="I13" s="664">
        <v>45638</v>
      </c>
      <c r="J13" s="649">
        <v>13418</v>
      </c>
      <c r="K13" s="649">
        <v>13473</v>
      </c>
      <c r="L13" s="649">
        <f t="shared" si="12"/>
        <v>55</v>
      </c>
      <c r="M13" s="680">
        <f t="shared" si="10"/>
        <v>462</v>
      </c>
      <c r="N13" s="649">
        <v>1000</v>
      </c>
      <c r="O13" s="649"/>
      <c r="P13" s="664">
        <v>45608</v>
      </c>
      <c r="Q13" s="649"/>
      <c r="R13" s="649"/>
      <c r="S13" s="649">
        <f t="shared" si="13"/>
        <v>0</v>
      </c>
      <c r="T13" s="680">
        <f t="shared" si="14"/>
        <v>0</v>
      </c>
      <c r="U13" s="649"/>
      <c r="V13" s="649"/>
      <c r="W13" s="664">
        <v>45577</v>
      </c>
      <c r="X13" s="649">
        <v>7673</v>
      </c>
      <c r="Y13" s="649">
        <v>7789</v>
      </c>
      <c r="Z13" s="649">
        <f t="shared" si="15"/>
        <v>116</v>
      </c>
      <c r="AA13" s="680">
        <f t="shared" si="16"/>
        <v>1044</v>
      </c>
      <c r="AB13" s="649">
        <v>1000</v>
      </c>
      <c r="AC13" s="649" t="s">
        <v>12197</v>
      </c>
      <c r="AD13" s="664">
        <v>45547</v>
      </c>
      <c r="AE13" s="649">
        <v>4439</v>
      </c>
      <c r="AF13" s="649">
        <v>4524</v>
      </c>
      <c r="AG13" s="649">
        <f t="shared" si="17"/>
        <v>85</v>
      </c>
      <c r="AH13" s="680">
        <f t="shared" si="18"/>
        <v>765</v>
      </c>
      <c r="AI13" s="649">
        <v>2000</v>
      </c>
    </row>
    <row r="14" spans="1:42" ht="23.25" x14ac:dyDescent="0.35">
      <c r="A14" s="664">
        <v>45670</v>
      </c>
      <c r="B14" s="649"/>
      <c r="C14" s="649"/>
      <c r="D14" s="649">
        <f t="shared" si="11"/>
        <v>0</v>
      </c>
      <c r="E14" s="680">
        <f t="shared" si="9"/>
        <v>0</v>
      </c>
      <c r="F14" s="649">
        <v>1000</v>
      </c>
      <c r="G14" s="649"/>
      <c r="H14" s="649"/>
      <c r="I14" s="664">
        <v>45639</v>
      </c>
      <c r="J14" s="649">
        <v>13490</v>
      </c>
      <c r="K14" s="649">
        <v>13584</v>
      </c>
      <c r="L14" s="649">
        <f t="shared" si="12"/>
        <v>94</v>
      </c>
      <c r="M14" s="680">
        <f t="shared" si="10"/>
        <v>789.6</v>
      </c>
      <c r="N14" s="649"/>
      <c r="O14" s="649"/>
      <c r="P14" s="664">
        <v>45609</v>
      </c>
      <c r="Q14" s="649">
        <v>10955</v>
      </c>
      <c r="R14" s="649">
        <v>11039</v>
      </c>
      <c r="S14" s="649">
        <f t="shared" si="13"/>
        <v>84</v>
      </c>
      <c r="T14" s="680">
        <f t="shared" si="14"/>
        <v>756</v>
      </c>
      <c r="U14" s="649">
        <v>1500</v>
      </c>
      <c r="V14" s="649"/>
      <c r="W14" s="664">
        <v>45578</v>
      </c>
      <c r="X14" s="681"/>
      <c r="Y14" s="681"/>
      <c r="Z14" s="649">
        <f t="shared" si="15"/>
        <v>0</v>
      </c>
      <c r="AA14" s="680">
        <f t="shared" si="16"/>
        <v>0</v>
      </c>
      <c r="AB14" s="649"/>
      <c r="AC14" s="649"/>
      <c r="AD14" s="664">
        <v>45548</v>
      </c>
      <c r="AE14" s="649">
        <v>4540</v>
      </c>
      <c r="AF14" s="649">
        <v>4635</v>
      </c>
      <c r="AG14" s="649">
        <f t="shared" si="17"/>
        <v>95</v>
      </c>
      <c r="AH14" s="680">
        <f t="shared" si="18"/>
        <v>855</v>
      </c>
      <c r="AI14" s="649"/>
    </row>
    <row r="15" spans="1:42" ht="23.25" x14ac:dyDescent="0.35">
      <c r="A15" s="664">
        <v>45671</v>
      </c>
      <c r="B15" s="649"/>
      <c r="C15" s="649"/>
      <c r="D15" s="649">
        <f t="shared" si="11"/>
        <v>0</v>
      </c>
      <c r="E15" s="680">
        <f t="shared" si="9"/>
        <v>0</v>
      </c>
      <c r="F15" s="649"/>
      <c r="G15" s="649"/>
      <c r="H15" s="649"/>
      <c r="I15" s="664">
        <v>45640</v>
      </c>
      <c r="J15" s="649">
        <v>13598</v>
      </c>
      <c r="K15" s="649">
        <v>13661</v>
      </c>
      <c r="L15" s="649">
        <f t="shared" si="12"/>
        <v>63</v>
      </c>
      <c r="M15" s="680">
        <f t="shared" si="10"/>
        <v>529.20000000000005</v>
      </c>
      <c r="N15" s="649">
        <v>-378</v>
      </c>
      <c r="O15" s="649"/>
      <c r="P15" s="664">
        <v>45610</v>
      </c>
      <c r="Q15" s="649">
        <v>11066</v>
      </c>
      <c r="R15" s="649">
        <v>11142</v>
      </c>
      <c r="S15" s="649">
        <f t="shared" si="13"/>
        <v>76</v>
      </c>
      <c r="T15" s="680">
        <f t="shared" si="14"/>
        <v>684</v>
      </c>
      <c r="U15" s="649">
        <v>1500</v>
      </c>
      <c r="V15" s="649"/>
      <c r="W15" s="664">
        <v>45579</v>
      </c>
      <c r="X15" s="649">
        <v>7921</v>
      </c>
      <c r="Y15" s="649">
        <v>7950</v>
      </c>
      <c r="Z15" s="649">
        <f t="shared" si="15"/>
        <v>29</v>
      </c>
      <c r="AA15" s="680">
        <f t="shared" si="16"/>
        <v>261</v>
      </c>
      <c r="AB15" s="649"/>
      <c r="AC15" s="649"/>
      <c r="AD15" s="664">
        <v>45549</v>
      </c>
      <c r="AE15" s="649">
        <v>4658</v>
      </c>
      <c r="AF15" s="649">
        <v>4728</v>
      </c>
      <c r="AG15" s="649">
        <f t="shared" si="17"/>
        <v>70</v>
      </c>
      <c r="AH15" s="680">
        <f t="shared" si="18"/>
        <v>630</v>
      </c>
      <c r="AI15" s="649"/>
    </row>
    <row r="16" spans="1:42" ht="23.25" x14ac:dyDescent="0.35">
      <c r="A16" s="664">
        <v>45672</v>
      </c>
      <c r="B16" s="649"/>
      <c r="C16" s="649"/>
      <c r="D16" s="649">
        <f t="shared" si="11"/>
        <v>0</v>
      </c>
      <c r="E16" s="680">
        <f t="shared" si="9"/>
        <v>0</v>
      </c>
      <c r="F16" s="649"/>
      <c r="G16" s="649"/>
      <c r="H16" s="649"/>
      <c r="I16" s="664">
        <v>45641</v>
      </c>
      <c r="J16" s="649"/>
      <c r="K16" s="649"/>
      <c r="L16" s="649">
        <f t="shared" si="12"/>
        <v>0</v>
      </c>
      <c r="M16" s="680">
        <f t="shared" si="10"/>
        <v>0</v>
      </c>
      <c r="N16" s="649"/>
      <c r="O16" s="649"/>
      <c r="P16" s="664">
        <v>45611</v>
      </c>
      <c r="Q16" s="649">
        <v>11176</v>
      </c>
      <c r="R16" s="649">
        <v>11288</v>
      </c>
      <c r="S16" s="649">
        <f t="shared" si="13"/>
        <v>112</v>
      </c>
      <c r="T16" s="680">
        <f t="shared" si="14"/>
        <v>1008</v>
      </c>
      <c r="U16" s="649">
        <v>1000</v>
      </c>
      <c r="V16" s="649"/>
      <c r="W16" s="664">
        <v>45580</v>
      </c>
      <c r="X16" s="649">
        <v>8007</v>
      </c>
      <c r="Y16" s="649">
        <v>8069</v>
      </c>
      <c r="Z16" s="649">
        <f t="shared" si="15"/>
        <v>62</v>
      </c>
      <c r="AA16" s="680">
        <f t="shared" si="16"/>
        <v>558</v>
      </c>
      <c r="AB16" s="649">
        <v>1500</v>
      </c>
      <c r="AC16" s="649"/>
      <c r="AD16" s="664">
        <v>45550</v>
      </c>
      <c r="AE16" s="649"/>
      <c r="AF16" s="649"/>
      <c r="AG16" s="649">
        <f t="shared" si="17"/>
        <v>0</v>
      </c>
      <c r="AH16" s="680">
        <f t="shared" si="18"/>
        <v>0</v>
      </c>
      <c r="AI16" s="649"/>
    </row>
    <row r="17" spans="1:37" ht="23.25" x14ac:dyDescent="0.35">
      <c r="A17" s="664">
        <v>45673</v>
      </c>
      <c r="B17" s="649"/>
      <c r="C17" s="649"/>
      <c r="D17" s="649">
        <f t="shared" si="11"/>
        <v>0</v>
      </c>
      <c r="E17" s="680">
        <f t="shared" si="9"/>
        <v>0</v>
      </c>
      <c r="F17" s="649"/>
      <c r="G17" s="649"/>
      <c r="H17" s="649"/>
      <c r="I17" s="664">
        <v>45642</v>
      </c>
      <c r="J17" s="649">
        <v>13681</v>
      </c>
      <c r="K17" s="649">
        <v>13794</v>
      </c>
      <c r="L17" s="649">
        <f t="shared" si="12"/>
        <v>113</v>
      </c>
      <c r="M17" s="680">
        <f t="shared" si="10"/>
        <v>949.19999999999993</v>
      </c>
      <c r="N17" s="649">
        <v>2000</v>
      </c>
      <c r="O17" s="649"/>
      <c r="P17" s="664">
        <v>45612</v>
      </c>
      <c r="Q17" s="649">
        <v>11290</v>
      </c>
      <c r="R17" s="649">
        <v>11364</v>
      </c>
      <c r="S17" s="649">
        <f t="shared" si="13"/>
        <v>74</v>
      </c>
      <c r="T17" s="680">
        <f t="shared" si="14"/>
        <v>666</v>
      </c>
      <c r="U17" s="649">
        <v>1500</v>
      </c>
      <c r="V17" s="649"/>
      <c r="W17" s="664">
        <v>45581</v>
      </c>
      <c r="X17" s="649">
        <v>8089</v>
      </c>
      <c r="Y17" s="649">
        <v>8224</v>
      </c>
      <c r="Z17" s="649">
        <f t="shared" si="15"/>
        <v>135</v>
      </c>
      <c r="AA17" s="680">
        <f t="shared" si="16"/>
        <v>1215</v>
      </c>
      <c r="AB17" s="649"/>
      <c r="AC17" s="649"/>
      <c r="AD17" s="664">
        <v>45551</v>
      </c>
      <c r="AE17" s="649"/>
      <c r="AF17" s="649"/>
      <c r="AG17" s="649">
        <f t="shared" si="17"/>
        <v>0</v>
      </c>
      <c r="AH17" s="680">
        <f t="shared" si="18"/>
        <v>0</v>
      </c>
      <c r="AI17" s="649"/>
    </row>
    <row r="18" spans="1:37" ht="23.25" x14ac:dyDescent="0.35">
      <c r="A18" s="664">
        <v>45674</v>
      </c>
      <c r="B18" s="649"/>
      <c r="C18" s="649"/>
      <c r="D18" s="649">
        <f t="shared" si="11"/>
        <v>0</v>
      </c>
      <c r="E18" s="680">
        <f t="shared" si="9"/>
        <v>0</v>
      </c>
      <c r="F18" s="649"/>
      <c r="G18" s="649"/>
      <c r="H18" s="649"/>
      <c r="I18" s="664">
        <v>45643</v>
      </c>
      <c r="J18" s="649">
        <v>13829</v>
      </c>
      <c r="K18" s="649">
        <v>13936</v>
      </c>
      <c r="L18" s="649">
        <f t="shared" si="12"/>
        <v>107</v>
      </c>
      <c r="M18" s="680">
        <f t="shared" si="10"/>
        <v>898.80000000000007</v>
      </c>
      <c r="N18" s="649"/>
      <c r="O18" s="649"/>
      <c r="P18" s="664">
        <v>45613</v>
      </c>
      <c r="Q18" s="649"/>
      <c r="R18" s="649"/>
      <c r="S18" s="649">
        <f t="shared" si="13"/>
        <v>0</v>
      </c>
      <c r="T18" s="680">
        <f t="shared" si="14"/>
        <v>0</v>
      </c>
      <c r="U18" s="649"/>
      <c r="V18" s="649"/>
      <c r="W18" s="664">
        <v>45582</v>
      </c>
      <c r="X18" s="649">
        <v>8260</v>
      </c>
      <c r="Y18" s="649">
        <v>8384</v>
      </c>
      <c r="Z18" s="649">
        <f t="shared" si="15"/>
        <v>124</v>
      </c>
      <c r="AA18" s="680">
        <f t="shared" si="16"/>
        <v>1116</v>
      </c>
      <c r="AB18" s="649"/>
      <c r="AC18" s="649"/>
      <c r="AD18" s="664">
        <v>45552</v>
      </c>
      <c r="AE18" s="649"/>
      <c r="AF18" s="649"/>
      <c r="AG18" s="649">
        <f t="shared" si="17"/>
        <v>0</v>
      </c>
      <c r="AH18" s="680">
        <f t="shared" si="18"/>
        <v>0</v>
      </c>
      <c r="AI18" s="649"/>
    </row>
    <row r="19" spans="1:37" ht="23.25" x14ac:dyDescent="0.35">
      <c r="A19" s="664">
        <v>45675</v>
      </c>
      <c r="B19" s="649"/>
      <c r="C19" s="649"/>
      <c r="D19" s="649">
        <f t="shared" si="11"/>
        <v>0</v>
      </c>
      <c r="E19" s="680">
        <f t="shared" si="9"/>
        <v>0</v>
      </c>
      <c r="F19" s="649"/>
      <c r="G19" s="649"/>
      <c r="H19" s="649"/>
      <c r="I19" s="664">
        <v>45644</v>
      </c>
      <c r="J19" s="649">
        <v>13952</v>
      </c>
      <c r="K19" s="649">
        <v>14162</v>
      </c>
      <c r="L19" s="649">
        <f t="shared" si="12"/>
        <v>210</v>
      </c>
      <c r="M19" s="680">
        <f t="shared" si="10"/>
        <v>1764</v>
      </c>
      <c r="N19" s="649">
        <v>2000</v>
      </c>
      <c r="O19" s="649"/>
      <c r="P19" s="664">
        <v>45614</v>
      </c>
      <c r="Q19" s="649">
        <v>11376</v>
      </c>
      <c r="R19" s="649">
        <v>11464</v>
      </c>
      <c r="S19" s="649">
        <f t="shared" si="13"/>
        <v>88</v>
      </c>
      <c r="T19" s="680">
        <f t="shared" si="14"/>
        <v>792</v>
      </c>
      <c r="U19" s="649"/>
      <c r="V19" s="649"/>
      <c r="W19" s="664">
        <v>45583</v>
      </c>
      <c r="X19" s="649">
        <v>8460</v>
      </c>
      <c r="Y19" s="649">
        <v>8523</v>
      </c>
      <c r="Z19" s="649">
        <f t="shared" si="15"/>
        <v>63</v>
      </c>
      <c r="AA19" s="680">
        <f t="shared" si="16"/>
        <v>567</v>
      </c>
      <c r="AB19" s="649">
        <v>1000</v>
      </c>
      <c r="AC19" s="649"/>
      <c r="AD19" s="664">
        <v>45553</v>
      </c>
      <c r="AE19" s="649"/>
      <c r="AF19" s="649"/>
      <c r="AG19" s="649">
        <f t="shared" si="17"/>
        <v>0</v>
      </c>
      <c r="AH19" s="680">
        <f t="shared" si="18"/>
        <v>0</v>
      </c>
      <c r="AI19" s="649"/>
    </row>
    <row r="20" spans="1:37" ht="23.25" x14ac:dyDescent="0.35">
      <c r="A20" s="702">
        <v>45676</v>
      </c>
      <c r="B20" s="649"/>
      <c r="C20" s="649"/>
      <c r="D20" s="649">
        <f t="shared" si="11"/>
        <v>0</v>
      </c>
      <c r="E20" s="680">
        <f t="shared" si="9"/>
        <v>0</v>
      </c>
      <c r="F20" s="649"/>
      <c r="G20" s="649"/>
      <c r="H20" s="649"/>
      <c r="I20" s="664">
        <v>45645</v>
      </c>
      <c r="J20" s="649">
        <v>14180</v>
      </c>
      <c r="K20" s="649">
        <v>14243</v>
      </c>
      <c r="L20" s="649">
        <f t="shared" si="12"/>
        <v>63</v>
      </c>
      <c r="M20" s="680">
        <f t="shared" si="10"/>
        <v>529.20000000000005</v>
      </c>
      <c r="N20" s="649"/>
      <c r="O20" s="649"/>
      <c r="P20" s="664">
        <v>45615</v>
      </c>
      <c r="Q20" s="649">
        <v>11493</v>
      </c>
      <c r="R20" s="649">
        <v>11590</v>
      </c>
      <c r="S20" s="649">
        <f t="shared" si="13"/>
        <v>97</v>
      </c>
      <c r="T20" s="680">
        <f>S20/30*250</f>
        <v>808.33333333333337</v>
      </c>
      <c r="U20" s="649">
        <v>1500</v>
      </c>
      <c r="V20" s="649"/>
      <c r="W20" s="664">
        <v>45584</v>
      </c>
      <c r="X20" s="681"/>
      <c r="Y20" s="681"/>
      <c r="Z20" s="649">
        <f t="shared" si="15"/>
        <v>0</v>
      </c>
      <c r="AA20" s="680">
        <f>Z20/30*250</f>
        <v>0</v>
      </c>
      <c r="AB20" s="649">
        <v>600</v>
      </c>
      <c r="AC20" s="649"/>
      <c r="AD20" s="664">
        <v>45554</v>
      </c>
      <c r="AE20" s="649">
        <v>4937</v>
      </c>
      <c r="AF20" s="649">
        <v>5020</v>
      </c>
      <c r="AG20" s="649">
        <f t="shared" si="17"/>
        <v>83</v>
      </c>
      <c r="AH20" s="680">
        <f>AG20/30*250</f>
        <v>691.66666666666663</v>
      </c>
      <c r="AI20" s="649">
        <v>2000</v>
      </c>
    </row>
    <row r="21" spans="1:37" ht="23.25" x14ac:dyDescent="0.35">
      <c r="A21" s="664">
        <v>45677</v>
      </c>
      <c r="B21" s="649"/>
      <c r="C21" s="649"/>
      <c r="D21" s="649">
        <f t="shared" si="11"/>
        <v>0</v>
      </c>
      <c r="E21" s="680">
        <f t="shared" si="9"/>
        <v>0</v>
      </c>
      <c r="F21" s="649"/>
      <c r="G21" s="649"/>
      <c r="H21" s="649"/>
      <c r="I21" s="664">
        <v>45646</v>
      </c>
      <c r="J21" s="649">
        <v>14262</v>
      </c>
      <c r="K21" s="649">
        <v>14368</v>
      </c>
      <c r="L21" s="649">
        <f t="shared" si="12"/>
        <v>106</v>
      </c>
      <c r="M21" s="680">
        <f t="shared" si="10"/>
        <v>890.4</v>
      </c>
      <c r="N21" s="649">
        <v>1000</v>
      </c>
      <c r="O21" s="649"/>
      <c r="P21" s="664">
        <v>45616</v>
      </c>
      <c r="Q21" s="649">
        <v>11607</v>
      </c>
      <c r="R21" s="649">
        <v>11680</v>
      </c>
      <c r="S21" s="649">
        <f t="shared" si="13"/>
        <v>73</v>
      </c>
      <c r="T21" s="680">
        <f t="shared" ref="T21:T31" si="19">S21/30*250</f>
        <v>608.33333333333326</v>
      </c>
      <c r="U21" s="649"/>
      <c r="V21" s="649"/>
      <c r="W21" s="664">
        <v>45585</v>
      </c>
      <c r="X21" s="681"/>
      <c r="Y21" s="681"/>
      <c r="Z21" s="649">
        <f t="shared" si="15"/>
        <v>0</v>
      </c>
      <c r="AA21" s="680">
        <f t="shared" ref="AA21:AA32" si="20">Z21/30*250</f>
        <v>0</v>
      </c>
      <c r="AB21" s="649"/>
      <c r="AC21" s="649"/>
      <c r="AD21" s="664">
        <v>45555</v>
      </c>
      <c r="AE21" s="649">
        <v>5051</v>
      </c>
      <c r="AF21" s="649">
        <v>5138</v>
      </c>
      <c r="AG21" s="649">
        <f t="shared" si="17"/>
        <v>87</v>
      </c>
      <c r="AH21" s="680">
        <f t="shared" ref="AH21:AH31" si="21">AG21/30*250</f>
        <v>725</v>
      </c>
      <c r="AI21" s="649"/>
    </row>
    <row r="22" spans="1:37" ht="23.25" x14ac:dyDescent="0.35">
      <c r="A22" s="664">
        <v>45678</v>
      </c>
      <c r="B22" s="649"/>
      <c r="C22" s="649"/>
      <c r="D22" s="649">
        <f t="shared" si="11"/>
        <v>0</v>
      </c>
      <c r="E22" s="680">
        <f t="shared" si="9"/>
        <v>0</v>
      </c>
      <c r="F22" s="649"/>
      <c r="G22" s="649"/>
      <c r="H22" s="649"/>
      <c r="I22" s="664">
        <v>45647</v>
      </c>
      <c r="J22" s="649">
        <v>14384</v>
      </c>
      <c r="K22" s="649">
        <v>14482</v>
      </c>
      <c r="L22" s="649">
        <f t="shared" si="12"/>
        <v>98</v>
      </c>
      <c r="M22" s="680">
        <f t="shared" si="10"/>
        <v>823.19999999999993</v>
      </c>
      <c r="N22" s="649">
        <v>750</v>
      </c>
      <c r="O22" s="649"/>
      <c r="P22" s="664">
        <v>45617</v>
      </c>
      <c r="Q22" s="649">
        <v>11696</v>
      </c>
      <c r="R22" s="649">
        <v>11826</v>
      </c>
      <c r="S22" s="649">
        <f t="shared" si="13"/>
        <v>130</v>
      </c>
      <c r="T22" s="680">
        <f t="shared" si="19"/>
        <v>1083.3333333333333</v>
      </c>
      <c r="U22" s="649">
        <v>1000</v>
      </c>
      <c r="V22" s="649"/>
      <c r="W22" s="664">
        <v>45586</v>
      </c>
      <c r="X22" s="649">
        <v>8634</v>
      </c>
      <c r="Y22" s="649">
        <v>8716</v>
      </c>
      <c r="Z22" s="649">
        <f t="shared" si="15"/>
        <v>82</v>
      </c>
      <c r="AA22" s="680">
        <f t="shared" si="20"/>
        <v>683.33333333333337</v>
      </c>
      <c r="AB22" s="649">
        <v>1500</v>
      </c>
      <c r="AC22" s="649"/>
      <c r="AD22" s="664">
        <v>45556</v>
      </c>
      <c r="AE22" s="649">
        <v>5169</v>
      </c>
      <c r="AF22" s="649">
        <v>5298</v>
      </c>
      <c r="AG22" s="649">
        <f t="shared" si="17"/>
        <v>129</v>
      </c>
      <c r="AH22" s="680">
        <f t="shared" si="21"/>
        <v>1075</v>
      </c>
      <c r="AI22" s="649">
        <v>900</v>
      </c>
    </row>
    <row r="23" spans="1:37" ht="23.25" x14ac:dyDescent="0.35">
      <c r="A23" s="664">
        <v>45679</v>
      </c>
      <c r="B23" s="649"/>
      <c r="C23" s="649"/>
      <c r="D23" s="649">
        <f t="shared" si="11"/>
        <v>0</v>
      </c>
      <c r="E23" s="680">
        <f t="shared" si="9"/>
        <v>0</v>
      </c>
      <c r="F23" s="649"/>
      <c r="G23" s="649"/>
      <c r="H23" s="649"/>
      <c r="I23" s="664">
        <v>45648</v>
      </c>
      <c r="J23" s="649"/>
      <c r="K23" s="649"/>
      <c r="L23" s="649">
        <f t="shared" si="12"/>
        <v>0</v>
      </c>
      <c r="M23" s="680">
        <f t="shared" si="10"/>
        <v>0</v>
      </c>
      <c r="N23" s="649"/>
      <c r="O23" s="649"/>
      <c r="P23" s="664">
        <v>45618</v>
      </c>
      <c r="Q23" s="649">
        <v>11857</v>
      </c>
      <c r="R23" s="649">
        <v>11978</v>
      </c>
      <c r="S23" s="649">
        <f t="shared" si="13"/>
        <v>121</v>
      </c>
      <c r="T23" s="680">
        <f t="shared" si="19"/>
        <v>1008.3333333333333</v>
      </c>
      <c r="U23" s="649">
        <v>1000</v>
      </c>
      <c r="V23" s="649"/>
      <c r="W23" s="664">
        <v>45587</v>
      </c>
      <c r="X23" s="649">
        <v>8734</v>
      </c>
      <c r="Y23" s="649">
        <v>8862</v>
      </c>
      <c r="Z23" s="649">
        <f t="shared" si="15"/>
        <v>128</v>
      </c>
      <c r="AA23" s="680">
        <f t="shared" si="20"/>
        <v>1066.6666666666667</v>
      </c>
      <c r="AB23" s="649"/>
      <c r="AC23" s="649"/>
      <c r="AD23" s="664">
        <v>45557</v>
      </c>
      <c r="AE23" s="649"/>
      <c r="AF23" s="649"/>
      <c r="AG23" s="649">
        <f t="shared" si="17"/>
        <v>0</v>
      </c>
      <c r="AH23" s="680">
        <f t="shared" si="21"/>
        <v>0</v>
      </c>
      <c r="AI23" s="649">
        <v>450</v>
      </c>
    </row>
    <row r="24" spans="1:37" ht="23.25" x14ac:dyDescent="0.35">
      <c r="A24" s="664">
        <v>45680</v>
      </c>
      <c r="B24" s="649"/>
      <c r="C24" s="649"/>
      <c r="D24" s="649">
        <f t="shared" si="11"/>
        <v>0</v>
      </c>
      <c r="E24" s="680">
        <f t="shared" si="9"/>
        <v>0</v>
      </c>
      <c r="F24" s="649"/>
      <c r="G24" s="649"/>
      <c r="H24" s="649"/>
      <c r="I24" s="664">
        <v>45649</v>
      </c>
      <c r="J24" s="649">
        <v>14497</v>
      </c>
      <c r="K24" s="649">
        <v>14591</v>
      </c>
      <c r="L24" s="649">
        <f t="shared" si="12"/>
        <v>94</v>
      </c>
      <c r="M24" s="680">
        <f t="shared" si="10"/>
        <v>789.6</v>
      </c>
      <c r="N24" s="649"/>
      <c r="O24" s="649"/>
      <c r="P24" s="664">
        <v>45619</v>
      </c>
      <c r="Q24" s="649">
        <v>11999</v>
      </c>
      <c r="R24" s="649">
        <v>12054</v>
      </c>
      <c r="S24" s="649">
        <f t="shared" si="13"/>
        <v>55</v>
      </c>
      <c r="T24" s="680">
        <f t="shared" si="19"/>
        <v>458.33333333333331</v>
      </c>
      <c r="U24" s="649"/>
      <c r="V24" s="649"/>
      <c r="W24" s="664">
        <v>45588</v>
      </c>
      <c r="X24" s="649">
        <v>8883</v>
      </c>
      <c r="Y24" s="649">
        <v>8958</v>
      </c>
      <c r="Z24" s="649">
        <f t="shared" si="15"/>
        <v>75</v>
      </c>
      <c r="AA24" s="680">
        <f t="shared" si="20"/>
        <v>625</v>
      </c>
      <c r="AB24" s="649"/>
      <c r="AC24" s="649"/>
      <c r="AD24" s="664">
        <v>45558</v>
      </c>
      <c r="AE24" s="649">
        <v>5404</v>
      </c>
      <c r="AF24" s="649">
        <v>5517</v>
      </c>
      <c r="AG24" s="649">
        <f t="shared" si="17"/>
        <v>113</v>
      </c>
      <c r="AH24" s="680">
        <f t="shared" si="21"/>
        <v>941.66666666666663</v>
      </c>
      <c r="AI24" s="649"/>
    </row>
    <row r="25" spans="1:37" ht="23.25" x14ac:dyDescent="0.35">
      <c r="A25" s="664">
        <v>45681</v>
      </c>
      <c r="B25" s="649"/>
      <c r="C25" s="649"/>
      <c r="D25" s="649">
        <f t="shared" si="11"/>
        <v>0</v>
      </c>
      <c r="E25" s="680">
        <f t="shared" si="9"/>
        <v>0</v>
      </c>
      <c r="F25" s="649"/>
      <c r="G25" s="649"/>
      <c r="H25" s="649"/>
      <c r="I25" s="664">
        <v>45650</v>
      </c>
      <c r="J25" s="649">
        <v>14716</v>
      </c>
      <c r="K25" s="649">
        <v>14768</v>
      </c>
      <c r="L25" s="649">
        <f t="shared" si="12"/>
        <v>52</v>
      </c>
      <c r="M25" s="680">
        <f t="shared" si="10"/>
        <v>436.8</v>
      </c>
      <c r="N25" s="649"/>
      <c r="O25" s="649"/>
      <c r="P25" s="664">
        <v>45620</v>
      </c>
      <c r="Q25" s="649"/>
      <c r="R25" s="649"/>
      <c r="S25" s="649">
        <f t="shared" si="13"/>
        <v>0</v>
      </c>
      <c r="T25" s="680">
        <f t="shared" si="19"/>
        <v>0</v>
      </c>
      <c r="U25" s="649"/>
      <c r="V25" s="649"/>
      <c r="W25" s="664">
        <v>45589</v>
      </c>
      <c r="X25" s="649">
        <v>8976</v>
      </c>
      <c r="Y25" s="649">
        <v>9040</v>
      </c>
      <c r="Z25" s="649">
        <f t="shared" si="15"/>
        <v>64</v>
      </c>
      <c r="AA25" s="680">
        <f t="shared" si="20"/>
        <v>533.33333333333337</v>
      </c>
      <c r="AB25" s="649">
        <v>1000</v>
      </c>
      <c r="AC25" s="649"/>
      <c r="AD25" s="664">
        <v>45559</v>
      </c>
      <c r="AE25" s="649">
        <v>5535</v>
      </c>
      <c r="AF25" s="649">
        <v>5633</v>
      </c>
      <c r="AG25" s="649">
        <f t="shared" si="17"/>
        <v>98</v>
      </c>
      <c r="AH25" s="680">
        <f t="shared" si="21"/>
        <v>816.66666666666663</v>
      </c>
      <c r="AI25" s="649">
        <v>1500</v>
      </c>
      <c r="AK25">
        <v>5535</v>
      </c>
    </row>
    <row r="26" spans="1:37" ht="23.25" x14ac:dyDescent="0.35">
      <c r="A26" s="664">
        <v>45682</v>
      </c>
      <c r="B26" s="649"/>
      <c r="C26" s="649"/>
      <c r="D26" s="649">
        <f t="shared" si="11"/>
        <v>0</v>
      </c>
      <c r="E26" s="680">
        <f t="shared" si="9"/>
        <v>0</v>
      </c>
      <c r="F26" s="649"/>
      <c r="G26" s="649"/>
      <c r="H26" s="649"/>
      <c r="I26" s="664">
        <v>45651</v>
      </c>
      <c r="J26" s="649"/>
      <c r="K26" s="649"/>
      <c r="L26" s="649">
        <f t="shared" si="12"/>
        <v>0</v>
      </c>
      <c r="M26" s="680">
        <f t="shared" si="10"/>
        <v>0</v>
      </c>
      <c r="N26" s="649"/>
      <c r="O26" s="649"/>
      <c r="P26" s="664">
        <v>45621</v>
      </c>
      <c r="Q26" s="649">
        <v>12110</v>
      </c>
      <c r="R26" s="649">
        <v>12206</v>
      </c>
      <c r="S26" s="649">
        <f t="shared" si="13"/>
        <v>96</v>
      </c>
      <c r="T26" s="680">
        <f t="shared" si="19"/>
        <v>800</v>
      </c>
      <c r="U26" s="649"/>
      <c r="V26" s="649"/>
      <c r="W26" s="664">
        <v>45590</v>
      </c>
      <c r="X26" s="649">
        <v>9064</v>
      </c>
      <c r="Y26" s="649">
        <v>9175</v>
      </c>
      <c r="Z26" s="649">
        <f t="shared" si="15"/>
        <v>111</v>
      </c>
      <c r="AA26" s="680">
        <f t="shared" si="20"/>
        <v>925</v>
      </c>
      <c r="AB26" s="649">
        <v>2000</v>
      </c>
      <c r="AC26" s="649"/>
      <c r="AD26" s="664">
        <v>45560</v>
      </c>
      <c r="AE26" s="649">
        <v>5644</v>
      </c>
      <c r="AF26" s="649">
        <v>5758</v>
      </c>
      <c r="AG26" s="649">
        <f t="shared" si="17"/>
        <v>114</v>
      </c>
      <c r="AH26" s="680">
        <f t="shared" si="21"/>
        <v>950</v>
      </c>
      <c r="AI26" s="649">
        <v>50</v>
      </c>
    </row>
    <row r="27" spans="1:37" ht="23.25" x14ac:dyDescent="0.35">
      <c r="A27" s="702">
        <v>45683</v>
      </c>
      <c r="B27" s="649"/>
      <c r="C27" s="649"/>
      <c r="D27" s="649">
        <f t="shared" si="11"/>
        <v>0</v>
      </c>
      <c r="E27" s="680">
        <f t="shared" si="9"/>
        <v>0</v>
      </c>
      <c r="F27" s="649"/>
      <c r="G27" s="649"/>
      <c r="H27" s="649"/>
      <c r="I27" s="664">
        <v>45652</v>
      </c>
      <c r="J27" s="649"/>
      <c r="K27" s="649"/>
      <c r="L27" s="649">
        <f t="shared" si="12"/>
        <v>0</v>
      </c>
      <c r="M27" s="680">
        <f t="shared" si="10"/>
        <v>0</v>
      </c>
      <c r="N27" s="649"/>
      <c r="O27" s="649"/>
      <c r="P27" s="664">
        <v>45622</v>
      </c>
      <c r="Q27" s="649">
        <v>12250</v>
      </c>
      <c r="R27" s="649">
        <v>12369</v>
      </c>
      <c r="S27" s="649">
        <f t="shared" si="13"/>
        <v>119</v>
      </c>
      <c r="T27" s="680">
        <f t="shared" si="19"/>
        <v>991.66666666666674</v>
      </c>
      <c r="U27" s="649">
        <v>2000</v>
      </c>
      <c r="V27" s="649"/>
      <c r="W27" s="664">
        <v>45591</v>
      </c>
      <c r="X27" s="649">
        <v>9194</v>
      </c>
      <c r="Y27" s="649">
        <v>9261</v>
      </c>
      <c r="Z27" s="649">
        <f t="shared" si="15"/>
        <v>67</v>
      </c>
      <c r="AA27" s="680">
        <f t="shared" si="20"/>
        <v>558.33333333333337</v>
      </c>
      <c r="AB27" s="649"/>
      <c r="AC27" s="649"/>
      <c r="AD27" s="664">
        <v>45561</v>
      </c>
      <c r="AE27" s="649">
        <v>5778</v>
      </c>
      <c r="AF27" s="649">
        <v>5876</v>
      </c>
      <c r="AG27" s="649">
        <f t="shared" si="17"/>
        <v>98</v>
      </c>
      <c r="AH27" s="680">
        <f t="shared" si="21"/>
        <v>816.66666666666663</v>
      </c>
      <c r="AI27" s="649">
        <v>1000</v>
      </c>
    </row>
    <row r="28" spans="1:37" ht="23.25" x14ac:dyDescent="0.35">
      <c r="A28" s="664">
        <v>45684</v>
      </c>
      <c r="B28" s="649"/>
      <c r="C28" s="649"/>
      <c r="D28" s="649">
        <f t="shared" si="11"/>
        <v>0</v>
      </c>
      <c r="E28" s="680">
        <f t="shared" si="9"/>
        <v>0</v>
      </c>
      <c r="F28" s="649"/>
      <c r="G28" s="649"/>
      <c r="H28" s="649"/>
      <c r="I28" s="664">
        <v>45653</v>
      </c>
      <c r="J28" s="649">
        <v>14786</v>
      </c>
      <c r="K28" s="649">
        <v>14889</v>
      </c>
      <c r="L28" s="649">
        <f t="shared" si="12"/>
        <v>103</v>
      </c>
      <c r="M28" s="680">
        <f t="shared" si="10"/>
        <v>865.19999999999993</v>
      </c>
      <c r="N28" s="649">
        <v>2000</v>
      </c>
      <c r="O28" s="649"/>
      <c r="P28" s="664">
        <v>45623</v>
      </c>
      <c r="Q28" s="649">
        <v>12388</v>
      </c>
      <c r="R28" s="649">
        <v>12479</v>
      </c>
      <c r="S28" s="649">
        <f t="shared" si="13"/>
        <v>91</v>
      </c>
      <c r="T28" s="680">
        <f t="shared" si="19"/>
        <v>758.33333333333326</v>
      </c>
      <c r="U28" s="649"/>
      <c r="V28" s="649"/>
      <c r="W28" s="664">
        <v>45592</v>
      </c>
      <c r="X28" s="649"/>
      <c r="Y28" s="649"/>
      <c r="Z28" s="649">
        <f t="shared" si="15"/>
        <v>0</v>
      </c>
      <c r="AA28" s="680">
        <f t="shared" si="20"/>
        <v>0</v>
      </c>
      <c r="AB28" s="649"/>
      <c r="AC28" s="649"/>
      <c r="AD28" s="664">
        <v>45562</v>
      </c>
      <c r="AE28" s="649">
        <v>5907</v>
      </c>
      <c r="AF28" s="649">
        <v>5982</v>
      </c>
      <c r="AG28" s="649">
        <f t="shared" si="17"/>
        <v>75</v>
      </c>
      <c r="AH28" s="680">
        <f t="shared" si="21"/>
        <v>625</v>
      </c>
      <c r="AI28" s="649">
        <v>1200</v>
      </c>
    </row>
    <row r="29" spans="1:37" ht="23.25" x14ac:dyDescent="0.35">
      <c r="A29" s="664">
        <v>45685</v>
      </c>
      <c r="B29" s="649"/>
      <c r="C29" s="649"/>
      <c r="D29" s="649">
        <f t="shared" si="11"/>
        <v>0</v>
      </c>
      <c r="E29" s="680">
        <f t="shared" si="9"/>
        <v>0</v>
      </c>
      <c r="F29" s="649"/>
      <c r="G29" s="649"/>
      <c r="H29" s="649"/>
      <c r="I29" s="664">
        <v>45654</v>
      </c>
      <c r="J29" s="649">
        <v>14901</v>
      </c>
      <c r="K29" s="649">
        <v>14999</v>
      </c>
      <c r="L29" s="649">
        <f t="shared" si="12"/>
        <v>98</v>
      </c>
      <c r="M29" s="680">
        <f t="shared" si="10"/>
        <v>823.19999999999993</v>
      </c>
      <c r="N29" s="649"/>
      <c r="O29" s="649"/>
      <c r="P29" s="664">
        <v>45624</v>
      </c>
      <c r="Q29" s="649">
        <v>12501</v>
      </c>
      <c r="R29" s="649">
        <v>12579</v>
      </c>
      <c r="S29" s="649">
        <f t="shared" si="13"/>
        <v>78</v>
      </c>
      <c r="T29" s="680">
        <f t="shared" si="19"/>
        <v>650</v>
      </c>
      <c r="U29" s="649"/>
      <c r="V29" s="649"/>
      <c r="W29" s="664">
        <v>45593</v>
      </c>
      <c r="X29" s="649">
        <v>9332</v>
      </c>
      <c r="Y29" s="649">
        <v>9449</v>
      </c>
      <c r="Z29" s="649">
        <f t="shared" si="15"/>
        <v>117</v>
      </c>
      <c r="AA29" s="680">
        <f t="shared" si="20"/>
        <v>975</v>
      </c>
      <c r="AB29" s="649">
        <v>2000</v>
      </c>
      <c r="AC29" s="649"/>
      <c r="AD29" s="664">
        <v>45563</v>
      </c>
      <c r="AE29" s="649">
        <v>6055</v>
      </c>
      <c r="AF29" s="649">
        <v>6091</v>
      </c>
      <c r="AG29" s="649">
        <f t="shared" si="17"/>
        <v>36</v>
      </c>
      <c r="AH29" s="680">
        <f t="shared" si="21"/>
        <v>300</v>
      </c>
      <c r="AI29" s="649"/>
    </row>
    <row r="30" spans="1:37" ht="23.25" x14ac:dyDescent="0.35">
      <c r="A30" s="664">
        <v>45686</v>
      </c>
      <c r="B30" s="649"/>
      <c r="C30" s="649"/>
      <c r="D30" s="649">
        <f t="shared" si="11"/>
        <v>0</v>
      </c>
      <c r="E30" s="680">
        <f t="shared" si="9"/>
        <v>0</v>
      </c>
      <c r="F30" s="649"/>
      <c r="G30" s="649"/>
      <c r="H30" s="649"/>
      <c r="I30" s="664">
        <v>45655</v>
      </c>
      <c r="J30" s="649">
        <v>15014</v>
      </c>
      <c r="K30" s="649">
        <v>15098</v>
      </c>
      <c r="L30" s="649">
        <f t="shared" si="12"/>
        <v>84</v>
      </c>
      <c r="M30" s="680">
        <f t="shared" si="10"/>
        <v>705.59999999999991</v>
      </c>
      <c r="N30" s="649"/>
      <c r="O30" s="649"/>
      <c r="P30" s="664">
        <v>45625</v>
      </c>
      <c r="Q30" s="649">
        <v>12592</v>
      </c>
      <c r="R30" s="649">
        <v>12691</v>
      </c>
      <c r="S30" s="649">
        <f t="shared" si="13"/>
        <v>99</v>
      </c>
      <c r="T30" s="680">
        <f t="shared" si="19"/>
        <v>825</v>
      </c>
      <c r="U30" s="649">
        <v>2000</v>
      </c>
      <c r="V30" s="649"/>
      <c r="W30" s="664">
        <v>45594</v>
      </c>
      <c r="X30" s="649">
        <v>9468</v>
      </c>
      <c r="Y30" s="649">
        <v>9572</v>
      </c>
      <c r="Z30" s="649">
        <f t="shared" si="15"/>
        <v>104</v>
      </c>
      <c r="AA30" s="680">
        <f t="shared" si="20"/>
        <v>866.66666666666674</v>
      </c>
      <c r="AB30" s="649">
        <v>1500</v>
      </c>
      <c r="AC30" s="649"/>
      <c r="AD30" s="664">
        <v>45564</v>
      </c>
      <c r="AE30" s="649"/>
      <c r="AF30" s="649"/>
      <c r="AG30" s="649">
        <f t="shared" si="17"/>
        <v>0</v>
      </c>
      <c r="AH30" s="680">
        <f t="shared" si="21"/>
        <v>0</v>
      </c>
      <c r="AI30" s="649"/>
    </row>
    <row r="31" spans="1:37" ht="23.25" x14ac:dyDescent="0.35">
      <c r="A31" s="664">
        <v>45687</v>
      </c>
      <c r="B31" s="649"/>
      <c r="C31" s="649"/>
      <c r="D31" s="649">
        <f t="shared" si="11"/>
        <v>0</v>
      </c>
      <c r="E31" s="680">
        <f t="shared" si="9"/>
        <v>0</v>
      </c>
      <c r="F31" s="649"/>
      <c r="G31" s="649"/>
      <c r="H31" s="649"/>
      <c r="I31" s="664">
        <v>45656</v>
      </c>
      <c r="J31" s="649">
        <v>15112</v>
      </c>
      <c r="K31" s="649">
        <v>15207</v>
      </c>
      <c r="L31" s="649">
        <f t="shared" si="12"/>
        <v>95</v>
      </c>
      <c r="M31" s="680">
        <f t="shared" si="10"/>
        <v>798</v>
      </c>
      <c r="N31" s="649">
        <v>1350</v>
      </c>
      <c r="O31" s="649"/>
      <c r="P31" s="664">
        <v>45626</v>
      </c>
      <c r="Q31" s="649">
        <v>12712</v>
      </c>
      <c r="R31" s="649">
        <v>12771</v>
      </c>
      <c r="S31" s="649">
        <f t="shared" si="13"/>
        <v>59</v>
      </c>
      <c r="T31" s="680">
        <f t="shared" si="19"/>
        <v>491.66666666666663</v>
      </c>
      <c r="U31" s="649"/>
      <c r="V31" s="649"/>
      <c r="W31" s="664">
        <v>45595</v>
      </c>
      <c r="X31" s="649">
        <v>9595</v>
      </c>
      <c r="Y31" s="649">
        <v>9662</v>
      </c>
      <c r="Z31" s="649">
        <f t="shared" si="15"/>
        <v>67</v>
      </c>
      <c r="AA31" s="680">
        <f t="shared" si="20"/>
        <v>558.33333333333337</v>
      </c>
      <c r="AB31" s="649">
        <v>1000</v>
      </c>
      <c r="AC31" s="649"/>
      <c r="AD31" s="664">
        <v>45565</v>
      </c>
      <c r="AE31" s="649">
        <v>6212</v>
      </c>
      <c r="AF31" s="649">
        <v>6332</v>
      </c>
      <c r="AG31" s="649">
        <f t="shared" si="17"/>
        <v>120</v>
      </c>
      <c r="AH31" s="680">
        <f t="shared" si="21"/>
        <v>1000</v>
      </c>
      <c r="AI31" s="649">
        <v>2000</v>
      </c>
    </row>
    <row r="32" spans="1:37" ht="28.5" x14ac:dyDescent="0.45">
      <c r="A32" s="664">
        <v>45688</v>
      </c>
      <c r="B32" s="649"/>
      <c r="C32" s="649"/>
      <c r="D32" s="649"/>
      <c r="E32" s="680"/>
      <c r="F32" s="649"/>
      <c r="G32" s="649"/>
      <c r="H32" s="649"/>
      <c r="I32" s="664">
        <v>45657</v>
      </c>
      <c r="J32" s="649">
        <v>15222</v>
      </c>
      <c r="K32" s="649">
        <v>15286</v>
      </c>
      <c r="L32" s="649">
        <f t="shared" si="12"/>
        <v>64</v>
      </c>
      <c r="M32" s="680">
        <f t="shared" si="10"/>
        <v>537.6</v>
      </c>
      <c r="N32" s="649">
        <v>2000</v>
      </c>
      <c r="O32" s="649"/>
      <c r="P32" s="664"/>
      <c r="Q32" s="649"/>
      <c r="R32" s="649"/>
      <c r="S32" s="649"/>
      <c r="T32" s="680"/>
      <c r="U32" s="649"/>
      <c r="V32" s="649"/>
      <c r="W32" s="664">
        <v>45596</v>
      </c>
      <c r="X32" s="649">
        <v>9720</v>
      </c>
      <c r="Y32" s="649">
        <v>9819</v>
      </c>
      <c r="Z32" s="649">
        <f t="shared" si="15"/>
        <v>99</v>
      </c>
      <c r="AA32" s="680">
        <f t="shared" si="20"/>
        <v>825</v>
      </c>
      <c r="AB32" s="649">
        <v>1000</v>
      </c>
      <c r="AC32" s="649"/>
      <c r="AD32" s="664"/>
      <c r="AE32" s="649"/>
      <c r="AF32" s="649"/>
      <c r="AG32" s="669">
        <f>SUM(AG3:AG31)</f>
        <v>1831</v>
      </c>
      <c r="AH32" s="671">
        <f>SUM(AH3:AH31)</f>
        <v>15843.666666666664</v>
      </c>
      <c r="AI32" s="671">
        <f>SUM(AI3:AI31)</f>
        <v>17150</v>
      </c>
    </row>
    <row r="33" spans="1:35" ht="28.5" x14ac:dyDescent="0.45">
      <c r="A33" s="664"/>
      <c r="B33" s="649"/>
      <c r="C33" s="649"/>
      <c r="D33" s="669">
        <f>SUM(D2:D32)</f>
        <v>928</v>
      </c>
      <c r="E33" s="671">
        <f>SUM(E2:E32)</f>
        <v>7784.6666666666661</v>
      </c>
      <c r="F33" s="671">
        <f>SUM(F2:F32)</f>
        <v>10779</v>
      </c>
      <c r="G33" s="671"/>
      <c r="H33" s="671"/>
      <c r="I33" s="664"/>
      <c r="J33" s="649"/>
      <c r="K33" s="649"/>
      <c r="L33" s="669">
        <f>SUM(L2:L32)</f>
        <v>1910</v>
      </c>
      <c r="M33" s="671">
        <f>SUM(M2:M32)</f>
        <v>16044.000000000004</v>
      </c>
      <c r="N33" s="671">
        <f>SUM(N2:N32)</f>
        <v>16973</v>
      </c>
      <c r="O33" s="671"/>
      <c r="P33" s="664"/>
      <c r="Q33" s="649"/>
      <c r="R33" s="649"/>
      <c r="S33" s="669">
        <f>SUM(S2:S32)</f>
        <v>2144</v>
      </c>
      <c r="T33" s="671">
        <f>SUM(T2:T32)</f>
        <v>18545.466666666671</v>
      </c>
      <c r="U33" s="671">
        <f>SUM(U2:U32)</f>
        <v>18720</v>
      </c>
      <c r="V33" s="671"/>
      <c r="W33" s="664"/>
      <c r="X33" s="649"/>
      <c r="Y33" s="649"/>
      <c r="Z33" s="669">
        <f>SUM(Z2:Z32)</f>
        <v>2418</v>
      </c>
      <c r="AA33" s="671">
        <f>SUM(AA2:AA32)</f>
        <v>21080.066666666666</v>
      </c>
      <c r="AB33" s="671">
        <f>SUM(AB2:AB32)</f>
        <v>22800</v>
      </c>
      <c r="AC33" s="671"/>
    </row>
    <row r="34" spans="1:35" ht="23.25" x14ac:dyDescent="0.35">
      <c r="AI34" s="670">
        <f>AI32-AH32</f>
        <v>1306.3333333333358</v>
      </c>
    </row>
    <row r="35" spans="1:35" ht="23.25" x14ac:dyDescent="0.35">
      <c r="F35" s="670">
        <f>F33-E33</f>
        <v>2994.3333333333339</v>
      </c>
      <c r="G35" s="670"/>
      <c r="H35" s="670"/>
      <c r="N35" s="670">
        <f>N33-M33</f>
        <v>928.99999999999636</v>
      </c>
      <c r="O35" s="670"/>
      <c r="U35" s="670">
        <f>U33-T33</f>
        <v>174.53333333332921</v>
      </c>
      <c r="V35" s="670"/>
      <c r="AB35" s="670">
        <f>AB33-AA33</f>
        <v>1719.9333333333343</v>
      </c>
      <c r="AC35" s="670"/>
    </row>
    <row r="39" spans="1:35" x14ac:dyDescent="0.25">
      <c r="E39" s="700">
        <v>45659</v>
      </c>
      <c r="F39">
        <v>2000</v>
      </c>
      <c r="M39" s="700">
        <v>45659</v>
      </c>
      <c r="N39">
        <v>2000</v>
      </c>
    </row>
    <row r="40" spans="1:35" x14ac:dyDescent="0.25">
      <c r="E40" s="700">
        <v>45663</v>
      </c>
      <c r="F40">
        <v>2000</v>
      </c>
      <c r="M40" s="700">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F24"/>
  <sheetViews>
    <sheetView workbookViewId="0">
      <selection activeCell="G25" sqref="G25"/>
    </sheetView>
  </sheetViews>
  <sheetFormatPr defaultRowHeight="15" x14ac:dyDescent="0.25"/>
  <cols>
    <col min="1" max="1" width="12.140625" customWidth="1"/>
    <col min="2" max="2" width="38.140625" customWidth="1"/>
    <col min="3" max="3" width="14.140625" customWidth="1"/>
  </cols>
  <sheetData>
    <row r="1" spans="1:6" ht="26.25" x14ac:dyDescent="0.4">
      <c r="A1" s="984" t="s">
        <v>15749</v>
      </c>
      <c r="B1" s="984"/>
      <c r="C1" s="984"/>
    </row>
    <row r="2" spans="1:6" ht="21" x14ac:dyDescent="0.25">
      <c r="A2" s="667" t="s">
        <v>1</v>
      </c>
      <c r="B2" s="667" t="s">
        <v>13594</v>
      </c>
      <c r="C2" s="667" t="s">
        <v>11311</v>
      </c>
    </row>
    <row r="3" spans="1:6" s="354" customFormat="1" x14ac:dyDescent="0.25">
      <c r="A3" s="440">
        <v>45733</v>
      </c>
      <c r="B3" s="307" t="s">
        <v>10166</v>
      </c>
      <c r="C3" s="308">
        <v>2000000</v>
      </c>
      <c r="F3" s="376"/>
    </row>
    <row r="4" spans="1:6" s="354" customFormat="1" x14ac:dyDescent="0.25">
      <c r="A4" s="440">
        <v>45734</v>
      </c>
      <c r="B4" s="307" t="s">
        <v>10166</v>
      </c>
      <c r="C4" s="308">
        <v>800000</v>
      </c>
      <c r="F4" s="376"/>
    </row>
    <row r="5" spans="1:6" s="354" customFormat="1" x14ac:dyDescent="0.25">
      <c r="A5" s="440">
        <v>45735</v>
      </c>
      <c r="B5" s="307" t="s">
        <v>10166</v>
      </c>
      <c r="C5" s="308">
        <v>800000</v>
      </c>
      <c r="F5" s="376"/>
    </row>
    <row r="6" spans="1:6" s="354" customFormat="1" x14ac:dyDescent="0.25">
      <c r="A6" s="440">
        <v>45736</v>
      </c>
      <c r="B6" s="307" t="s">
        <v>10166</v>
      </c>
      <c r="C6" s="308">
        <v>800000</v>
      </c>
      <c r="F6" s="376"/>
    </row>
    <row r="7" spans="1:6" s="354" customFormat="1" x14ac:dyDescent="0.25">
      <c r="A7" s="440"/>
      <c r="B7" s="307"/>
      <c r="C7" s="308"/>
      <c r="F7" s="376"/>
    </row>
    <row r="8" spans="1:6" s="354" customFormat="1" x14ac:dyDescent="0.25">
      <c r="A8" s="440"/>
      <c r="B8" s="307"/>
      <c r="C8" s="308"/>
      <c r="F8" s="376"/>
    </row>
    <row r="9" spans="1:6" s="354" customFormat="1" x14ac:dyDescent="0.25">
      <c r="A9" s="440"/>
      <c r="B9" s="307"/>
      <c r="C9" s="308"/>
      <c r="F9" s="376"/>
    </row>
    <row r="10" spans="1:6" s="354" customFormat="1" x14ac:dyDescent="0.25">
      <c r="A10" s="440"/>
      <c r="B10" s="307"/>
      <c r="C10" s="308"/>
      <c r="F10" s="376"/>
    </row>
    <row r="11" spans="1:6" s="642" customFormat="1" ht="19.5" customHeight="1" x14ac:dyDescent="0.25">
      <c r="A11" s="665"/>
      <c r="B11" s="665"/>
      <c r="C11" s="666">
        <f>SUM(C3:C10)</f>
        <v>4400000</v>
      </c>
    </row>
    <row r="14" spans="1:6" ht="26.25" x14ac:dyDescent="0.4">
      <c r="A14" s="984" t="s">
        <v>15750</v>
      </c>
      <c r="B14" s="984"/>
      <c r="C14" s="984"/>
    </row>
    <row r="15" spans="1:6" ht="21" x14ac:dyDescent="0.25">
      <c r="A15" s="667" t="s">
        <v>1</v>
      </c>
      <c r="B15" s="667" t="s">
        <v>13594</v>
      </c>
      <c r="C15" s="667" t="s">
        <v>11311</v>
      </c>
    </row>
    <row r="16" spans="1:6" x14ac:dyDescent="0.25">
      <c r="A16" s="440">
        <v>45734</v>
      </c>
      <c r="B16" s="307" t="s">
        <v>15751</v>
      </c>
      <c r="C16" s="308">
        <v>2200000</v>
      </c>
    </row>
    <row r="17" spans="1:3" x14ac:dyDescent="0.25">
      <c r="A17" s="440">
        <v>45734</v>
      </c>
      <c r="B17" s="307" t="s">
        <v>15752</v>
      </c>
      <c r="C17" s="308">
        <v>200000</v>
      </c>
    </row>
    <row r="18" spans="1:3" x14ac:dyDescent="0.25">
      <c r="A18" s="440">
        <v>45734</v>
      </c>
      <c r="B18" s="307" t="s">
        <v>13826</v>
      </c>
      <c r="C18" s="308">
        <v>250000</v>
      </c>
    </row>
    <row r="19" spans="1:3" x14ac:dyDescent="0.25">
      <c r="A19" s="440">
        <v>45734</v>
      </c>
      <c r="B19" s="307" t="s">
        <v>9904</v>
      </c>
      <c r="C19" s="308">
        <v>150000</v>
      </c>
    </row>
    <row r="20" spans="1:3" x14ac:dyDescent="0.25">
      <c r="A20" s="440">
        <v>45735</v>
      </c>
      <c r="B20" s="307" t="s">
        <v>15753</v>
      </c>
      <c r="C20" s="308">
        <v>800000</v>
      </c>
    </row>
    <row r="21" spans="1:3" x14ac:dyDescent="0.25">
      <c r="A21" s="440">
        <v>45735</v>
      </c>
      <c r="B21" s="307" t="s">
        <v>15753</v>
      </c>
      <c r="C21" s="308">
        <v>800000</v>
      </c>
    </row>
    <row r="22" spans="1:3" x14ac:dyDescent="0.25">
      <c r="A22" s="440"/>
      <c r="B22" s="307"/>
      <c r="C22" s="308"/>
    </row>
    <row r="23" spans="1:3" x14ac:dyDescent="0.25">
      <c r="A23" s="440"/>
      <c r="B23" s="307"/>
      <c r="C23" s="308"/>
    </row>
    <row r="24" spans="1:3" ht="18.75" x14ac:dyDescent="0.25">
      <c r="A24" s="665"/>
      <c r="B24" s="665"/>
      <c r="C24" s="666">
        <f>SUM(C16:C23)</f>
        <v>4400000</v>
      </c>
    </row>
  </sheetData>
  <mergeCells count="2">
    <mergeCell ref="A14:C14"/>
    <mergeCell ref="A1:C1"/>
  </mergeCells>
  <pageMargins left="0.7" right="0.7" top="0.75" bottom="0.75" header="0.3" footer="0.3"/>
  <pageSetup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AA34"/>
  <sheetViews>
    <sheetView zoomScale="80" zoomScaleNormal="80" workbookViewId="0">
      <pane xSplit="1" ySplit="2" topLeftCell="B12" activePane="bottomRight" state="frozen"/>
      <selection pane="topRight" activeCell="B1" sqref="B1"/>
      <selection pane="bottomLeft" activeCell="A3" sqref="A3"/>
      <selection pane="bottomRight" activeCell="M7" sqref="M7"/>
    </sheetView>
  </sheetViews>
  <sheetFormatPr defaultRowHeight="15" x14ac:dyDescent="0.25"/>
  <cols>
    <col min="1" max="1" width="8.7109375" customWidth="1"/>
    <col min="2" max="27" width="12" customWidth="1"/>
  </cols>
  <sheetData>
    <row r="1" spans="1:27" ht="36.75" customHeight="1" x14ac:dyDescent="0.25">
      <c r="A1" s="988" t="s">
        <v>15831</v>
      </c>
      <c r="B1" s="988"/>
      <c r="C1" s="988"/>
      <c r="D1" s="988"/>
      <c r="E1" s="988"/>
      <c r="F1" s="988"/>
      <c r="G1" s="988"/>
      <c r="H1" s="988"/>
      <c r="I1" s="988"/>
      <c r="J1" s="988"/>
      <c r="K1" s="988"/>
      <c r="L1" s="988"/>
      <c r="M1" s="988"/>
      <c r="N1" s="988"/>
      <c r="O1" s="988"/>
      <c r="P1" s="988"/>
      <c r="Q1" s="988"/>
    </row>
    <row r="2" spans="1:27" ht="22.9" customHeight="1" x14ac:dyDescent="0.25">
      <c r="A2" s="987" t="s">
        <v>15038</v>
      </c>
      <c r="B2" s="987" t="s">
        <v>9551</v>
      </c>
      <c r="C2" s="987"/>
      <c r="D2" s="987" t="s">
        <v>354</v>
      </c>
      <c r="E2" s="987"/>
      <c r="F2" s="987" t="s">
        <v>11159</v>
      </c>
      <c r="G2" s="987"/>
      <c r="H2" s="987" t="s">
        <v>53</v>
      </c>
      <c r="I2" s="987"/>
      <c r="J2" s="987" t="s">
        <v>9552</v>
      </c>
      <c r="K2" s="987"/>
      <c r="L2" s="987" t="s">
        <v>15830</v>
      </c>
      <c r="M2" s="987"/>
      <c r="N2" s="987" t="s">
        <v>19</v>
      </c>
      <c r="O2" s="987"/>
      <c r="P2" s="987" t="s">
        <v>11879</v>
      </c>
      <c r="Q2" s="987"/>
      <c r="R2" s="987" t="s">
        <v>15968</v>
      </c>
      <c r="S2" s="987"/>
      <c r="T2" s="987" t="s">
        <v>11706</v>
      </c>
      <c r="U2" s="987"/>
      <c r="V2" s="987" t="s">
        <v>15969</v>
      </c>
      <c r="W2" s="987"/>
      <c r="X2" s="987" t="s">
        <v>16062</v>
      </c>
      <c r="Y2" s="987"/>
      <c r="Z2" s="987" t="s">
        <v>10199</v>
      </c>
      <c r="AA2" s="987"/>
    </row>
    <row r="3" spans="1:27" ht="22.9" customHeight="1" x14ac:dyDescent="0.25">
      <c r="A3" s="987"/>
      <c r="B3" s="662" t="s">
        <v>14102</v>
      </c>
      <c r="C3" s="662" t="s">
        <v>14103</v>
      </c>
      <c r="D3" s="662" t="s">
        <v>14102</v>
      </c>
      <c r="E3" s="662" t="s">
        <v>14103</v>
      </c>
      <c r="F3" s="662" t="s">
        <v>14102</v>
      </c>
      <c r="G3" s="662" t="s">
        <v>14103</v>
      </c>
      <c r="H3" s="662" t="s">
        <v>14102</v>
      </c>
      <c r="I3" s="662" t="s">
        <v>14103</v>
      </c>
      <c r="J3" s="662" t="s">
        <v>14102</v>
      </c>
      <c r="K3" s="662" t="s">
        <v>14103</v>
      </c>
      <c r="L3" s="662" t="s">
        <v>14102</v>
      </c>
      <c r="M3" s="662" t="s">
        <v>14103</v>
      </c>
      <c r="N3" s="662" t="s">
        <v>14102</v>
      </c>
      <c r="O3" s="662" t="s">
        <v>14103</v>
      </c>
      <c r="P3" s="662" t="s">
        <v>14102</v>
      </c>
      <c r="Q3" s="662" t="s">
        <v>14103</v>
      </c>
      <c r="R3" s="662" t="s">
        <v>14102</v>
      </c>
      <c r="S3" s="662" t="s">
        <v>14103</v>
      </c>
      <c r="T3" s="662" t="s">
        <v>14102</v>
      </c>
      <c r="U3" s="662" t="s">
        <v>14103</v>
      </c>
      <c r="V3" s="662" t="s">
        <v>14102</v>
      </c>
      <c r="W3" s="662" t="s">
        <v>14103</v>
      </c>
      <c r="X3" s="662" t="s">
        <v>14102</v>
      </c>
      <c r="Y3" s="662" t="s">
        <v>14103</v>
      </c>
      <c r="Z3" s="662" t="s">
        <v>14102</v>
      </c>
      <c r="AA3" s="662" t="s">
        <v>14103</v>
      </c>
    </row>
    <row r="4" spans="1:27" ht="22.9" customHeight="1" x14ac:dyDescent="0.25">
      <c r="A4" s="319">
        <v>1</v>
      </c>
      <c r="B4" s="292"/>
      <c r="C4" s="292"/>
      <c r="D4" s="292"/>
      <c r="E4" s="292"/>
      <c r="F4" s="292"/>
      <c r="G4" s="292"/>
      <c r="H4" s="292"/>
      <c r="I4" s="292"/>
      <c r="J4" s="292"/>
      <c r="K4" s="292"/>
      <c r="L4" s="292"/>
      <c r="M4" s="292"/>
      <c r="N4" s="292"/>
      <c r="O4" s="292"/>
      <c r="P4" s="292"/>
      <c r="Q4" s="292"/>
      <c r="R4" s="292"/>
      <c r="S4" s="292"/>
      <c r="T4" s="292"/>
      <c r="U4" s="292"/>
      <c r="V4" s="292"/>
      <c r="W4" s="292"/>
      <c r="X4" s="292"/>
      <c r="Y4" s="292"/>
      <c r="Z4" s="292"/>
      <c r="AA4" s="292"/>
    </row>
    <row r="5" spans="1:27" ht="22.9" customHeight="1" x14ac:dyDescent="0.25">
      <c r="A5" s="319">
        <v>2</v>
      </c>
      <c r="B5" s="292"/>
      <c r="C5" s="292"/>
      <c r="D5" s="292"/>
      <c r="E5" s="292"/>
      <c r="F5" s="292"/>
      <c r="G5" s="292"/>
      <c r="H5" s="292"/>
      <c r="I5" s="292"/>
      <c r="J5" s="292"/>
      <c r="K5" s="292"/>
      <c r="L5" s="292"/>
      <c r="M5" s="292"/>
      <c r="N5" s="292"/>
      <c r="O5" s="292"/>
      <c r="P5" s="292"/>
      <c r="Q5" s="292"/>
      <c r="R5" s="292"/>
      <c r="S5" s="292"/>
      <c r="T5" s="292"/>
      <c r="U5" s="292"/>
      <c r="V5" s="292"/>
      <c r="W5" s="292"/>
      <c r="X5" s="292"/>
      <c r="Y5" s="292"/>
      <c r="Z5" s="292"/>
      <c r="AA5" s="292"/>
    </row>
    <row r="6" spans="1:27" ht="22.9" customHeight="1" x14ac:dyDescent="0.3">
      <c r="A6" s="319">
        <v>3</v>
      </c>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6"/>
    </row>
    <row r="7" spans="1:27" ht="22.9" customHeight="1" x14ac:dyDescent="0.3">
      <c r="A7" s="663">
        <v>4</v>
      </c>
      <c r="B7" s="186"/>
      <c r="C7" s="186"/>
      <c r="D7" s="186"/>
      <c r="E7" s="186"/>
      <c r="F7" s="186"/>
      <c r="G7" s="186"/>
      <c r="H7" s="186"/>
      <c r="I7" s="186"/>
      <c r="J7" s="186"/>
      <c r="K7" s="186"/>
      <c r="L7" s="186"/>
      <c r="M7" s="186"/>
      <c r="N7" s="186"/>
      <c r="O7" s="186"/>
      <c r="P7" s="186"/>
      <c r="Q7" s="186"/>
      <c r="R7" s="186"/>
      <c r="S7" s="186"/>
      <c r="T7" s="186"/>
      <c r="U7" s="186"/>
      <c r="V7" s="186"/>
      <c r="W7" s="186"/>
      <c r="X7" s="186"/>
      <c r="Y7" s="186"/>
      <c r="Z7" s="186"/>
      <c r="AA7" s="186"/>
    </row>
    <row r="8" spans="1:27" ht="22.9" customHeight="1" x14ac:dyDescent="0.3">
      <c r="A8" s="319">
        <v>5</v>
      </c>
      <c r="B8" s="186"/>
      <c r="C8" s="186"/>
      <c r="D8" s="186"/>
      <c r="E8" s="186"/>
      <c r="F8" s="186"/>
      <c r="G8" s="186"/>
      <c r="H8" s="186"/>
      <c r="I8" s="186"/>
      <c r="J8" s="186"/>
      <c r="K8" s="186"/>
      <c r="L8" s="186"/>
      <c r="M8" s="186"/>
      <c r="N8" s="186"/>
      <c r="O8" s="186"/>
      <c r="P8" s="186"/>
      <c r="Q8" s="186"/>
      <c r="R8" s="186"/>
      <c r="S8" s="186"/>
      <c r="T8" s="186"/>
      <c r="U8" s="186"/>
      <c r="V8" s="186"/>
      <c r="W8" s="186"/>
      <c r="X8" s="186"/>
      <c r="Y8" s="186"/>
      <c r="Z8" s="186"/>
      <c r="AA8" s="186"/>
    </row>
    <row r="9" spans="1:27" ht="22.9" customHeight="1" x14ac:dyDescent="0.25">
      <c r="A9" s="319">
        <v>6</v>
      </c>
      <c r="B9" s="985" t="s">
        <v>15039</v>
      </c>
      <c r="C9" s="986"/>
      <c r="D9" s="515"/>
      <c r="E9" s="515"/>
      <c r="F9" s="515"/>
      <c r="G9" s="515"/>
      <c r="H9" s="515"/>
      <c r="I9" s="515"/>
      <c r="J9" s="515"/>
      <c r="K9" s="515"/>
      <c r="L9" s="515"/>
      <c r="M9" s="515"/>
      <c r="N9" s="515"/>
      <c r="O9" s="515"/>
      <c r="P9" s="515"/>
      <c r="Q9" s="515"/>
      <c r="R9" s="515"/>
      <c r="S9" s="515"/>
      <c r="T9" s="515"/>
      <c r="U9" s="515"/>
      <c r="V9" s="515"/>
      <c r="W9" s="515"/>
      <c r="X9" s="515"/>
      <c r="Y9" s="515"/>
      <c r="Z9" s="515"/>
      <c r="AA9" s="515"/>
    </row>
    <row r="10" spans="1:27" ht="22.9" customHeight="1" x14ac:dyDescent="0.3">
      <c r="A10" s="319">
        <v>7</v>
      </c>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6"/>
    </row>
    <row r="11" spans="1:27" ht="22.9" customHeight="1" x14ac:dyDescent="0.3">
      <c r="A11" s="319">
        <v>8</v>
      </c>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6"/>
    </row>
    <row r="12" spans="1:27" ht="22.9" customHeight="1" x14ac:dyDescent="0.3">
      <c r="A12" s="319">
        <v>9</v>
      </c>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6"/>
    </row>
    <row r="13" spans="1:27" ht="22.9" customHeight="1" x14ac:dyDescent="0.3">
      <c r="A13" s="319">
        <v>10</v>
      </c>
      <c r="B13" s="186"/>
      <c r="C13" s="186"/>
      <c r="D13" s="186"/>
      <c r="E13" s="186"/>
      <c r="F13" s="186"/>
      <c r="G13" s="186"/>
      <c r="H13" s="186"/>
      <c r="I13" s="186"/>
      <c r="J13" s="186"/>
      <c r="K13" s="186"/>
      <c r="L13" s="186"/>
      <c r="M13" s="186"/>
      <c r="N13" s="186"/>
      <c r="O13" s="186"/>
      <c r="P13" s="186"/>
      <c r="Q13" s="186"/>
      <c r="R13" s="186"/>
      <c r="S13" s="186"/>
      <c r="T13" s="186"/>
      <c r="U13" s="186"/>
      <c r="V13" s="186"/>
      <c r="W13" s="186"/>
      <c r="X13" s="186"/>
      <c r="Y13" s="186"/>
      <c r="Z13" s="186"/>
      <c r="AA13" s="186"/>
    </row>
    <row r="14" spans="1:27" ht="22.9" customHeight="1" x14ac:dyDescent="0.3">
      <c r="A14" s="319">
        <v>11</v>
      </c>
      <c r="B14" s="186"/>
      <c r="C14" s="186"/>
      <c r="D14" s="186"/>
      <c r="E14" s="186"/>
      <c r="F14" s="186"/>
      <c r="G14" s="186"/>
      <c r="H14" s="186"/>
      <c r="I14" s="186"/>
      <c r="J14" s="186"/>
      <c r="K14" s="186"/>
      <c r="L14" s="186"/>
      <c r="M14" s="186"/>
      <c r="N14" s="186"/>
      <c r="O14" s="186"/>
      <c r="P14" s="186"/>
      <c r="Q14" s="186"/>
      <c r="R14" s="186"/>
      <c r="S14" s="186"/>
      <c r="T14" s="186"/>
      <c r="U14" s="186"/>
      <c r="V14" s="186"/>
      <c r="W14" s="186"/>
      <c r="X14" s="186"/>
      <c r="Y14" s="186"/>
      <c r="Z14" s="186"/>
      <c r="AA14" s="186"/>
    </row>
    <row r="15" spans="1:27" ht="22.9" customHeight="1" x14ac:dyDescent="0.3">
      <c r="A15" s="319">
        <v>12</v>
      </c>
      <c r="B15" s="186"/>
      <c r="C15" s="186"/>
      <c r="D15" s="186"/>
      <c r="E15" s="186"/>
      <c r="F15" s="186"/>
      <c r="G15" s="186"/>
      <c r="H15" s="186"/>
      <c r="I15" s="186"/>
      <c r="J15" s="186"/>
      <c r="K15" s="186"/>
      <c r="L15" s="186"/>
      <c r="M15" s="186"/>
      <c r="N15" s="186"/>
      <c r="O15" s="186"/>
      <c r="P15" s="186"/>
      <c r="Q15" s="186"/>
      <c r="R15" s="186"/>
      <c r="S15" s="186"/>
      <c r="T15" s="186"/>
      <c r="U15" s="186"/>
      <c r="V15" s="186"/>
      <c r="W15" s="186"/>
      <c r="X15" s="186"/>
      <c r="Y15" s="186"/>
      <c r="Z15" s="186"/>
      <c r="AA15" s="186"/>
    </row>
    <row r="16" spans="1:27" ht="22.9" customHeight="1" x14ac:dyDescent="0.25">
      <c r="A16" s="319">
        <v>13</v>
      </c>
      <c r="B16" s="985" t="s">
        <v>15039</v>
      </c>
      <c r="C16" s="986"/>
      <c r="D16" s="515"/>
      <c r="E16" s="515"/>
      <c r="F16" s="515"/>
      <c r="G16" s="515"/>
      <c r="H16" s="515"/>
      <c r="I16" s="515"/>
      <c r="J16" s="515"/>
      <c r="K16" s="515"/>
      <c r="L16" s="515"/>
      <c r="M16" s="515"/>
      <c r="N16" s="515"/>
      <c r="O16" s="515"/>
      <c r="P16" s="515"/>
      <c r="Q16" s="515"/>
      <c r="R16" s="515"/>
      <c r="S16" s="515"/>
      <c r="T16" s="515"/>
      <c r="U16" s="515"/>
      <c r="V16" s="515"/>
      <c r="W16" s="515"/>
      <c r="X16" s="515"/>
      <c r="Y16" s="515"/>
      <c r="Z16" s="515"/>
      <c r="AA16" s="515"/>
    </row>
    <row r="17" spans="1:27" ht="22.9" customHeight="1" x14ac:dyDescent="0.3">
      <c r="A17" s="319">
        <v>14</v>
      </c>
      <c r="B17" s="186"/>
      <c r="C17" s="186"/>
      <c r="D17" s="186"/>
      <c r="E17" s="186"/>
      <c r="F17" s="186"/>
      <c r="G17" s="186"/>
      <c r="H17" s="186"/>
      <c r="I17" s="186"/>
      <c r="J17" s="186"/>
      <c r="K17" s="186"/>
      <c r="L17" s="186"/>
      <c r="M17" s="186"/>
      <c r="N17" s="186"/>
      <c r="O17" s="186"/>
      <c r="P17" s="186"/>
      <c r="Q17" s="186"/>
      <c r="R17" s="186"/>
      <c r="S17" s="186"/>
      <c r="T17" s="186"/>
      <c r="U17" s="186"/>
      <c r="V17" s="186"/>
      <c r="W17" s="186"/>
      <c r="X17" s="186"/>
      <c r="Y17" s="186"/>
      <c r="Z17" s="186"/>
      <c r="AA17" s="186"/>
    </row>
    <row r="18" spans="1:27" ht="22.9" customHeight="1" x14ac:dyDescent="0.3">
      <c r="A18" s="319">
        <v>15</v>
      </c>
      <c r="B18" s="186"/>
      <c r="C18" s="186"/>
      <c r="D18" s="186"/>
      <c r="E18" s="186"/>
      <c r="F18" s="186"/>
      <c r="G18" s="186"/>
      <c r="H18" s="186"/>
      <c r="I18" s="186"/>
      <c r="J18" s="186"/>
      <c r="K18" s="186"/>
      <c r="L18" s="186"/>
      <c r="M18" s="186"/>
      <c r="N18" s="186"/>
      <c r="O18" s="186"/>
      <c r="P18" s="186"/>
      <c r="Q18" s="186"/>
      <c r="R18" s="186"/>
      <c r="S18" s="186"/>
      <c r="T18" s="186"/>
      <c r="U18" s="186"/>
      <c r="V18" s="186"/>
      <c r="W18" s="186"/>
      <c r="X18" s="186"/>
      <c r="Y18" s="186"/>
      <c r="Z18" s="186"/>
      <c r="AA18" s="186"/>
    </row>
    <row r="19" spans="1:27" ht="22.9" customHeight="1" x14ac:dyDescent="0.3">
      <c r="A19" s="319">
        <v>16</v>
      </c>
      <c r="B19" s="186"/>
      <c r="C19" s="186"/>
      <c r="D19" s="186"/>
      <c r="E19" s="186"/>
      <c r="F19" s="186"/>
      <c r="G19" s="186"/>
      <c r="H19" s="186"/>
      <c r="I19" s="186"/>
      <c r="J19" s="186"/>
      <c r="K19" s="186"/>
      <c r="L19" s="186"/>
      <c r="M19" s="186"/>
      <c r="N19" s="186"/>
      <c r="O19" s="186"/>
      <c r="P19" s="186"/>
      <c r="Q19" s="186"/>
      <c r="R19" s="186"/>
      <c r="S19" s="186"/>
      <c r="T19" s="186"/>
      <c r="U19" s="186"/>
      <c r="V19" s="186"/>
      <c r="W19" s="186"/>
      <c r="X19" s="186"/>
      <c r="Y19" s="186"/>
      <c r="Z19" s="186"/>
      <c r="AA19" s="186"/>
    </row>
    <row r="20" spans="1:27" ht="22.9" customHeight="1" x14ac:dyDescent="0.3">
      <c r="A20" s="319">
        <v>17</v>
      </c>
      <c r="B20" s="186"/>
      <c r="C20" s="186"/>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86"/>
    </row>
    <row r="21" spans="1:27" ht="22.9" customHeight="1" x14ac:dyDescent="0.3">
      <c r="A21" s="319">
        <v>18</v>
      </c>
      <c r="B21" s="186"/>
      <c r="C21" s="186"/>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86"/>
    </row>
    <row r="22" spans="1:27" ht="22.9" customHeight="1" x14ac:dyDescent="0.3">
      <c r="A22" s="319">
        <v>19</v>
      </c>
      <c r="B22" s="186"/>
      <c r="C22" s="186"/>
      <c r="D22" s="186"/>
      <c r="E22" s="186"/>
      <c r="F22" s="186"/>
      <c r="G22" s="186"/>
      <c r="H22" s="186"/>
      <c r="I22" s="186"/>
      <c r="J22" s="186"/>
      <c r="K22" s="186"/>
      <c r="L22" s="186"/>
      <c r="M22" s="186"/>
      <c r="N22" s="186"/>
      <c r="O22" s="186"/>
      <c r="P22" s="186"/>
      <c r="Q22" s="186"/>
      <c r="R22" s="186"/>
      <c r="S22" s="186"/>
      <c r="T22" s="186"/>
      <c r="U22" s="186"/>
      <c r="V22" s="186"/>
      <c r="W22" s="186"/>
      <c r="X22" s="186"/>
      <c r="Y22" s="186"/>
      <c r="Z22" s="186"/>
      <c r="AA22" s="186"/>
    </row>
    <row r="23" spans="1:27" ht="22.9" customHeight="1" x14ac:dyDescent="0.25">
      <c r="A23" s="319">
        <v>20</v>
      </c>
      <c r="B23" s="985" t="s">
        <v>15039</v>
      </c>
      <c r="C23" s="986"/>
      <c r="D23" s="515"/>
      <c r="E23" s="515"/>
      <c r="F23" s="515"/>
      <c r="G23" s="515"/>
      <c r="H23" s="515"/>
      <c r="I23" s="515"/>
      <c r="J23" s="515"/>
      <c r="K23" s="515"/>
      <c r="L23" s="515"/>
      <c r="M23" s="515"/>
      <c r="N23" s="515"/>
      <c r="O23" s="515"/>
      <c r="P23" s="515"/>
      <c r="Q23" s="515"/>
      <c r="R23" s="515"/>
      <c r="S23" s="515"/>
      <c r="T23" s="515"/>
      <c r="U23" s="515"/>
      <c r="V23" s="515"/>
      <c r="W23" s="515"/>
      <c r="X23" s="515"/>
      <c r="Y23" s="515"/>
      <c r="Z23" s="515"/>
      <c r="AA23" s="515"/>
    </row>
    <row r="24" spans="1:27" ht="22.9" customHeight="1" x14ac:dyDescent="0.3">
      <c r="A24" s="319">
        <v>21</v>
      </c>
      <c r="B24" s="851"/>
      <c r="C24" s="851"/>
      <c r="D24" s="851"/>
      <c r="E24" s="851"/>
      <c r="F24" s="851"/>
      <c r="G24" s="851"/>
      <c r="H24" s="851"/>
      <c r="I24" s="851"/>
      <c r="J24" s="851"/>
      <c r="K24" s="851"/>
      <c r="L24" s="851"/>
      <c r="M24" s="851"/>
      <c r="N24" s="869"/>
      <c r="O24" s="869"/>
      <c r="P24" s="851"/>
      <c r="Q24" s="851"/>
      <c r="R24" s="851"/>
      <c r="S24" s="851"/>
      <c r="T24" s="851"/>
      <c r="U24" s="851"/>
      <c r="V24" s="851"/>
      <c r="W24" s="851"/>
      <c r="X24" s="869"/>
      <c r="Y24" s="869"/>
      <c r="Z24" s="869"/>
      <c r="AA24" s="869"/>
    </row>
    <row r="25" spans="1:27" ht="22.9" customHeight="1" x14ac:dyDescent="0.3">
      <c r="A25" s="319">
        <v>22</v>
      </c>
      <c r="B25" s="854">
        <v>0.43541666666666662</v>
      </c>
      <c r="C25" s="854">
        <v>0.3298611111111111</v>
      </c>
      <c r="D25" s="854">
        <v>0.41597222222222219</v>
      </c>
      <c r="E25" s="854">
        <v>0.26597222222222222</v>
      </c>
      <c r="F25" s="854">
        <v>0.42777777777777781</v>
      </c>
      <c r="G25" s="854">
        <v>0.31597222222222221</v>
      </c>
      <c r="H25" s="854">
        <v>0.42569444444444443</v>
      </c>
      <c r="I25" s="851"/>
      <c r="J25" s="854">
        <v>0.43263888888888885</v>
      </c>
      <c r="K25" s="854">
        <v>0.31041666666666667</v>
      </c>
      <c r="L25" s="851"/>
      <c r="M25" s="851"/>
      <c r="N25" s="869"/>
      <c r="O25" s="869"/>
      <c r="P25" s="854">
        <v>0.4368055555555555</v>
      </c>
      <c r="Q25" s="854">
        <v>0.2673611111111111</v>
      </c>
      <c r="R25" s="854">
        <v>0.41666666666666669</v>
      </c>
      <c r="S25" s="851"/>
      <c r="T25" s="854">
        <v>9.0277777777777776E-2</v>
      </c>
      <c r="U25" s="851"/>
      <c r="V25" s="854">
        <v>0.17847222222222223</v>
      </c>
      <c r="W25" s="851"/>
      <c r="X25" s="854"/>
      <c r="Y25" s="869"/>
      <c r="Z25" s="854"/>
      <c r="AA25" s="869"/>
    </row>
    <row r="26" spans="1:27" ht="22.9" customHeight="1" x14ac:dyDescent="0.3">
      <c r="A26" s="319">
        <v>23</v>
      </c>
      <c r="B26" s="854">
        <v>0.4368055555555555</v>
      </c>
      <c r="C26" s="854">
        <v>0.28194444444444444</v>
      </c>
      <c r="D26" s="854">
        <v>0.42083333333333334</v>
      </c>
      <c r="E26" s="854">
        <v>0.2638888888888889</v>
      </c>
      <c r="F26" s="854">
        <v>0.43055555555555558</v>
      </c>
      <c r="G26" s="854">
        <v>0.28819444444444448</v>
      </c>
      <c r="H26" s="854">
        <v>0.43402777777777773</v>
      </c>
      <c r="I26" s="851"/>
      <c r="J26" s="854">
        <v>0.44097222222222227</v>
      </c>
      <c r="K26" s="854">
        <v>0.2673611111111111</v>
      </c>
      <c r="L26" s="854">
        <v>0.43055555555555558</v>
      </c>
      <c r="M26" s="854">
        <v>0.28402777777777777</v>
      </c>
      <c r="N26" s="854"/>
      <c r="O26" s="854"/>
      <c r="P26" s="851"/>
      <c r="Q26" s="851"/>
      <c r="R26" s="851"/>
      <c r="S26" s="851"/>
      <c r="T26" s="854">
        <v>0.12430555555555556</v>
      </c>
      <c r="U26" s="854">
        <v>0.48958333333333331</v>
      </c>
      <c r="V26" s="854">
        <v>0.4826388888888889</v>
      </c>
      <c r="W26" s="854">
        <v>0.32847222222222222</v>
      </c>
      <c r="X26" s="854">
        <v>0.42499999999999999</v>
      </c>
      <c r="Y26" s="869"/>
      <c r="Z26" s="854">
        <v>0.48194444444444445</v>
      </c>
      <c r="AA26" s="854">
        <v>0.32430555555555557</v>
      </c>
    </row>
    <row r="27" spans="1:27" ht="22.9" customHeight="1" x14ac:dyDescent="0.3">
      <c r="A27" s="319">
        <v>24</v>
      </c>
      <c r="B27" s="854">
        <v>0.43611111111111112</v>
      </c>
      <c r="C27" s="854">
        <v>0.28472222222222221</v>
      </c>
      <c r="D27" s="854">
        <v>0.43194444444444446</v>
      </c>
      <c r="E27" s="854">
        <v>0.26527777777777778</v>
      </c>
      <c r="F27" s="854">
        <v>0.43055555555555558</v>
      </c>
      <c r="G27" s="854">
        <v>0.28472222222222221</v>
      </c>
      <c r="H27" s="851"/>
      <c r="I27" s="851"/>
      <c r="J27" s="854">
        <v>0.47291666666666665</v>
      </c>
      <c r="K27" s="851"/>
      <c r="L27" s="854">
        <v>0.41805555555555557</v>
      </c>
      <c r="M27" s="854">
        <v>0.30069444444444443</v>
      </c>
      <c r="N27" s="854">
        <v>0.39583333333333331</v>
      </c>
      <c r="O27" s="854"/>
      <c r="P27" s="854">
        <v>0.43402777777777773</v>
      </c>
      <c r="Q27" s="854">
        <v>0.26458333333333334</v>
      </c>
      <c r="R27" s="854">
        <v>0.41666666666666669</v>
      </c>
      <c r="S27" s="854">
        <v>0.24166666666666667</v>
      </c>
      <c r="T27" s="854">
        <v>7.3611111111111113E-2</v>
      </c>
      <c r="U27" s="854">
        <v>0.47361111111111115</v>
      </c>
      <c r="V27" s="854">
        <v>0.15</v>
      </c>
      <c r="W27" s="851"/>
      <c r="X27" s="869"/>
      <c r="Y27" s="869"/>
      <c r="Z27" s="869"/>
      <c r="AA27" s="869"/>
    </row>
    <row r="28" spans="1:27" ht="22.9" customHeight="1" x14ac:dyDescent="0.3">
      <c r="A28" s="319">
        <v>25</v>
      </c>
      <c r="B28" s="854">
        <v>0.4375</v>
      </c>
      <c r="C28" s="854">
        <v>0.25208333333333333</v>
      </c>
      <c r="D28" s="854">
        <v>0.4236111111111111</v>
      </c>
      <c r="E28" s="851"/>
      <c r="F28" s="854">
        <v>0.4375</v>
      </c>
      <c r="G28" s="851"/>
      <c r="H28" s="851"/>
      <c r="I28" s="851"/>
      <c r="J28" s="854">
        <v>0.46527777777777773</v>
      </c>
      <c r="K28" s="851"/>
      <c r="L28" s="851"/>
      <c r="M28" s="851"/>
      <c r="N28" s="854">
        <v>0.41180555555555554</v>
      </c>
      <c r="O28" s="854">
        <v>0.26180555555555557</v>
      </c>
      <c r="P28" s="854">
        <v>0.45555555555555555</v>
      </c>
      <c r="Q28" s="851"/>
      <c r="R28" s="854">
        <v>0.42986111111111108</v>
      </c>
      <c r="S28" s="854">
        <v>0.26111111111111113</v>
      </c>
      <c r="T28" s="854">
        <v>5.2777777777777778E-2</v>
      </c>
      <c r="U28" s="854">
        <v>0.3</v>
      </c>
      <c r="V28" s="854">
        <v>0.41805555555555557</v>
      </c>
      <c r="W28" s="851"/>
      <c r="X28" s="869"/>
      <c r="Y28" s="869"/>
      <c r="Z28" s="854">
        <v>0.46458333333333335</v>
      </c>
      <c r="AA28" s="869"/>
    </row>
    <row r="29" spans="1:27" ht="22.9" customHeight="1" x14ac:dyDescent="0.3">
      <c r="A29" s="319">
        <v>26</v>
      </c>
      <c r="B29" s="854">
        <v>0.44305555555555554</v>
      </c>
      <c r="C29" s="854">
        <v>0.20277777777777781</v>
      </c>
      <c r="D29" s="851"/>
      <c r="E29" s="851"/>
      <c r="F29" s="851"/>
      <c r="G29" s="851"/>
      <c r="H29" s="851"/>
      <c r="I29" s="851"/>
      <c r="J29" s="851"/>
      <c r="K29" s="851"/>
      <c r="L29" s="854">
        <v>0.45069444444444445</v>
      </c>
      <c r="M29" s="851"/>
      <c r="N29" s="854">
        <v>0.39513888888888887</v>
      </c>
      <c r="O29" s="854">
        <v>0.20138888888888887</v>
      </c>
      <c r="P29" s="854">
        <v>1.0416666666666666E-2</v>
      </c>
      <c r="Q29" s="851"/>
      <c r="R29" s="851"/>
      <c r="S29" s="854">
        <v>0.2638888888888889</v>
      </c>
      <c r="T29" s="854">
        <v>0.49305555555555558</v>
      </c>
      <c r="U29" s="854">
        <v>0.29583333333333334</v>
      </c>
      <c r="V29" s="851"/>
      <c r="W29" s="851"/>
      <c r="X29" s="869"/>
      <c r="Y29" s="869"/>
      <c r="Z29" s="869"/>
      <c r="AA29" s="869"/>
    </row>
    <row r="30" spans="1:27" ht="22.9" customHeight="1" x14ac:dyDescent="0.3">
      <c r="A30" s="319">
        <v>27</v>
      </c>
      <c r="B30" s="985" t="s">
        <v>15039</v>
      </c>
      <c r="C30" s="986"/>
      <c r="D30" s="515"/>
      <c r="E30" s="515"/>
      <c r="F30" s="515"/>
      <c r="G30" s="515"/>
      <c r="H30" s="515"/>
      <c r="I30" s="515"/>
      <c r="J30" s="515"/>
      <c r="K30" s="515"/>
      <c r="L30" s="515"/>
      <c r="M30" s="515"/>
      <c r="N30" s="515"/>
      <c r="O30" s="515"/>
      <c r="P30" s="515"/>
      <c r="Q30" s="515"/>
      <c r="R30" s="515"/>
      <c r="S30" s="515"/>
      <c r="T30" s="872">
        <v>7.3611111111111113E-2</v>
      </c>
      <c r="U30" s="515"/>
      <c r="V30" s="515"/>
      <c r="W30" s="515"/>
      <c r="X30" s="515"/>
      <c r="Y30" s="515"/>
      <c r="Z30" s="515"/>
      <c r="AA30" s="515"/>
    </row>
    <row r="31" spans="1:27" ht="22.9" customHeight="1" x14ac:dyDescent="0.3">
      <c r="A31" s="319">
        <v>28</v>
      </c>
      <c r="B31" s="854">
        <v>0.4201388888888889</v>
      </c>
      <c r="C31" s="854">
        <v>0.34236111111111112</v>
      </c>
      <c r="D31" s="854">
        <v>0.42777777777777781</v>
      </c>
      <c r="E31" s="854">
        <v>0.26041666666666669</v>
      </c>
      <c r="F31" s="854">
        <v>0.43055555555555558</v>
      </c>
      <c r="G31" s="854">
        <v>0.3347222222222222</v>
      </c>
      <c r="H31" s="186"/>
      <c r="I31" s="186"/>
      <c r="J31" s="854">
        <v>0.43888888888888888</v>
      </c>
      <c r="K31" s="854">
        <v>0.27291666666666664</v>
      </c>
      <c r="L31" s="854">
        <v>0.41944444444444445</v>
      </c>
      <c r="M31" s="854">
        <v>0.26041666666666669</v>
      </c>
      <c r="N31" s="186"/>
      <c r="O31" s="854">
        <v>0.23124999999999998</v>
      </c>
      <c r="P31" s="854">
        <v>0.45833333333333331</v>
      </c>
      <c r="Q31" s="854">
        <v>0.2590277777777778</v>
      </c>
      <c r="R31" s="854">
        <v>0.42986111111111108</v>
      </c>
      <c r="S31" s="854">
        <v>0.2590277777777778</v>
      </c>
      <c r="T31" s="854">
        <v>9.0277777777777776E-2</v>
      </c>
      <c r="U31" s="854">
        <v>0.37638888888888888</v>
      </c>
      <c r="V31" s="854">
        <v>0.23680555555555557</v>
      </c>
      <c r="W31" s="186"/>
      <c r="X31" s="854">
        <v>0.4680555555555555</v>
      </c>
      <c r="Y31" s="854">
        <v>0.35625000000000001</v>
      </c>
      <c r="Z31" s="854">
        <v>0.4381944444444445</v>
      </c>
      <c r="AA31" s="854">
        <v>0.29444444444444445</v>
      </c>
    </row>
    <row r="32" spans="1:27" ht="22.9" customHeight="1" x14ac:dyDescent="0.3">
      <c r="A32" s="319">
        <v>29</v>
      </c>
      <c r="B32" s="854">
        <v>0.4381944444444445</v>
      </c>
      <c r="C32" s="854">
        <v>0.28750000000000003</v>
      </c>
      <c r="D32" s="854">
        <v>0.43472222222222223</v>
      </c>
      <c r="E32" s="854">
        <v>0.27013888888888887</v>
      </c>
      <c r="F32" s="854">
        <v>0.43055555555555558</v>
      </c>
      <c r="G32" s="854">
        <v>0.27569444444444446</v>
      </c>
      <c r="H32" s="186"/>
      <c r="I32" s="186"/>
      <c r="J32" s="186"/>
      <c r="K32" s="854">
        <v>0.27291666666666664</v>
      </c>
      <c r="L32" s="854">
        <v>0.43541666666666662</v>
      </c>
      <c r="M32" s="854">
        <v>0.25347222222222221</v>
      </c>
      <c r="N32" s="854">
        <v>0.39999999999999997</v>
      </c>
      <c r="O32" s="854">
        <v>0.24236111111111111</v>
      </c>
      <c r="P32" s="854">
        <v>0.45277777777777778</v>
      </c>
      <c r="Q32" s="854">
        <v>0.25694444444444448</v>
      </c>
      <c r="R32" s="854">
        <v>0.42986111111111108</v>
      </c>
      <c r="S32" s="854">
        <v>0.26111111111111113</v>
      </c>
      <c r="T32" s="854">
        <v>7.0833333333333331E-2</v>
      </c>
      <c r="U32" s="854">
        <v>0.37638888888888888</v>
      </c>
      <c r="V32" s="854">
        <v>0.13541666666666666</v>
      </c>
      <c r="W32" s="854">
        <v>0.39583333333333331</v>
      </c>
      <c r="X32" s="854">
        <v>0.43472222222222223</v>
      </c>
      <c r="Y32" s="854">
        <v>0.36388888888888887</v>
      </c>
      <c r="Z32" s="854">
        <v>0.4458333333333333</v>
      </c>
      <c r="AA32" s="854">
        <v>0.29652777777777778</v>
      </c>
    </row>
    <row r="33" spans="1:27" ht="22.9" customHeight="1" x14ac:dyDescent="0.3">
      <c r="A33" s="319">
        <v>30</v>
      </c>
      <c r="B33" s="854">
        <v>0.43333333333333335</v>
      </c>
      <c r="C33" s="854">
        <v>0.27986111111111112</v>
      </c>
      <c r="D33" s="854">
        <v>0.43888888888888888</v>
      </c>
      <c r="E33" s="854">
        <v>0.27013888888888887</v>
      </c>
      <c r="F33" s="854">
        <v>0.4236111111111111</v>
      </c>
      <c r="G33" s="854">
        <v>0.27083333333333331</v>
      </c>
      <c r="H33" s="186"/>
      <c r="I33" s="186"/>
      <c r="J33" s="854">
        <v>0.44513888888888892</v>
      </c>
      <c r="K33" s="854">
        <v>0.26180555555555557</v>
      </c>
      <c r="L33" s="854">
        <v>0.42083333333333334</v>
      </c>
      <c r="M33" s="854">
        <v>0.24652777777777779</v>
      </c>
      <c r="N33" s="854">
        <v>0.40625</v>
      </c>
      <c r="O33" s="186"/>
      <c r="P33" s="854">
        <v>0.45277777777777778</v>
      </c>
      <c r="Q33" s="854">
        <v>0.27638888888888885</v>
      </c>
      <c r="R33" s="854">
        <v>0.42569444444444443</v>
      </c>
      <c r="S33" s="854">
        <v>0.27152777777777776</v>
      </c>
      <c r="T33" s="854">
        <v>0.1013888888888889</v>
      </c>
      <c r="U33" s="854">
        <v>0.37361111111111112</v>
      </c>
      <c r="V33" s="186"/>
      <c r="W33" s="186"/>
      <c r="X33" s="854">
        <v>0.41875000000000001</v>
      </c>
      <c r="Y33" s="854">
        <v>0.38194444444444442</v>
      </c>
      <c r="Z33" s="854">
        <v>0.44791666666666669</v>
      </c>
      <c r="AA33" s="854">
        <v>0.31875000000000003</v>
      </c>
    </row>
    <row r="34" spans="1:27" ht="21" x14ac:dyDescent="0.3">
      <c r="A34" s="319">
        <v>31</v>
      </c>
      <c r="B34" s="854">
        <v>0.42222222222222222</v>
      </c>
      <c r="C34" s="186"/>
      <c r="D34" s="854">
        <v>0.4381944444444445</v>
      </c>
      <c r="E34" s="186"/>
      <c r="F34" s="854">
        <v>0.43402777777777773</v>
      </c>
      <c r="G34" s="186"/>
      <c r="H34" s="186"/>
      <c r="I34" s="186"/>
      <c r="J34" s="854">
        <v>0.42986111111111108</v>
      </c>
      <c r="K34" s="186"/>
      <c r="L34" s="854">
        <v>0.42986111111111108</v>
      </c>
      <c r="M34" s="186"/>
      <c r="N34" s="854">
        <v>0.3979166666666667</v>
      </c>
      <c r="O34" s="186"/>
      <c r="P34" s="186"/>
      <c r="Q34" s="186"/>
      <c r="R34" s="854">
        <v>0.43333333333333335</v>
      </c>
      <c r="S34" s="186"/>
      <c r="T34" s="186"/>
      <c r="U34" s="186"/>
      <c r="V34" s="186"/>
      <c r="W34" s="186"/>
      <c r="X34" s="186"/>
      <c r="Y34" s="186"/>
      <c r="Z34" s="854">
        <v>0.49374999999999997</v>
      </c>
      <c r="AA34" s="854">
        <v>0.2722222222222222</v>
      </c>
    </row>
  </sheetData>
  <mergeCells count="19">
    <mergeCell ref="X2:Y2"/>
    <mergeCell ref="Z2:AA2"/>
    <mergeCell ref="N2:O2"/>
    <mergeCell ref="A1:Q1"/>
    <mergeCell ref="A2:A3"/>
    <mergeCell ref="B2:C2"/>
    <mergeCell ref="D2:E2"/>
    <mergeCell ref="F2:G2"/>
    <mergeCell ref="H2:I2"/>
    <mergeCell ref="J2:K2"/>
    <mergeCell ref="L2:M2"/>
    <mergeCell ref="R2:S2"/>
    <mergeCell ref="T2:U2"/>
    <mergeCell ref="V2:W2"/>
    <mergeCell ref="B23:C23"/>
    <mergeCell ref="B30:C30"/>
    <mergeCell ref="P2:Q2"/>
    <mergeCell ref="B9:C9"/>
    <mergeCell ref="B16:C16"/>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5" activePane="bottomLeft" state="frozen"/>
      <selection pane="bottomLeft" activeCell="H222" sqref="H22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994" t="s">
        <v>7053</v>
      </c>
      <c r="B1" s="994"/>
      <c r="C1" s="30" t="s">
        <v>7054</v>
      </c>
      <c r="D1" s="3"/>
      <c r="E1" s="3"/>
      <c r="F1" s="3"/>
      <c r="G1" s="279" t="s">
        <v>7047</v>
      </c>
      <c r="H1" s="31">
        <f ca="1">TODAY()</f>
        <v>45804</v>
      </c>
    </row>
    <row r="2" spans="1:10" ht="21" x14ac:dyDescent="0.3">
      <c r="A2" s="995" t="s">
        <v>4329</v>
      </c>
      <c r="B2" s="996"/>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989" t="s">
        <v>6975</v>
      </c>
      <c r="F4" s="989"/>
      <c r="G4" s="989"/>
      <c r="H4" s="990"/>
      <c r="J4" s="619">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12107</v>
      </c>
      <c r="C26" s="19">
        <v>33950</v>
      </c>
      <c r="D26" s="34"/>
      <c r="E26" s="13">
        <v>44258</v>
      </c>
      <c r="F26" s="15" t="s">
        <v>7091</v>
      </c>
      <c r="G26" s="16" t="s">
        <v>7092</v>
      </c>
      <c r="H26" s="8">
        <v>211000</v>
      </c>
    </row>
    <row r="27" spans="1:10" s="18" customFormat="1" ht="15.75" x14ac:dyDescent="0.25">
      <c r="A27" s="13">
        <v>45201</v>
      </c>
      <c r="B27" s="260" t="s">
        <v>12273</v>
      </c>
      <c r="C27" s="19">
        <v>1000000</v>
      </c>
      <c r="D27" s="34"/>
      <c r="E27" s="13">
        <v>44258</v>
      </c>
      <c r="F27" s="15" t="s">
        <v>7094</v>
      </c>
      <c r="G27" s="16" t="s">
        <v>7096</v>
      </c>
      <c r="H27" s="8">
        <v>300000</v>
      </c>
    </row>
    <row r="28" spans="1:10" s="18" customFormat="1" ht="15.75" x14ac:dyDescent="0.25">
      <c r="A28" s="13">
        <v>45589</v>
      </c>
      <c r="B28" s="260" t="s">
        <v>13725</v>
      </c>
      <c r="C28" s="19">
        <v>1520392</v>
      </c>
      <c r="D28" s="34"/>
      <c r="E28" s="13">
        <v>44258</v>
      </c>
      <c r="F28" s="15" t="s">
        <v>7095</v>
      </c>
      <c r="G28" s="16" t="s">
        <v>7096</v>
      </c>
      <c r="H28" s="8">
        <v>200000</v>
      </c>
    </row>
    <row r="29" spans="1:10" s="18" customFormat="1" ht="15.75" x14ac:dyDescent="0.25">
      <c r="A29" s="13">
        <v>45674</v>
      </c>
      <c r="B29" s="260" t="s">
        <v>15365</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13360</v>
      </c>
      <c r="G212" s="261" t="s">
        <v>8733</v>
      </c>
      <c r="H212" s="8">
        <v>150000</v>
      </c>
      <c r="J212" s="322"/>
    </row>
    <row r="213" spans="1:12" s="18" customFormat="1" ht="15.75" x14ac:dyDescent="0.25">
      <c r="A213" s="259"/>
      <c r="B213" s="284"/>
      <c r="C213" s="19"/>
      <c r="D213" s="34"/>
      <c r="E213" s="13">
        <v>45365</v>
      </c>
      <c r="F213" s="270" t="s">
        <v>13504</v>
      </c>
      <c r="G213" s="261" t="s">
        <v>8733</v>
      </c>
      <c r="H213" s="8">
        <v>32800</v>
      </c>
      <c r="J213" s="322"/>
    </row>
    <row r="214" spans="1:12" s="18" customFormat="1" ht="15.75" x14ac:dyDescent="0.25">
      <c r="A214" s="259"/>
      <c r="B214" s="284"/>
      <c r="C214" s="19"/>
      <c r="D214" s="34"/>
      <c r="E214" s="262"/>
      <c r="F214" s="270" t="s">
        <v>13999</v>
      </c>
      <c r="G214" s="261" t="s">
        <v>14002</v>
      </c>
      <c r="H214" s="8"/>
      <c r="J214" s="322"/>
    </row>
    <row r="215" spans="1:12" s="18" customFormat="1" ht="15.75" x14ac:dyDescent="0.25">
      <c r="A215" s="259"/>
      <c r="B215" s="284"/>
      <c r="C215" s="19"/>
      <c r="D215" s="34"/>
      <c r="E215" s="262"/>
      <c r="F215" s="270" t="s">
        <v>14000</v>
      </c>
      <c r="G215" s="261" t="s">
        <v>14002</v>
      </c>
      <c r="H215" s="8"/>
      <c r="J215" s="322"/>
    </row>
    <row r="216" spans="1:12" s="18" customFormat="1" ht="15.75" x14ac:dyDescent="0.25">
      <c r="A216" s="259"/>
      <c r="B216" s="284"/>
      <c r="C216" s="19"/>
      <c r="D216" s="34"/>
      <c r="E216" s="13">
        <v>45457</v>
      </c>
      <c r="F216" s="270" t="s">
        <v>14001</v>
      </c>
      <c r="G216" s="261" t="s">
        <v>8733</v>
      </c>
      <c r="H216" s="8">
        <v>98000</v>
      </c>
      <c r="J216" s="322"/>
    </row>
    <row r="217" spans="1:12" s="18" customFormat="1" ht="15.75" x14ac:dyDescent="0.25">
      <c r="A217" s="259"/>
      <c r="B217" s="284"/>
      <c r="C217" s="19"/>
      <c r="D217" s="34"/>
      <c r="E217" s="13">
        <v>45567</v>
      </c>
      <c r="F217" s="270" t="s">
        <v>14600</v>
      </c>
      <c r="G217" s="261" t="s">
        <v>7636</v>
      </c>
      <c r="H217" s="8">
        <v>0</v>
      </c>
      <c r="J217" s="322"/>
    </row>
    <row r="218" spans="1:12" s="18" customFormat="1" ht="15.75" x14ac:dyDescent="0.25">
      <c r="A218" s="259"/>
      <c r="B218" s="284"/>
      <c r="C218" s="19"/>
      <c r="D218" s="34"/>
      <c r="E218" s="13">
        <v>45567</v>
      </c>
      <c r="F218" s="270" t="s">
        <v>14601</v>
      </c>
      <c r="G218" s="261" t="s">
        <v>5328</v>
      </c>
      <c r="H218" s="8">
        <v>300000</v>
      </c>
      <c r="J218" s="322"/>
    </row>
    <row r="219" spans="1:12" s="18" customFormat="1" ht="15.75" x14ac:dyDescent="0.25">
      <c r="A219" s="259"/>
      <c r="B219" s="284"/>
      <c r="C219" s="19"/>
      <c r="D219" s="34"/>
      <c r="E219" s="13">
        <v>45616</v>
      </c>
      <c r="F219" s="270" t="s">
        <v>14971</v>
      </c>
      <c r="G219" s="261" t="s">
        <v>14973</v>
      </c>
      <c r="H219" s="8">
        <v>912000</v>
      </c>
      <c r="J219" s="322"/>
    </row>
    <row r="220" spans="1:12" s="18" customFormat="1" ht="15.75" x14ac:dyDescent="0.25">
      <c r="A220" s="259"/>
      <c r="B220" s="284"/>
      <c r="C220" s="19"/>
      <c r="D220" s="34"/>
      <c r="E220" s="13">
        <v>45616</v>
      </c>
      <c r="F220" s="270" t="s">
        <v>14972</v>
      </c>
      <c r="G220" s="261" t="s">
        <v>14973</v>
      </c>
      <c r="H220" s="8">
        <v>1100000</v>
      </c>
      <c r="J220" s="322"/>
    </row>
    <row r="221" spans="1:12" s="18" customFormat="1" ht="15.75" x14ac:dyDescent="0.25">
      <c r="A221" s="259"/>
      <c r="B221" s="284"/>
      <c r="C221" s="19"/>
      <c r="D221" s="34"/>
      <c r="E221" s="13">
        <v>45679</v>
      </c>
      <c r="F221" s="270" t="s">
        <v>15400</v>
      </c>
      <c r="G221" s="261" t="s">
        <v>15399</v>
      </c>
      <c r="H221" s="8">
        <v>3600000</v>
      </c>
      <c r="J221" s="322"/>
    </row>
    <row r="222" spans="1:12" s="18" customFormat="1" ht="15.75" x14ac:dyDescent="0.25">
      <c r="A222" s="259"/>
      <c r="B222" s="284"/>
      <c r="C222" s="19"/>
      <c r="D222" s="34"/>
      <c r="E222" s="262"/>
      <c r="F222" s="706"/>
      <c r="G222" s="261"/>
      <c r="H222" s="8"/>
      <c r="J222" s="322"/>
    </row>
    <row r="223" spans="1:12" s="18" customFormat="1" ht="15.75" x14ac:dyDescent="0.25">
      <c r="A223" s="259"/>
      <c r="B223" s="284"/>
      <c r="C223" s="19"/>
      <c r="D223" s="34"/>
      <c r="E223" s="262"/>
      <c r="F223" s="706"/>
      <c r="G223" s="261"/>
      <c r="H223" s="8"/>
      <c r="J223" s="322"/>
    </row>
    <row r="224" spans="1:12" s="18" customFormat="1" ht="18.75" x14ac:dyDescent="0.3">
      <c r="A224" s="280" t="s">
        <v>7001</v>
      </c>
      <c r="B224" s="281"/>
      <c r="C224" s="26">
        <f>SUM(C6:C139)</f>
        <v>24348207</v>
      </c>
      <c r="D224" s="34"/>
      <c r="E224" s="991" t="s">
        <v>7001</v>
      </c>
      <c r="F224" s="992"/>
      <c r="G224" s="993"/>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89"/>
  <sheetViews>
    <sheetView workbookViewId="0">
      <pane ySplit="2" topLeftCell="A854" activePane="bottomLeft" state="frozen"/>
      <selection pane="bottomLeft" activeCell="C886" sqref="C886"/>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994" t="s">
        <v>7053</v>
      </c>
      <c r="B1" s="994"/>
      <c r="C1" s="30" t="s">
        <v>7054</v>
      </c>
      <c r="D1" s="3"/>
      <c r="E1" s="3"/>
      <c r="F1" s="3"/>
      <c r="G1" s="279" t="s">
        <v>7047</v>
      </c>
      <c r="H1" s="31">
        <f ca="1">TODAY()</f>
        <v>45804</v>
      </c>
    </row>
    <row r="2" spans="1:8" ht="21" x14ac:dyDescent="0.25">
      <c r="A2" s="995" t="s">
        <v>861</v>
      </c>
      <c r="B2" s="996"/>
      <c r="C2" s="28">
        <v>3551000</v>
      </c>
      <c r="D2" s="3"/>
      <c r="E2" s="3"/>
      <c r="F2" s="3"/>
      <c r="G2" s="27" t="s">
        <v>861</v>
      </c>
      <c r="H2" s="288">
        <f>C2+C886-H885</f>
        <v>59336778.75120002</v>
      </c>
    </row>
    <row r="3" spans="1:8" ht="8.25" customHeight="1" thickBot="1" x14ac:dyDescent="0.3">
      <c r="B3" s="3"/>
      <c r="C3" s="3"/>
      <c r="D3" s="3"/>
      <c r="E3" s="3"/>
      <c r="F3" s="3"/>
      <c r="G3" s="3"/>
      <c r="H3" s="3"/>
    </row>
    <row r="4" spans="1:8" ht="26.25" x14ac:dyDescent="0.4">
      <c r="A4" s="999" t="s">
        <v>5057</v>
      </c>
      <c r="B4" s="989"/>
      <c r="C4" s="989"/>
      <c r="D4" s="20"/>
      <c r="E4" s="989" t="s">
        <v>6975</v>
      </c>
      <c r="F4" s="989"/>
      <c r="G4" s="989"/>
      <c r="H4" s="990"/>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7" customFormat="1" ht="47.25" x14ac:dyDescent="0.25">
      <c r="A171" s="13"/>
      <c r="B171" s="593"/>
      <c r="C171" s="8"/>
      <c r="D171" s="594"/>
      <c r="E171" s="13">
        <v>44634</v>
      </c>
      <c r="F171" s="595">
        <v>1830075574</v>
      </c>
      <c r="G171" s="596"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3"/>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59816778.75120002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11459</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11692</v>
      </c>
      <c r="H488" s="8">
        <v>96000</v>
      </c>
      <c r="J488" s="322"/>
    </row>
    <row r="489" spans="1:10" s="18" customFormat="1" ht="15.75" x14ac:dyDescent="0.25">
      <c r="A489" s="259"/>
      <c r="B489" s="260"/>
      <c r="C489" s="19"/>
      <c r="D489" s="34"/>
      <c r="E489" s="13">
        <v>45125</v>
      </c>
      <c r="F489" s="352">
        <v>1949327582</v>
      </c>
      <c r="G489" s="261" t="s">
        <v>11708</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11799</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11819</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11828</v>
      </c>
      <c r="H497" s="8">
        <v>85500</v>
      </c>
      <c r="J497" s="322"/>
    </row>
    <row r="498" spans="1:10" s="18" customFormat="1" ht="15.75" x14ac:dyDescent="0.25">
      <c r="A498" s="259"/>
      <c r="B498" s="260"/>
      <c r="C498" s="19"/>
      <c r="D498" s="34"/>
      <c r="E498" s="13">
        <v>45142</v>
      </c>
      <c r="F498" s="352">
        <v>1949327591</v>
      </c>
      <c r="G498" s="261" t="s">
        <v>11828</v>
      </c>
      <c r="H498" s="8">
        <v>60000</v>
      </c>
      <c r="J498" s="322"/>
    </row>
    <row r="499" spans="1:10" s="18" customFormat="1" ht="15.75" x14ac:dyDescent="0.25">
      <c r="A499" s="259"/>
      <c r="B499" s="260"/>
      <c r="C499" s="19"/>
      <c r="D499" s="34"/>
      <c r="E499" s="13">
        <v>45145</v>
      </c>
      <c r="F499" s="352">
        <v>1949327592</v>
      </c>
      <c r="G499" s="261" t="s">
        <v>11854</v>
      </c>
      <c r="H499" s="8">
        <v>150000</v>
      </c>
      <c r="J499" s="322"/>
    </row>
    <row r="500" spans="1:10" s="18" customFormat="1" ht="15.75" x14ac:dyDescent="0.25">
      <c r="A500" s="259"/>
      <c r="B500" s="260"/>
      <c r="C500" s="19"/>
      <c r="D500" s="34"/>
      <c r="E500" s="13">
        <v>45145</v>
      </c>
      <c r="F500" s="352">
        <v>1949327593</v>
      </c>
      <c r="G500" s="261" t="s">
        <v>11853</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11918</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11963</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11964</v>
      </c>
      <c r="H514" s="8">
        <v>100000</v>
      </c>
      <c r="J514" s="322"/>
    </row>
    <row r="515" spans="1:10" s="18" customFormat="1" ht="15.75" x14ac:dyDescent="0.25">
      <c r="A515" s="259"/>
      <c r="B515" s="260"/>
      <c r="C515" s="19"/>
      <c r="D515" s="34"/>
      <c r="E515" s="13">
        <v>45156</v>
      </c>
      <c r="F515" s="352">
        <v>1949327608</v>
      </c>
      <c r="G515" s="261" t="s">
        <v>11965</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11966</v>
      </c>
      <c r="H517" s="8">
        <v>0</v>
      </c>
      <c r="I517" s="18">
        <v>5516351</v>
      </c>
      <c r="J517" s="322"/>
    </row>
    <row r="518" spans="1:10" s="18" customFormat="1" ht="15.75" x14ac:dyDescent="0.25">
      <c r="A518" s="259"/>
      <c r="B518" s="260"/>
      <c r="C518" s="19"/>
      <c r="D518" s="34"/>
      <c r="E518" s="13">
        <v>45156</v>
      </c>
      <c r="F518" s="352">
        <v>1949327611</v>
      </c>
      <c r="G518" s="379" t="s">
        <v>11966</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11989</v>
      </c>
      <c r="H520" s="8">
        <v>46950</v>
      </c>
      <c r="J520" s="322"/>
    </row>
    <row r="521" spans="1:10" s="18" customFormat="1" ht="15.75" x14ac:dyDescent="0.25">
      <c r="A521" s="259"/>
      <c r="B521" s="260"/>
      <c r="C521" s="19"/>
      <c r="D521" s="34"/>
      <c r="E521" s="13">
        <v>45161</v>
      </c>
      <c r="F521" s="352">
        <v>1949327614</v>
      </c>
      <c r="G521" s="261" t="s">
        <v>11992</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11799</v>
      </c>
      <c r="H523" s="8">
        <v>200000</v>
      </c>
      <c r="J523" s="322"/>
    </row>
    <row r="524" spans="1:10" s="18" customFormat="1" ht="15.75" x14ac:dyDescent="0.25">
      <c r="A524" s="259"/>
      <c r="B524" s="260"/>
      <c r="C524" s="19"/>
      <c r="D524" s="34"/>
      <c r="E524" s="13">
        <v>45164</v>
      </c>
      <c r="F524" s="352">
        <v>1949327617</v>
      </c>
      <c r="G524" s="261" t="s">
        <v>11459</v>
      </c>
      <c r="H524" s="8">
        <v>150000</v>
      </c>
      <c r="J524" s="322"/>
    </row>
    <row r="525" spans="1:10" s="18" customFormat="1" ht="15.75" x14ac:dyDescent="0.25">
      <c r="A525" s="259"/>
      <c r="B525" s="260"/>
      <c r="C525" s="19"/>
      <c r="D525" s="34"/>
      <c r="E525" s="13">
        <v>45164</v>
      </c>
      <c r="F525" s="352">
        <v>1949327618</v>
      </c>
      <c r="G525" s="261" t="s">
        <v>11459</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12022</v>
      </c>
      <c r="H527" s="8">
        <v>336000</v>
      </c>
      <c r="I527" s="18" t="s">
        <v>9431</v>
      </c>
      <c r="J527" s="322"/>
    </row>
    <row r="528" spans="1:10" s="18" customFormat="1" ht="15.75" x14ac:dyDescent="0.25">
      <c r="A528" s="259"/>
      <c r="B528" s="260"/>
      <c r="C528" s="19"/>
      <c r="D528" s="34"/>
      <c r="E528" s="13">
        <v>45167</v>
      </c>
      <c r="F528" s="352">
        <v>1958702576</v>
      </c>
      <c r="G528" s="261" t="s">
        <v>12023</v>
      </c>
      <c r="H528" s="8">
        <v>40000</v>
      </c>
      <c r="J528" s="322"/>
    </row>
    <row r="529" spans="1:10" s="18" customFormat="1" ht="15.75" x14ac:dyDescent="0.25">
      <c r="A529" s="259"/>
      <c r="B529" s="260"/>
      <c r="C529" s="19"/>
      <c r="D529" s="34"/>
      <c r="E529" s="13">
        <v>45167</v>
      </c>
      <c r="F529" s="352">
        <v>1958702577</v>
      </c>
      <c r="G529" s="261" t="s">
        <v>12024</v>
      </c>
      <c r="H529" s="8">
        <v>500000</v>
      </c>
      <c r="J529" s="322"/>
    </row>
    <row r="530" spans="1:10" s="18" customFormat="1" ht="15.75" x14ac:dyDescent="0.25">
      <c r="A530" s="259"/>
      <c r="B530" s="260"/>
      <c r="C530" s="19"/>
      <c r="D530" s="34"/>
      <c r="E530" s="13">
        <v>45167</v>
      </c>
      <c r="F530" s="352">
        <v>1958702578</v>
      </c>
      <c r="G530" s="261" t="s">
        <v>12040</v>
      </c>
      <c r="H530" s="8">
        <v>500000</v>
      </c>
      <c r="J530" s="322"/>
    </row>
    <row r="531" spans="1:10" s="18" customFormat="1" ht="15.75" x14ac:dyDescent="0.25">
      <c r="A531" s="259"/>
      <c r="B531" s="260"/>
      <c r="C531" s="19"/>
      <c r="D531" s="34"/>
      <c r="E531" s="13">
        <v>45168</v>
      </c>
      <c r="F531" s="352">
        <v>1958702579</v>
      </c>
      <c r="G531" s="261" t="s">
        <v>12024</v>
      </c>
      <c r="H531" s="8">
        <v>250000</v>
      </c>
      <c r="J531" s="322"/>
    </row>
    <row r="532" spans="1:10" s="18" customFormat="1" ht="15.75" x14ac:dyDescent="0.25">
      <c r="A532" s="259"/>
      <c r="B532" s="260"/>
      <c r="C532" s="19"/>
      <c r="D532" s="34"/>
      <c r="E532" s="13">
        <v>45168</v>
      </c>
      <c r="F532" s="352">
        <v>1958702580</v>
      </c>
      <c r="G532" s="261" t="s">
        <v>12024</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11756</v>
      </c>
      <c r="H534" s="8">
        <v>150000</v>
      </c>
      <c r="J534" s="322"/>
    </row>
    <row r="535" spans="1:10" s="18" customFormat="1" ht="15.75" x14ac:dyDescent="0.25">
      <c r="A535" s="259"/>
      <c r="B535" s="260"/>
      <c r="C535" s="19"/>
      <c r="D535" s="34"/>
      <c r="E535" s="13">
        <v>45168</v>
      </c>
      <c r="F535" s="352">
        <v>1958702583</v>
      </c>
      <c r="G535" s="261" t="s">
        <v>12041</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11854</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12316</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11964</v>
      </c>
      <c r="H553" s="8">
        <v>200000</v>
      </c>
      <c r="J553" s="322"/>
    </row>
    <row r="554" spans="1:10" s="18" customFormat="1" ht="15.75" x14ac:dyDescent="0.25">
      <c r="A554" s="259"/>
      <c r="B554" s="260"/>
      <c r="C554" s="19"/>
      <c r="D554" s="34"/>
      <c r="E554" s="13">
        <v>45208</v>
      </c>
      <c r="F554" s="352">
        <v>1958702602</v>
      </c>
      <c r="G554" s="261" t="s">
        <v>11964</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12415</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12386</v>
      </c>
      <c r="H563" s="8">
        <v>130000</v>
      </c>
      <c r="J563" s="322"/>
    </row>
    <row r="564" spans="1:10" s="18" customFormat="1" ht="15.75" x14ac:dyDescent="0.25">
      <c r="A564" s="259"/>
      <c r="B564" s="260"/>
      <c r="C564" s="19"/>
      <c r="D564" s="34"/>
      <c r="E564" s="13">
        <v>45217</v>
      </c>
      <c r="F564" s="352">
        <v>1958702612</v>
      </c>
      <c r="G564" s="261" t="s">
        <v>12417</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12450</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12451</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12476</v>
      </c>
      <c r="H571" s="8">
        <v>118301</v>
      </c>
      <c r="J571" s="322"/>
    </row>
    <row r="572" spans="1:10" s="18" customFormat="1" ht="15.75" x14ac:dyDescent="0.25">
      <c r="A572" s="259"/>
      <c r="B572" s="260"/>
      <c r="C572" s="19"/>
      <c r="D572" s="34"/>
      <c r="E572" s="13">
        <v>45227</v>
      </c>
      <c r="F572" s="352">
        <v>1958702620</v>
      </c>
      <c r="G572" s="261" t="s">
        <v>12489</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12490</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11634</v>
      </c>
      <c r="C584" s="19">
        <v>188568</v>
      </c>
      <c r="D584" s="34"/>
      <c r="E584" s="13">
        <v>45233</v>
      </c>
      <c r="F584" s="352">
        <v>1968625802</v>
      </c>
      <c r="G584" s="261" t="s">
        <v>12518</v>
      </c>
      <c r="H584" s="8">
        <v>400000</v>
      </c>
      <c r="J584" s="322"/>
    </row>
    <row r="585" spans="1:10" s="18" customFormat="1" ht="15.75" x14ac:dyDescent="0.25">
      <c r="A585" s="13">
        <v>45068</v>
      </c>
      <c r="B585" s="260" t="s">
        <v>11204</v>
      </c>
      <c r="C585" s="19">
        <v>337081</v>
      </c>
      <c r="D585" s="34"/>
      <c r="E585" s="13">
        <v>45233</v>
      </c>
      <c r="F585" s="352">
        <v>1968625803</v>
      </c>
      <c r="G585" s="261" t="s">
        <v>12518</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11635</v>
      </c>
      <c r="C587" s="19">
        <v>188568</v>
      </c>
      <c r="D587" s="34"/>
      <c r="E587" s="13">
        <v>45236</v>
      </c>
      <c r="F587" s="352">
        <v>1968625805</v>
      </c>
      <c r="G587" s="261" t="s">
        <v>11964</v>
      </c>
      <c r="H587" s="8">
        <v>225000</v>
      </c>
      <c r="J587" s="322"/>
    </row>
    <row r="588" spans="1:10" s="18" customFormat="1" ht="15.75" x14ac:dyDescent="0.25">
      <c r="A588" s="13">
        <v>45097</v>
      </c>
      <c r="B588" s="260" t="s">
        <v>11457</v>
      </c>
      <c r="C588" s="19">
        <v>4630960.1100000003</v>
      </c>
      <c r="D588" s="34"/>
      <c r="E588" s="13">
        <v>45236</v>
      </c>
      <c r="F588" s="352">
        <v>1968625806</v>
      </c>
      <c r="G588" s="261" t="s">
        <v>12594</v>
      </c>
      <c r="H588" s="8">
        <v>350000</v>
      </c>
      <c r="J588" s="322"/>
    </row>
    <row r="589" spans="1:10" s="18" customFormat="1" ht="15.75" x14ac:dyDescent="0.25">
      <c r="A589" s="13">
        <v>45097</v>
      </c>
      <c r="B589" s="260" t="s">
        <v>11458</v>
      </c>
      <c r="C589" s="19">
        <v>468596.31</v>
      </c>
      <c r="D589" s="34"/>
      <c r="E589" s="13">
        <v>45236</v>
      </c>
      <c r="F589" s="352">
        <v>1968625807</v>
      </c>
      <c r="G589" s="261" t="s">
        <v>12594</v>
      </c>
      <c r="H589" s="8">
        <v>350000</v>
      </c>
      <c r="J589" s="322"/>
    </row>
    <row r="590" spans="1:10" s="18" customFormat="1" ht="15.75" x14ac:dyDescent="0.25">
      <c r="A590" s="13">
        <v>45101</v>
      </c>
      <c r="B590" s="260" t="s">
        <v>11499</v>
      </c>
      <c r="C590" s="19">
        <v>363834</v>
      </c>
      <c r="D590" s="34"/>
      <c r="E590" s="13">
        <v>45236</v>
      </c>
      <c r="F590" s="352">
        <v>1968625808</v>
      </c>
      <c r="G590" s="261" t="s">
        <v>25</v>
      </c>
      <c r="H590" s="8">
        <v>300000</v>
      </c>
      <c r="J590" s="322"/>
    </row>
    <row r="591" spans="1:10" s="18" customFormat="1" ht="15.75" x14ac:dyDescent="0.25">
      <c r="A591" s="13">
        <v>45104</v>
      </c>
      <c r="B591" s="260" t="s">
        <v>11537</v>
      </c>
      <c r="C591" s="19">
        <v>3172324</v>
      </c>
      <c r="D591" s="34"/>
      <c r="E591" s="13">
        <v>45237</v>
      </c>
      <c r="F591" s="352">
        <v>1968625809</v>
      </c>
      <c r="G591" s="261" t="s">
        <v>25</v>
      </c>
      <c r="H591" s="8">
        <v>100000</v>
      </c>
      <c r="J591" s="322"/>
    </row>
    <row r="592" spans="1:10" s="18" customFormat="1" ht="15.75" x14ac:dyDescent="0.25">
      <c r="A592" s="13">
        <v>45118</v>
      </c>
      <c r="B592" s="260" t="s">
        <v>11615</v>
      </c>
      <c r="C592" s="19">
        <v>359992</v>
      </c>
      <c r="D592" s="34"/>
      <c r="E592" s="13">
        <v>45243</v>
      </c>
      <c r="F592" s="352">
        <v>1968625810</v>
      </c>
      <c r="G592" s="261" t="s">
        <v>12606</v>
      </c>
      <c r="H592" s="8">
        <v>300000</v>
      </c>
      <c r="J592" s="322"/>
    </row>
    <row r="593" spans="1:10" s="18" customFormat="1" ht="15.75" x14ac:dyDescent="0.25">
      <c r="A593" s="13">
        <v>45119</v>
      </c>
      <c r="B593" s="260" t="s">
        <v>11636</v>
      </c>
      <c r="C593" s="19">
        <v>188568</v>
      </c>
      <c r="D593" s="34"/>
      <c r="E593" s="13">
        <v>45243</v>
      </c>
      <c r="F593" s="352">
        <v>1968625811</v>
      </c>
      <c r="G593" s="261" t="s">
        <v>11756</v>
      </c>
      <c r="H593" s="8">
        <v>100000</v>
      </c>
      <c r="J593" s="322"/>
    </row>
    <row r="594" spans="1:10" s="18" customFormat="1" ht="15.75" x14ac:dyDescent="0.25">
      <c r="A594" s="13">
        <v>45120</v>
      </c>
      <c r="B594" s="260" t="s">
        <v>11662</v>
      </c>
      <c r="C594" s="19">
        <v>337081</v>
      </c>
      <c r="D594" s="34"/>
      <c r="E594" s="13">
        <v>45243</v>
      </c>
      <c r="F594" s="352">
        <v>1968625812</v>
      </c>
      <c r="G594" s="261" t="s">
        <v>25</v>
      </c>
      <c r="H594" s="8">
        <v>300000</v>
      </c>
      <c r="J594" s="322"/>
    </row>
    <row r="595" spans="1:10" s="18" customFormat="1" ht="15.75" x14ac:dyDescent="0.25">
      <c r="A595" s="13">
        <v>45149</v>
      </c>
      <c r="B595" s="260" t="s">
        <v>11885</v>
      </c>
      <c r="C595" s="19">
        <v>10150085</v>
      </c>
      <c r="D595" s="34"/>
      <c r="E595" s="13">
        <v>45243</v>
      </c>
      <c r="F595" s="352">
        <v>1968625813</v>
      </c>
      <c r="G595" s="261" t="s">
        <v>10745</v>
      </c>
      <c r="H595" s="8">
        <v>200000</v>
      </c>
      <c r="J595" s="322"/>
    </row>
    <row r="596" spans="1:10" s="18" customFormat="1" ht="15.75" x14ac:dyDescent="0.25">
      <c r="A596" s="13">
        <v>45149</v>
      </c>
      <c r="B596" s="260" t="s">
        <v>11890</v>
      </c>
      <c r="C596" s="19">
        <v>333522</v>
      </c>
      <c r="D596" s="34"/>
      <c r="E596" s="13">
        <v>45243</v>
      </c>
      <c r="F596" s="352">
        <v>1968625814</v>
      </c>
      <c r="G596" s="261" t="s">
        <v>3554</v>
      </c>
      <c r="H596" s="8">
        <v>100000</v>
      </c>
      <c r="J596" s="322"/>
    </row>
    <row r="597" spans="1:10" s="18" customFormat="1" ht="15.75" x14ac:dyDescent="0.25">
      <c r="A597" s="13">
        <v>45149</v>
      </c>
      <c r="B597" s="260" t="s">
        <v>11892</v>
      </c>
      <c r="C597" s="19">
        <v>359992</v>
      </c>
      <c r="D597" s="34"/>
      <c r="E597" s="13">
        <v>45243</v>
      </c>
      <c r="F597" s="352">
        <v>1968625815</v>
      </c>
      <c r="G597" s="261" t="s">
        <v>12607</v>
      </c>
      <c r="H597" s="8">
        <v>300000</v>
      </c>
      <c r="J597" s="322"/>
    </row>
    <row r="598" spans="1:10" s="18" customFormat="1" ht="15.75" x14ac:dyDescent="0.25">
      <c r="A598" s="13">
        <v>45178</v>
      </c>
      <c r="B598" s="260" t="s">
        <v>12101</v>
      </c>
      <c r="C598" s="19">
        <v>359992</v>
      </c>
      <c r="D598" s="34"/>
      <c r="E598" s="13">
        <v>45244</v>
      </c>
      <c r="F598" s="352">
        <v>1968625816</v>
      </c>
      <c r="G598" s="261" t="s">
        <v>12594</v>
      </c>
      <c r="H598" s="8">
        <v>350000</v>
      </c>
      <c r="J598" s="322"/>
    </row>
    <row r="599" spans="1:10" s="18" customFormat="1" ht="15.75" x14ac:dyDescent="0.25">
      <c r="A599" s="13">
        <v>45191</v>
      </c>
      <c r="B599" s="260" t="s">
        <v>12198</v>
      </c>
      <c r="C599" s="19">
        <v>333522</v>
      </c>
      <c r="D599" s="34"/>
      <c r="E599" s="13">
        <v>45244</v>
      </c>
      <c r="F599" s="352">
        <v>1968625817</v>
      </c>
      <c r="G599" s="261" t="s">
        <v>12594</v>
      </c>
      <c r="H599" s="8">
        <v>350000</v>
      </c>
      <c r="J599" s="322"/>
    </row>
    <row r="600" spans="1:10" s="18" customFormat="1" ht="15.75" x14ac:dyDescent="0.25">
      <c r="A600" s="13">
        <v>45208</v>
      </c>
      <c r="B600" s="260" t="s">
        <v>12320</v>
      </c>
      <c r="C600" s="19">
        <v>333522</v>
      </c>
      <c r="D600" s="34"/>
      <c r="E600" s="13">
        <v>45244</v>
      </c>
      <c r="F600" s="352">
        <v>1968625818</v>
      </c>
      <c r="G600" s="261" t="s">
        <v>12688</v>
      </c>
      <c r="H600" s="8">
        <v>500000</v>
      </c>
      <c r="J600" s="322"/>
    </row>
    <row r="601" spans="1:10" s="18" customFormat="1" ht="15.75" x14ac:dyDescent="0.25">
      <c r="A601" s="13">
        <v>45209</v>
      </c>
      <c r="B601" s="260" t="s">
        <v>12334</v>
      </c>
      <c r="C601" s="19">
        <v>3144567</v>
      </c>
      <c r="D601" s="34"/>
      <c r="E601" s="13">
        <v>45244</v>
      </c>
      <c r="F601" s="352">
        <v>1968625819</v>
      </c>
      <c r="G601" s="261" t="s">
        <v>12688</v>
      </c>
      <c r="H601" s="8">
        <v>500000</v>
      </c>
      <c r="J601" s="322"/>
    </row>
    <row r="602" spans="1:10" s="18" customFormat="1" ht="15.75" x14ac:dyDescent="0.25">
      <c r="A602" s="13">
        <v>45216</v>
      </c>
      <c r="B602" s="260" t="s">
        <v>12384</v>
      </c>
      <c r="C602" s="19">
        <v>359992</v>
      </c>
      <c r="D602" s="34"/>
      <c r="E602" s="13">
        <v>45244</v>
      </c>
      <c r="F602" s="352">
        <v>1968625820</v>
      </c>
      <c r="G602" s="261" t="s">
        <v>12688</v>
      </c>
      <c r="H602" s="8">
        <v>500000</v>
      </c>
      <c r="J602" s="322"/>
    </row>
    <row r="603" spans="1:10" s="18" customFormat="1" ht="15.75" x14ac:dyDescent="0.25">
      <c r="A603" s="13">
        <v>45216</v>
      </c>
      <c r="B603" s="260" t="s">
        <v>12385</v>
      </c>
      <c r="C603" s="19">
        <v>8710033</v>
      </c>
      <c r="D603" s="34"/>
      <c r="E603" s="13">
        <v>45244</v>
      </c>
      <c r="F603" s="352">
        <v>1968625821</v>
      </c>
      <c r="G603" s="261" t="s">
        <v>12689</v>
      </c>
      <c r="H603" s="8">
        <v>5106241</v>
      </c>
      <c r="I603" s="18" t="s">
        <v>12693</v>
      </c>
      <c r="J603" s="322"/>
    </row>
    <row r="604" spans="1:10" s="18" customFormat="1" ht="15.75" x14ac:dyDescent="0.25">
      <c r="A604" s="13">
        <v>45225</v>
      </c>
      <c r="B604" s="260" t="s">
        <v>12453</v>
      </c>
      <c r="C604" s="19">
        <v>16172173</v>
      </c>
      <c r="D604" s="34"/>
      <c r="E604" s="13">
        <v>45244</v>
      </c>
      <c r="F604" s="352">
        <v>1968625822</v>
      </c>
      <c r="G604" s="261" t="s">
        <v>12689</v>
      </c>
      <c r="H604" s="8">
        <v>4806488</v>
      </c>
      <c r="I604" s="18" t="s">
        <v>12693</v>
      </c>
      <c r="J604" s="322"/>
    </row>
    <row r="605" spans="1:10" s="18" customFormat="1" ht="15.75" x14ac:dyDescent="0.25">
      <c r="A605" s="13">
        <v>45238</v>
      </c>
      <c r="B605" s="260" t="s">
        <v>12591</v>
      </c>
      <c r="C605" s="19">
        <v>186430</v>
      </c>
      <c r="D605" s="34"/>
      <c r="E605" s="13">
        <v>45244</v>
      </c>
      <c r="F605" s="352">
        <v>1968625823</v>
      </c>
      <c r="G605" s="261" t="s">
        <v>12690</v>
      </c>
      <c r="H605" s="8">
        <v>1987251</v>
      </c>
      <c r="J605" s="322"/>
    </row>
    <row r="606" spans="1:10" s="18" customFormat="1" ht="15.75" x14ac:dyDescent="0.25">
      <c r="A606" s="13">
        <v>45238</v>
      </c>
      <c r="B606" s="260" t="s">
        <v>12592</v>
      </c>
      <c r="C606" s="19">
        <v>186430</v>
      </c>
      <c r="D606" s="34"/>
      <c r="E606" s="13">
        <v>45244</v>
      </c>
      <c r="F606" s="352">
        <v>1968625824</v>
      </c>
      <c r="G606" s="261" t="s">
        <v>12691</v>
      </c>
      <c r="H606" s="8">
        <v>1500000</v>
      </c>
      <c r="J606" s="322"/>
    </row>
    <row r="607" spans="1:10" s="18" customFormat="1" ht="15.75" x14ac:dyDescent="0.25">
      <c r="A607" s="13">
        <v>45238</v>
      </c>
      <c r="B607" s="260" t="s">
        <v>12593</v>
      </c>
      <c r="C607" s="19">
        <v>186430</v>
      </c>
      <c r="D607" s="34"/>
      <c r="E607" s="13">
        <v>45246</v>
      </c>
      <c r="F607" s="352">
        <v>1968625825</v>
      </c>
      <c r="G607" s="261" t="s">
        <v>5243</v>
      </c>
      <c r="H607" s="8">
        <v>300000</v>
      </c>
      <c r="J607" s="322"/>
    </row>
    <row r="608" spans="1:10" s="18" customFormat="1" ht="15.75" x14ac:dyDescent="0.25">
      <c r="A608" s="13">
        <v>45241</v>
      </c>
      <c r="B608" s="260" t="s">
        <v>12590</v>
      </c>
      <c r="C608" s="19">
        <v>359992</v>
      </c>
      <c r="D608" s="34"/>
      <c r="E608" s="13">
        <v>45246</v>
      </c>
      <c r="F608" s="352">
        <v>1968625826</v>
      </c>
      <c r="G608" s="261" t="s">
        <v>5243</v>
      </c>
      <c r="H608" s="8">
        <v>197000</v>
      </c>
      <c r="J608" s="322"/>
    </row>
    <row r="609" spans="1:11" s="18" customFormat="1" ht="15.75" x14ac:dyDescent="0.25">
      <c r="A609" s="13">
        <v>45260</v>
      </c>
      <c r="B609" s="593" t="s">
        <v>12726</v>
      </c>
      <c r="C609" s="8">
        <v>333522</v>
      </c>
      <c r="D609" s="34"/>
      <c r="E609" s="13">
        <v>45246</v>
      </c>
      <c r="F609" s="352">
        <v>1968625827</v>
      </c>
      <c r="G609" s="261" t="s">
        <v>12594</v>
      </c>
      <c r="H609" s="8">
        <v>500000</v>
      </c>
      <c r="J609" s="322"/>
    </row>
    <row r="610" spans="1:11" s="18" customFormat="1" ht="15.75" x14ac:dyDescent="0.25">
      <c r="A610" s="13">
        <v>45272</v>
      </c>
      <c r="B610" s="260" t="s">
        <v>12788</v>
      </c>
      <c r="C610" s="19">
        <v>359992</v>
      </c>
      <c r="D610" s="34"/>
      <c r="E610" s="13">
        <v>45246</v>
      </c>
      <c r="F610" s="352">
        <v>1968625828</v>
      </c>
      <c r="G610" s="261" t="s">
        <v>12594</v>
      </c>
      <c r="H610" s="8">
        <v>500000</v>
      </c>
      <c r="J610" s="322"/>
    </row>
    <row r="611" spans="1:11" s="18" customFormat="1" ht="15.75" x14ac:dyDescent="0.25">
      <c r="A611" s="13">
        <v>45286</v>
      </c>
      <c r="B611" s="593" t="s">
        <v>12862</v>
      </c>
      <c r="C611" s="8">
        <v>333522</v>
      </c>
      <c r="D611" s="34"/>
      <c r="E611" s="13">
        <v>45246</v>
      </c>
      <c r="F611" s="352">
        <v>1968625829</v>
      </c>
      <c r="G611" s="261"/>
      <c r="H611" s="8"/>
      <c r="J611" s="322"/>
    </row>
    <row r="612" spans="1:11" s="18" customFormat="1" ht="15.75" x14ac:dyDescent="0.25">
      <c r="A612" s="13">
        <v>45287</v>
      </c>
      <c r="B612" s="260" t="s">
        <v>12885</v>
      </c>
      <c r="C612" s="19">
        <v>561910</v>
      </c>
      <c r="D612" s="34"/>
      <c r="E612" s="13">
        <v>45247</v>
      </c>
      <c r="F612" s="352">
        <v>1968625830</v>
      </c>
      <c r="G612" s="261" t="s">
        <v>8128</v>
      </c>
      <c r="H612" s="8">
        <v>58000</v>
      </c>
      <c r="J612" s="322"/>
    </row>
    <row r="613" spans="1:11" s="18" customFormat="1" ht="15.75" x14ac:dyDescent="0.25">
      <c r="A613" s="13">
        <v>45287</v>
      </c>
      <c r="B613" s="260" t="s">
        <v>12886</v>
      </c>
      <c r="C613" s="19">
        <v>112665</v>
      </c>
      <c r="D613" s="34"/>
      <c r="E613" s="13">
        <v>45247</v>
      </c>
      <c r="F613" s="352">
        <v>1968625831</v>
      </c>
      <c r="G613" s="261" t="s">
        <v>12692</v>
      </c>
      <c r="H613" s="8">
        <v>107000</v>
      </c>
      <c r="J613" s="322"/>
    </row>
    <row r="614" spans="1:11" s="18" customFormat="1" ht="15.75" x14ac:dyDescent="0.25">
      <c r="A614" s="13">
        <v>45289</v>
      </c>
      <c r="B614" s="260" t="s">
        <v>12943</v>
      </c>
      <c r="C614" s="19">
        <v>369964</v>
      </c>
      <c r="D614" s="34"/>
      <c r="E614" s="13">
        <v>45251</v>
      </c>
      <c r="F614" s="352">
        <v>1968625832</v>
      </c>
      <c r="G614" s="261" t="s">
        <v>9771</v>
      </c>
      <c r="H614" s="8">
        <v>200000</v>
      </c>
      <c r="J614" s="322"/>
    </row>
    <row r="615" spans="1:11" s="18" customFormat="1" ht="15.75" x14ac:dyDescent="0.25">
      <c r="A615" s="13">
        <v>45295</v>
      </c>
      <c r="B615" s="260" t="s">
        <v>12944</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11799</v>
      </c>
      <c r="H616" s="8">
        <v>120000</v>
      </c>
      <c r="J616" s="322"/>
    </row>
    <row r="617" spans="1:11" s="18" customFormat="1" ht="15.75" x14ac:dyDescent="0.25">
      <c r="A617" s="13">
        <v>45307</v>
      </c>
      <c r="B617" s="260" t="s">
        <v>10009</v>
      </c>
      <c r="C617" s="19">
        <v>467659</v>
      </c>
      <c r="D617" s="34"/>
      <c r="E617" s="13">
        <v>45254</v>
      </c>
      <c r="F617" s="352">
        <v>1968625835</v>
      </c>
      <c r="G617" s="261" t="s">
        <v>12722</v>
      </c>
      <c r="H617" s="8">
        <v>130000</v>
      </c>
      <c r="J617" s="322"/>
    </row>
    <row r="618" spans="1:11" s="18" customFormat="1" ht="15.75" x14ac:dyDescent="0.25">
      <c r="A618" s="13">
        <v>45307</v>
      </c>
      <c r="B618" s="260" t="s">
        <v>13064</v>
      </c>
      <c r="C618" s="19">
        <v>359992</v>
      </c>
      <c r="D618" s="34"/>
      <c r="E618" s="13">
        <v>45258</v>
      </c>
      <c r="F618" s="352">
        <v>1968625836</v>
      </c>
      <c r="G618" s="261" t="s">
        <v>11853</v>
      </c>
      <c r="H618" s="8">
        <v>40000</v>
      </c>
      <c r="J618" s="322"/>
    </row>
    <row r="619" spans="1:11" s="18" customFormat="1" ht="15.75" x14ac:dyDescent="0.25">
      <c r="A619" s="13">
        <v>45315</v>
      </c>
      <c r="B619" s="260" t="s">
        <v>10009</v>
      </c>
      <c r="C619" s="19">
        <v>1013457</v>
      </c>
      <c r="D619" s="34"/>
      <c r="E619" s="13">
        <v>45258</v>
      </c>
      <c r="F619" s="352">
        <v>1968625837</v>
      </c>
      <c r="G619" s="261" t="s">
        <v>12723</v>
      </c>
      <c r="H619" s="8">
        <v>98103</v>
      </c>
      <c r="J619" s="322"/>
    </row>
    <row r="620" spans="1:11" s="18" customFormat="1" ht="15.75" x14ac:dyDescent="0.25">
      <c r="A620" s="13">
        <v>45324</v>
      </c>
      <c r="B620" s="593" t="s">
        <v>13213</v>
      </c>
      <c r="C620" s="8">
        <v>246087</v>
      </c>
      <c r="D620" s="34"/>
      <c r="E620" s="13">
        <v>45258</v>
      </c>
      <c r="F620" s="352">
        <v>1968625838</v>
      </c>
      <c r="G620" s="261" t="s">
        <v>9551</v>
      </c>
      <c r="H620" s="604">
        <f>49000+39300+11700</f>
        <v>100000</v>
      </c>
      <c r="J620" s="322"/>
    </row>
    <row r="621" spans="1:11" s="18" customFormat="1" ht="15.75" x14ac:dyDescent="0.25">
      <c r="A621" s="13">
        <v>45324</v>
      </c>
      <c r="B621" s="260" t="s">
        <v>13214</v>
      </c>
      <c r="C621" s="19">
        <v>246087</v>
      </c>
      <c r="D621" s="34"/>
      <c r="E621" s="13">
        <v>45258</v>
      </c>
      <c r="F621" s="352">
        <v>1968625839</v>
      </c>
      <c r="G621" s="261" t="s">
        <v>11159</v>
      </c>
      <c r="H621" s="604">
        <v>100000</v>
      </c>
      <c r="J621" s="322"/>
      <c r="K621" s="322"/>
    </row>
    <row r="622" spans="1:11" s="18" customFormat="1" ht="15.75" x14ac:dyDescent="0.25">
      <c r="A622" s="13">
        <v>45324</v>
      </c>
      <c r="B622" s="260" t="s">
        <v>13215</v>
      </c>
      <c r="C622" s="19">
        <v>246087</v>
      </c>
      <c r="D622" s="34"/>
      <c r="E622" s="13">
        <v>45258</v>
      </c>
      <c r="F622" s="352">
        <v>1968625840</v>
      </c>
      <c r="G622" s="261" t="s">
        <v>9552</v>
      </c>
      <c r="H622" s="604">
        <v>100000</v>
      </c>
      <c r="J622" s="322"/>
      <c r="K622" s="322"/>
    </row>
    <row r="623" spans="1:11" s="18" customFormat="1" ht="15.75" x14ac:dyDescent="0.25">
      <c r="A623" s="13">
        <v>45324</v>
      </c>
      <c r="B623" s="260" t="s">
        <v>13216</v>
      </c>
      <c r="C623" s="19">
        <v>178973</v>
      </c>
      <c r="D623" s="34"/>
      <c r="E623" s="13">
        <v>45258</v>
      </c>
      <c r="F623" s="352">
        <v>1968625841</v>
      </c>
      <c r="G623" s="261" t="s">
        <v>9747</v>
      </c>
      <c r="H623" s="8">
        <v>80000</v>
      </c>
      <c r="J623" s="322"/>
    </row>
    <row r="624" spans="1:11" s="18" customFormat="1" ht="15.75" x14ac:dyDescent="0.25">
      <c r="A624" s="13">
        <v>45329</v>
      </c>
      <c r="B624" s="593" t="s">
        <v>13217</v>
      </c>
      <c r="C624" s="8">
        <v>677861</v>
      </c>
      <c r="D624" s="34"/>
      <c r="E624" s="13">
        <v>45264</v>
      </c>
      <c r="F624" s="352">
        <v>1968625842</v>
      </c>
      <c r="G624" s="261" t="s">
        <v>12606</v>
      </c>
      <c r="H624" s="8">
        <v>250000</v>
      </c>
      <c r="J624" s="322"/>
    </row>
    <row r="625" spans="1:10" s="18" customFormat="1" ht="15.75" x14ac:dyDescent="0.25">
      <c r="A625" s="13">
        <v>45332</v>
      </c>
      <c r="B625" s="593" t="s">
        <v>13212</v>
      </c>
      <c r="C625" s="8">
        <v>333522</v>
      </c>
      <c r="D625" s="34"/>
      <c r="E625" s="13">
        <v>45264</v>
      </c>
      <c r="F625" s="352">
        <v>1968625843</v>
      </c>
      <c r="G625" s="261" t="s">
        <v>12766</v>
      </c>
      <c r="H625" s="8">
        <v>500000</v>
      </c>
      <c r="J625" s="322"/>
    </row>
    <row r="626" spans="1:10" s="18" customFormat="1" ht="15.75" x14ac:dyDescent="0.25">
      <c r="A626" s="13">
        <v>45344</v>
      </c>
      <c r="B626" s="260" t="s">
        <v>13302</v>
      </c>
      <c r="C626" s="19">
        <v>246087</v>
      </c>
      <c r="D626" s="34"/>
      <c r="E626" s="13">
        <v>45268</v>
      </c>
      <c r="F626" s="352">
        <v>1968625844</v>
      </c>
      <c r="G626" s="261" t="s">
        <v>12797</v>
      </c>
      <c r="H626" s="8">
        <v>250000</v>
      </c>
      <c r="J626" s="322"/>
    </row>
    <row r="627" spans="1:10" s="18" customFormat="1" ht="15.75" x14ac:dyDescent="0.25">
      <c r="A627" s="13">
        <v>45336</v>
      </c>
      <c r="B627" s="260" t="s">
        <v>13337</v>
      </c>
      <c r="C627" s="19">
        <v>359992</v>
      </c>
      <c r="D627" s="34"/>
      <c r="E627" s="13">
        <v>45273</v>
      </c>
      <c r="F627" s="352">
        <v>1973738845</v>
      </c>
      <c r="G627" s="261" t="s">
        <v>2219</v>
      </c>
      <c r="H627" s="8">
        <v>83858</v>
      </c>
      <c r="I627" s="18" t="s">
        <v>9431</v>
      </c>
      <c r="J627" s="322"/>
    </row>
    <row r="628" spans="1:10" s="18" customFormat="1" ht="15.75" x14ac:dyDescent="0.25">
      <c r="A628" s="13">
        <v>45359</v>
      </c>
      <c r="B628" s="260" t="s">
        <v>13377</v>
      </c>
      <c r="C628" s="19">
        <v>8053923</v>
      </c>
      <c r="D628" s="34"/>
      <c r="E628" s="13">
        <v>45273</v>
      </c>
      <c r="F628" s="352">
        <v>1973738846</v>
      </c>
      <c r="G628" s="261" t="s">
        <v>11964</v>
      </c>
      <c r="H628" s="8">
        <v>150000</v>
      </c>
      <c r="J628" s="322"/>
    </row>
    <row r="629" spans="1:10" s="18" customFormat="1" ht="15.75" x14ac:dyDescent="0.25">
      <c r="A629" s="13">
        <v>45359</v>
      </c>
      <c r="B629" s="260" t="s">
        <v>13448</v>
      </c>
      <c r="C629" s="19">
        <v>359992</v>
      </c>
      <c r="D629" s="34"/>
      <c r="E629" s="13">
        <v>45273</v>
      </c>
      <c r="F629" s="352">
        <v>1973738847</v>
      </c>
      <c r="G629" s="261" t="s">
        <v>10745</v>
      </c>
      <c r="H629" s="8">
        <v>50000</v>
      </c>
      <c r="J629" s="322"/>
    </row>
    <row r="630" spans="1:10" s="18" customFormat="1" ht="15.75" x14ac:dyDescent="0.25">
      <c r="A630" s="13">
        <v>45381</v>
      </c>
      <c r="B630" s="260" t="s">
        <v>13450</v>
      </c>
      <c r="C630" s="19">
        <v>3840424</v>
      </c>
      <c r="D630" s="34"/>
      <c r="E630" s="13">
        <v>45273</v>
      </c>
      <c r="F630" s="352">
        <v>1973738848</v>
      </c>
      <c r="G630" s="261" t="s">
        <v>12606</v>
      </c>
      <c r="H630" s="8">
        <v>179000</v>
      </c>
      <c r="J630" s="322"/>
    </row>
    <row r="631" spans="1:10" s="18" customFormat="1" ht="15.75" x14ac:dyDescent="0.25">
      <c r="A631" s="13">
        <v>45387</v>
      </c>
      <c r="B631" s="260" t="s">
        <v>13497</v>
      </c>
      <c r="C631" s="19">
        <v>359992</v>
      </c>
      <c r="D631" s="34"/>
      <c r="E631" s="13">
        <v>45281</v>
      </c>
      <c r="F631" s="352">
        <v>1973738849</v>
      </c>
      <c r="G631" s="261" t="s">
        <v>12846</v>
      </c>
      <c r="H631" s="8">
        <v>700000</v>
      </c>
      <c r="J631" s="322"/>
    </row>
    <row r="632" spans="1:10" s="18" customFormat="1" ht="15.75" x14ac:dyDescent="0.25">
      <c r="A632" s="13">
        <v>45421</v>
      </c>
      <c r="B632" s="593" t="s">
        <v>13617</v>
      </c>
      <c r="C632" s="8">
        <v>333522</v>
      </c>
      <c r="D632" s="34"/>
      <c r="E632" s="13">
        <v>45281</v>
      </c>
      <c r="F632" s="352">
        <v>1973738850</v>
      </c>
      <c r="G632" s="261" t="s">
        <v>12846</v>
      </c>
      <c r="H632" s="8">
        <v>700000</v>
      </c>
      <c r="J632" s="322"/>
    </row>
    <row r="633" spans="1:10" s="18" customFormat="1" ht="15.75" x14ac:dyDescent="0.25">
      <c r="A633" s="13">
        <v>45421</v>
      </c>
      <c r="B633" s="593" t="s">
        <v>13618</v>
      </c>
      <c r="C633" s="8">
        <v>333522</v>
      </c>
      <c r="D633" s="34"/>
      <c r="E633" s="13">
        <v>45286</v>
      </c>
      <c r="F633" s="352">
        <v>1973738851</v>
      </c>
      <c r="G633" s="261" t="s">
        <v>5328</v>
      </c>
      <c r="H633" s="8">
        <v>150000</v>
      </c>
      <c r="J633" s="322"/>
    </row>
    <row r="634" spans="1:10" s="18" customFormat="1" ht="15.75" x14ac:dyDescent="0.25">
      <c r="A634" s="13">
        <v>45421</v>
      </c>
      <c r="B634" s="593" t="s">
        <v>13619</v>
      </c>
      <c r="C634" s="8">
        <v>333522</v>
      </c>
      <c r="D634" s="34"/>
      <c r="E634" s="13">
        <v>45292</v>
      </c>
      <c r="F634" s="352">
        <v>1973738852</v>
      </c>
      <c r="G634" s="261" t="s">
        <v>10385</v>
      </c>
      <c r="H634" s="8">
        <v>153000</v>
      </c>
      <c r="J634" s="322"/>
    </row>
    <row r="635" spans="1:10" s="18" customFormat="1" ht="15.75" x14ac:dyDescent="0.25">
      <c r="A635" s="13">
        <v>45422</v>
      </c>
      <c r="B635" s="260" t="s">
        <v>13628</v>
      </c>
      <c r="C635" s="19">
        <v>10328660</v>
      </c>
      <c r="D635" s="34"/>
      <c r="E635" s="13">
        <v>45292</v>
      </c>
      <c r="F635" s="352">
        <v>1973738853</v>
      </c>
      <c r="G635" s="261" t="s">
        <v>10385</v>
      </c>
      <c r="H635" s="8">
        <v>150000</v>
      </c>
      <c r="J635" s="322"/>
    </row>
    <row r="636" spans="1:10" s="18" customFormat="1" ht="15.75" x14ac:dyDescent="0.25">
      <c r="A636" s="13">
        <v>45422</v>
      </c>
      <c r="B636" s="260" t="s">
        <v>13629</v>
      </c>
      <c r="C636" s="19">
        <v>359992</v>
      </c>
      <c r="D636" s="34"/>
      <c r="E636" s="13">
        <v>45293</v>
      </c>
      <c r="F636" s="352">
        <v>1973738854</v>
      </c>
      <c r="G636" s="261" t="s">
        <v>8161</v>
      </c>
      <c r="H636" s="8">
        <v>242000</v>
      </c>
      <c r="J636" s="322"/>
    </row>
    <row r="637" spans="1:10" s="18" customFormat="1" ht="15.75" x14ac:dyDescent="0.25">
      <c r="A637" s="13">
        <v>45441</v>
      </c>
      <c r="B637" s="260" t="s">
        <v>13745</v>
      </c>
      <c r="C637" s="19">
        <v>246087</v>
      </c>
      <c r="D637" s="34"/>
      <c r="E637" s="13">
        <v>45293</v>
      </c>
      <c r="F637" s="352">
        <v>1973738855</v>
      </c>
      <c r="G637" s="261" t="s">
        <v>12907</v>
      </c>
      <c r="H637" s="8">
        <v>110000</v>
      </c>
      <c r="J637" s="322"/>
    </row>
    <row r="638" spans="1:10" s="18" customFormat="1" ht="15.75" x14ac:dyDescent="0.25">
      <c r="A638" s="13">
        <v>45441</v>
      </c>
      <c r="B638" s="260" t="s">
        <v>13746</v>
      </c>
      <c r="C638" s="19">
        <v>246087</v>
      </c>
      <c r="D638" s="34"/>
      <c r="E638" s="13">
        <v>45294</v>
      </c>
      <c r="F638" s="352">
        <v>1973738856</v>
      </c>
      <c r="G638" s="261" t="s">
        <v>2053</v>
      </c>
      <c r="H638" s="8">
        <v>81658</v>
      </c>
      <c r="J638" s="322"/>
    </row>
    <row r="639" spans="1:10" s="18" customFormat="1" ht="15.75" x14ac:dyDescent="0.25">
      <c r="A639" s="13">
        <v>45441</v>
      </c>
      <c r="B639" s="260" t="s">
        <v>13747</v>
      </c>
      <c r="C639" s="19">
        <v>246087</v>
      </c>
      <c r="D639" s="34"/>
      <c r="E639" s="13">
        <v>45300</v>
      </c>
      <c r="F639" s="352">
        <v>1973738857</v>
      </c>
      <c r="G639" s="261" t="s">
        <v>9179</v>
      </c>
      <c r="H639" s="8">
        <v>500000</v>
      </c>
      <c r="J639" s="322"/>
    </row>
    <row r="640" spans="1:10" s="18" customFormat="1" ht="15.75" x14ac:dyDescent="0.25">
      <c r="A640" s="13">
        <v>45444</v>
      </c>
      <c r="B640" s="260" t="s">
        <v>13783</v>
      </c>
      <c r="C640" s="19">
        <v>3456382</v>
      </c>
      <c r="D640" s="34"/>
      <c r="E640" s="13">
        <v>45300</v>
      </c>
      <c r="F640" s="352">
        <v>1973738858</v>
      </c>
      <c r="G640" s="261" t="s">
        <v>9075</v>
      </c>
      <c r="H640" s="8">
        <v>94000</v>
      </c>
      <c r="J640" s="322"/>
    </row>
    <row r="641" spans="1:10" s="18" customFormat="1" ht="15.75" x14ac:dyDescent="0.25">
      <c r="A641" s="13">
        <v>45450</v>
      </c>
      <c r="B641" s="260" t="s">
        <v>13802</v>
      </c>
      <c r="C641" s="19">
        <v>10666429</v>
      </c>
      <c r="D641" s="34"/>
      <c r="E641" s="13">
        <v>45300</v>
      </c>
      <c r="F641" s="352">
        <v>1973738859</v>
      </c>
      <c r="G641" s="261" t="s">
        <v>13062</v>
      </c>
      <c r="H641" s="8">
        <v>72000</v>
      </c>
      <c r="J641" s="322"/>
    </row>
    <row r="642" spans="1:10" s="18" customFormat="1" ht="15.75" x14ac:dyDescent="0.25">
      <c r="A642" s="13">
        <v>45464</v>
      </c>
      <c r="B642" s="260" t="s">
        <v>13876</v>
      </c>
      <c r="C642" s="19">
        <v>359992</v>
      </c>
      <c r="D642" s="34"/>
      <c r="E642" s="13">
        <v>45300</v>
      </c>
      <c r="F642" s="352">
        <v>1973738860</v>
      </c>
      <c r="G642" s="261" t="s">
        <v>13063</v>
      </c>
      <c r="H642" s="8">
        <v>100000</v>
      </c>
      <c r="J642" s="322"/>
    </row>
    <row r="643" spans="1:10" s="18" customFormat="1" ht="15.75" x14ac:dyDescent="0.25">
      <c r="A643" s="13">
        <v>45470</v>
      </c>
      <c r="B643" s="260" t="s">
        <v>13901</v>
      </c>
      <c r="C643" s="19">
        <v>246087</v>
      </c>
      <c r="D643" s="34"/>
      <c r="E643" s="13">
        <v>45300</v>
      </c>
      <c r="F643" s="352">
        <v>1973738861</v>
      </c>
      <c r="G643" s="261" t="s">
        <v>13218</v>
      </c>
      <c r="H643" s="8">
        <v>7831493</v>
      </c>
      <c r="J643" s="322"/>
    </row>
    <row r="644" spans="1:10" s="18" customFormat="1" ht="15.75" x14ac:dyDescent="0.25">
      <c r="A644" s="13">
        <v>45470</v>
      </c>
      <c r="B644" s="260" t="s">
        <v>13914</v>
      </c>
      <c r="C644" s="19">
        <v>1402277</v>
      </c>
      <c r="D644" s="34"/>
      <c r="E644" s="13">
        <v>45318</v>
      </c>
      <c r="F644" s="352">
        <v>1973738862</v>
      </c>
      <c r="G644" s="261" t="s">
        <v>3554</v>
      </c>
      <c r="H644" s="8">
        <v>100000</v>
      </c>
      <c r="J644" s="322"/>
    </row>
    <row r="645" spans="1:10" s="18" customFormat="1" ht="15.75" x14ac:dyDescent="0.25">
      <c r="A645" s="13">
        <v>45470</v>
      </c>
      <c r="B645" s="260" t="s">
        <v>13920</v>
      </c>
      <c r="C645" s="19">
        <v>1904728.8212000001</v>
      </c>
      <c r="D645" s="34"/>
      <c r="E645" s="13">
        <v>45328</v>
      </c>
      <c r="F645" s="352">
        <v>1973738863</v>
      </c>
      <c r="G645" s="261" t="s">
        <v>13219</v>
      </c>
      <c r="H645" s="8">
        <v>330000</v>
      </c>
      <c r="J645" s="322"/>
    </row>
    <row r="646" spans="1:10" s="18" customFormat="1" ht="15.75" x14ac:dyDescent="0.25">
      <c r="A646" s="13">
        <v>45479</v>
      </c>
      <c r="B646" s="593" t="s">
        <v>13978</v>
      </c>
      <c r="C646" s="8">
        <v>333522</v>
      </c>
      <c r="D646" s="34"/>
      <c r="E646" s="13">
        <v>45328</v>
      </c>
      <c r="F646" s="352">
        <v>1973738864</v>
      </c>
      <c r="G646" s="261" t="s">
        <v>13220</v>
      </c>
      <c r="H646" s="8">
        <v>81000</v>
      </c>
      <c r="J646" s="322"/>
    </row>
    <row r="647" spans="1:10" s="18" customFormat="1" ht="15.75" x14ac:dyDescent="0.25">
      <c r="A647" s="13">
        <v>45479</v>
      </c>
      <c r="B647" s="593" t="s">
        <v>13979</v>
      </c>
      <c r="C647" s="8">
        <v>333522</v>
      </c>
      <c r="D647" s="34"/>
      <c r="E647" s="13">
        <v>45328</v>
      </c>
      <c r="F647" s="352">
        <v>1973738865</v>
      </c>
      <c r="G647" s="261" t="s">
        <v>29</v>
      </c>
      <c r="H647" s="8">
        <v>200000</v>
      </c>
      <c r="J647" s="322"/>
    </row>
    <row r="648" spans="1:10" s="18" customFormat="1" ht="15.75" x14ac:dyDescent="0.25">
      <c r="A648" s="13">
        <v>45479</v>
      </c>
      <c r="B648" s="260" t="s">
        <v>13985</v>
      </c>
      <c r="C648" s="19">
        <v>359992</v>
      </c>
      <c r="D648" s="34"/>
      <c r="E648" s="13">
        <v>45328</v>
      </c>
      <c r="F648" s="352">
        <v>1973738866</v>
      </c>
      <c r="G648" s="261" t="s">
        <v>5328</v>
      </c>
      <c r="H648" s="8">
        <v>350000</v>
      </c>
      <c r="J648" s="322"/>
    </row>
    <row r="649" spans="1:10" s="18" customFormat="1" ht="15.75" x14ac:dyDescent="0.25">
      <c r="A649" s="13">
        <v>45492</v>
      </c>
      <c r="B649" s="260" t="s">
        <v>14030</v>
      </c>
      <c r="C649" s="19">
        <v>1920212</v>
      </c>
      <c r="D649" s="34"/>
      <c r="E649" s="13">
        <v>45335</v>
      </c>
      <c r="F649" s="352">
        <v>1973738867</v>
      </c>
      <c r="G649" s="261" t="s">
        <v>2053</v>
      </c>
      <c r="H649" s="8">
        <v>722265</v>
      </c>
      <c r="J649" s="322"/>
    </row>
    <row r="650" spans="1:10" s="18" customFormat="1" ht="15.75" x14ac:dyDescent="0.25">
      <c r="A650" s="13">
        <v>45497</v>
      </c>
      <c r="B650" s="260" t="s">
        <v>14065</v>
      </c>
      <c r="C650" s="19">
        <v>825741</v>
      </c>
      <c r="D650" s="34"/>
      <c r="E650" s="13">
        <v>45335</v>
      </c>
      <c r="F650" s="352">
        <v>1973738868</v>
      </c>
      <c r="G650" s="261" t="s">
        <v>11702</v>
      </c>
      <c r="H650" s="8">
        <v>653892</v>
      </c>
      <c r="J650" s="322"/>
    </row>
    <row r="651" spans="1:10" s="18" customFormat="1" ht="15.75" x14ac:dyDescent="0.25">
      <c r="A651" s="13">
        <v>45509</v>
      </c>
      <c r="B651" s="260" t="s">
        <v>14161</v>
      </c>
      <c r="C651" s="19">
        <v>399735</v>
      </c>
      <c r="D651" s="34"/>
      <c r="E651" s="13">
        <v>45341</v>
      </c>
      <c r="F651" s="352">
        <v>1973738869</v>
      </c>
      <c r="G651" s="261" t="s">
        <v>13300</v>
      </c>
      <c r="H651" s="8">
        <v>100000</v>
      </c>
      <c r="J651" s="322"/>
    </row>
    <row r="652" spans="1:10" s="18" customFormat="1" ht="15.75" x14ac:dyDescent="0.25">
      <c r="A652" s="13">
        <v>45509</v>
      </c>
      <c r="B652" s="260" t="s">
        <v>14162</v>
      </c>
      <c r="C652" s="19">
        <v>97660</v>
      </c>
      <c r="D652" s="34"/>
      <c r="E652" s="13">
        <v>45341</v>
      </c>
      <c r="F652" s="352">
        <v>1973738870</v>
      </c>
      <c r="G652" s="261" t="s">
        <v>13301</v>
      </c>
      <c r="H652" s="8">
        <v>90000</v>
      </c>
      <c r="J652" s="322"/>
    </row>
    <row r="653" spans="1:10" s="18" customFormat="1" ht="15.75" x14ac:dyDescent="0.25">
      <c r="A653" s="13">
        <v>45512</v>
      </c>
      <c r="B653" s="593" t="s">
        <v>14177</v>
      </c>
      <c r="C653" s="8">
        <v>333522</v>
      </c>
      <c r="D653" s="34"/>
      <c r="E653" s="13">
        <v>45342</v>
      </c>
      <c r="F653" s="352">
        <v>1973738871</v>
      </c>
      <c r="G653" s="261" t="s">
        <v>9075</v>
      </c>
      <c r="H653" s="8">
        <v>100000</v>
      </c>
      <c r="J653" s="322"/>
    </row>
    <row r="654" spans="1:10" s="18" customFormat="1" ht="15.75" x14ac:dyDescent="0.25">
      <c r="A654" s="13">
        <v>45517</v>
      </c>
      <c r="B654" s="260" t="s">
        <v>14215</v>
      </c>
      <c r="C654" s="19">
        <v>365160</v>
      </c>
      <c r="D654" s="34"/>
      <c r="E654" s="13">
        <v>45342</v>
      </c>
      <c r="F654" s="352">
        <v>1973738872</v>
      </c>
      <c r="G654" s="261" t="s">
        <v>9075</v>
      </c>
      <c r="H654" s="8">
        <v>145000</v>
      </c>
      <c r="J654" s="322"/>
    </row>
    <row r="655" spans="1:10" s="18" customFormat="1" ht="15.75" x14ac:dyDescent="0.25">
      <c r="A655" s="13">
        <v>45524</v>
      </c>
      <c r="B655" s="260" t="s">
        <v>14246</v>
      </c>
      <c r="C655" s="19">
        <v>246087</v>
      </c>
      <c r="D655" s="34"/>
      <c r="E655" s="13">
        <v>45342</v>
      </c>
      <c r="F655" s="352">
        <v>1973738873</v>
      </c>
      <c r="G655" s="261" t="s">
        <v>5328</v>
      </c>
      <c r="H655" s="8">
        <v>100000</v>
      </c>
      <c r="J655" s="322"/>
    </row>
    <row r="656" spans="1:10" s="18" customFormat="1" ht="15.75" x14ac:dyDescent="0.25">
      <c r="A656" s="13">
        <v>45526</v>
      </c>
      <c r="B656" s="260" t="s">
        <v>14278</v>
      </c>
      <c r="C656" s="19">
        <v>1947260</v>
      </c>
      <c r="D656" s="34"/>
      <c r="E656" s="13">
        <v>45343</v>
      </c>
      <c r="F656" s="352">
        <v>1973738874</v>
      </c>
      <c r="G656" s="261" t="s">
        <v>9937</v>
      </c>
      <c r="H656" s="8">
        <v>50000</v>
      </c>
      <c r="J656" s="322"/>
    </row>
    <row r="657" spans="1:10" s="18" customFormat="1" ht="15.75" x14ac:dyDescent="0.25">
      <c r="A657" s="13">
        <v>45534</v>
      </c>
      <c r="B657" s="260" t="s">
        <v>14322</v>
      </c>
      <c r="C657" s="19">
        <v>419296</v>
      </c>
      <c r="D657" s="34"/>
      <c r="E657" s="13">
        <v>45343</v>
      </c>
      <c r="F657" s="352">
        <v>1973738875</v>
      </c>
      <c r="G657" s="261" t="s">
        <v>13300</v>
      </c>
      <c r="H657" s="8">
        <v>150000</v>
      </c>
      <c r="J657" s="322"/>
    </row>
    <row r="658" spans="1:10" s="18" customFormat="1" ht="15.75" x14ac:dyDescent="0.25">
      <c r="A658" s="13">
        <v>45534</v>
      </c>
      <c r="B658" s="260" t="s">
        <v>14323</v>
      </c>
      <c r="C658" s="19">
        <v>495359</v>
      </c>
      <c r="D658" s="34"/>
      <c r="E658" s="13">
        <v>45343</v>
      </c>
      <c r="F658" s="352">
        <v>1973738876</v>
      </c>
      <c r="G658" s="261"/>
      <c r="H658" s="8"/>
      <c r="J658" s="322"/>
    </row>
    <row r="659" spans="1:10" s="18" customFormat="1" ht="15.75" x14ac:dyDescent="0.25">
      <c r="A659" s="13">
        <v>45541</v>
      </c>
      <c r="B659" s="260" t="s">
        <v>14374</v>
      </c>
      <c r="C659" s="19">
        <v>280434</v>
      </c>
      <c r="D659" s="34"/>
      <c r="E659" s="13">
        <v>45348</v>
      </c>
      <c r="F659" s="352">
        <v>1973738877</v>
      </c>
      <c r="G659" s="261" t="s">
        <v>13306</v>
      </c>
      <c r="H659" s="8">
        <v>35400</v>
      </c>
      <c r="J659" s="322"/>
    </row>
    <row r="660" spans="1:10" s="18" customFormat="1" ht="15.75" x14ac:dyDescent="0.25">
      <c r="A660" s="13">
        <v>45546</v>
      </c>
      <c r="B660" s="260" t="s">
        <v>14425</v>
      </c>
      <c r="C660" s="19">
        <v>6497364</v>
      </c>
      <c r="D660" s="34"/>
      <c r="E660" s="13">
        <v>45355</v>
      </c>
      <c r="F660" s="352">
        <v>1973738878</v>
      </c>
      <c r="G660" s="261" t="s">
        <v>29</v>
      </c>
      <c r="H660" s="8">
        <v>200000</v>
      </c>
      <c r="J660" s="322"/>
    </row>
    <row r="661" spans="1:10" s="18" customFormat="1" ht="15.75" x14ac:dyDescent="0.25">
      <c r="A661" s="13">
        <v>45549</v>
      </c>
      <c r="B661" s="260" t="s">
        <v>14447</v>
      </c>
      <c r="C661" s="19">
        <v>365160</v>
      </c>
      <c r="D661" s="34"/>
      <c r="E661" s="13">
        <v>45356</v>
      </c>
      <c r="F661" s="352">
        <v>1973738879</v>
      </c>
      <c r="G661" s="261" t="s">
        <v>8128</v>
      </c>
      <c r="H661" s="8">
        <v>186000</v>
      </c>
      <c r="J661" s="322"/>
    </row>
    <row r="662" spans="1:10" s="18" customFormat="1" ht="15.75" x14ac:dyDescent="0.25">
      <c r="A662" s="13">
        <v>45554</v>
      </c>
      <c r="B662" s="593" t="s">
        <v>14473</v>
      </c>
      <c r="C662" s="8">
        <v>338310</v>
      </c>
      <c r="D662" s="34"/>
      <c r="E662" s="13">
        <v>45357</v>
      </c>
      <c r="F662" s="352">
        <v>1973738880</v>
      </c>
      <c r="G662" s="261" t="s">
        <v>25</v>
      </c>
      <c r="H662" s="8">
        <v>200000</v>
      </c>
      <c r="J662" s="322"/>
    </row>
    <row r="663" spans="1:10" s="18" customFormat="1" ht="15.75" x14ac:dyDescent="0.25">
      <c r="A663" s="13">
        <v>45554</v>
      </c>
      <c r="B663" s="593" t="s">
        <v>14474</v>
      </c>
      <c r="C663" s="8">
        <v>338310</v>
      </c>
      <c r="D663" s="34"/>
      <c r="E663" s="13">
        <v>45364</v>
      </c>
      <c r="F663" s="352">
        <v>1973738881</v>
      </c>
      <c r="G663" s="261" t="s">
        <v>13392</v>
      </c>
      <c r="H663" s="8">
        <v>95489</v>
      </c>
      <c r="J663" s="322"/>
    </row>
    <row r="664" spans="1:10" s="18" customFormat="1" ht="15.75" x14ac:dyDescent="0.25">
      <c r="A664" s="13">
        <v>45568</v>
      </c>
      <c r="B664" s="260" t="s">
        <v>14617</v>
      </c>
      <c r="C664" s="19">
        <v>500000</v>
      </c>
      <c r="D664" s="34">
        <v>500000</v>
      </c>
      <c r="E664" s="13">
        <v>45382</v>
      </c>
      <c r="F664" s="352">
        <v>1973738882</v>
      </c>
      <c r="G664" s="261" t="s">
        <v>13505</v>
      </c>
      <c r="H664" s="8">
        <v>50000</v>
      </c>
      <c r="J664" s="322"/>
    </row>
    <row r="665" spans="1:10" s="18" customFormat="1" ht="15.75" x14ac:dyDescent="0.25">
      <c r="A665" s="13">
        <v>45568</v>
      </c>
      <c r="B665" s="260" t="s">
        <v>14614</v>
      </c>
      <c r="C665" s="19">
        <v>287787</v>
      </c>
      <c r="D665" s="34"/>
      <c r="E665" s="13">
        <v>45382</v>
      </c>
      <c r="F665" s="352">
        <v>1973738883</v>
      </c>
      <c r="G665" s="261" t="s">
        <v>13506</v>
      </c>
      <c r="H665" s="8">
        <v>50000</v>
      </c>
      <c r="J665" s="322"/>
    </row>
    <row r="666" spans="1:10" s="18" customFormat="1" ht="15.75" x14ac:dyDescent="0.25">
      <c r="A666" s="13">
        <v>45568</v>
      </c>
      <c r="B666" s="260" t="s">
        <v>14615</v>
      </c>
      <c r="C666" s="19">
        <v>280434</v>
      </c>
      <c r="D666" s="34"/>
      <c r="E666" s="13">
        <v>45382</v>
      </c>
      <c r="F666" s="352">
        <v>1973738884</v>
      </c>
      <c r="G666" s="261" t="s">
        <v>13507</v>
      </c>
      <c r="H666" s="8">
        <v>50000</v>
      </c>
      <c r="J666" s="322"/>
    </row>
    <row r="667" spans="1:10" s="18" customFormat="1" ht="15.75" x14ac:dyDescent="0.25">
      <c r="A667" s="13">
        <v>45568</v>
      </c>
      <c r="B667" s="260" t="s">
        <v>14616</v>
      </c>
      <c r="C667" s="19">
        <v>920000</v>
      </c>
      <c r="D667" s="34"/>
      <c r="E667" s="13">
        <v>45356</v>
      </c>
      <c r="F667" s="352">
        <v>1973738885</v>
      </c>
      <c r="G667" s="261" t="s">
        <v>13218</v>
      </c>
      <c r="H667" s="8">
        <v>2778135</v>
      </c>
      <c r="J667" s="322"/>
    </row>
    <row r="668" spans="1:10" s="18" customFormat="1" ht="15.75" x14ac:dyDescent="0.25">
      <c r="A668" s="13">
        <v>45568</v>
      </c>
      <c r="B668" s="260" t="s">
        <v>14616</v>
      </c>
      <c r="C668" s="19">
        <v>920000</v>
      </c>
      <c r="D668" s="34"/>
      <c r="E668" s="13">
        <v>45356</v>
      </c>
      <c r="F668" s="352">
        <v>1973738886</v>
      </c>
      <c r="G668" s="261" t="s">
        <v>13508</v>
      </c>
      <c r="H668" s="8">
        <v>310000</v>
      </c>
      <c r="J668" s="322"/>
    </row>
    <row r="669" spans="1:10" s="18" customFormat="1" ht="15.75" x14ac:dyDescent="0.25">
      <c r="A669" s="13">
        <v>45568</v>
      </c>
      <c r="B669" s="260" t="s">
        <v>14616</v>
      </c>
      <c r="C669" s="19">
        <v>996829</v>
      </c>
      <c r="D669" s="34"/>
      <c r="E669" s="13">
        <v>45407</v>
      </c>
      <c r="F669" s="352">
        <v>1973738887</v>
      </c>
      <c r="G669" s="261" t="s">
        <v>8608</v>
      </c>
      <c r="H669" s="8">
        <v>100000</v>
      </c>
      <c r="J669" s="322"/>
    </row>
    <row r="670" spans="1:10" s="18" customFormat="1" ht="15.75" x14ac:dyDescent="0.25">
      <c r="A670" s="13">
        <v>45570</v>
      </c>
      <c r="B670" s="260" t="s">
        <v>14644</v>
      </c>
      <c r="C670" s="19">
        <v>1947260</v>
      </c>
      <c r="D670" s="34"/>
      <c r="E670" s="13">
        <v>45407</v>
      </c>
      <c r="F670" s="352">
        <v>1973738888</v>
      </c>
      <c r="G670" s="261" t="s">
        <v>2053</v>
      </c>
      <c r="H670" s="8">
        <v>296931</v>
      </c>
      <c r="J670" s="322"/>
    </row>
    <row r="671" spans="1:10" s="18" customFormat="1" ht="15.75" x14ac:dyDescent="0.25">
      <c r="A671" s="13">
        <v>45579</v>
      </c>
      <c r="B671" s="260" t="s">
        <v>14722</v>
      </c>
      <c r="C671" s="19">
        <v>866522</v>
      </c>
      <c r="D671" s="34"/>
      <c r="E671" s="13">
        <v>45407</v>
      </c>
      <c r="F671" s="352">
        <v>1973738889</v>
      </c>
      <c r="G671" s="261" t="s">
        <v>7090</v>
      </c>
      <c r="H671" s="8"/>
      <c r="J671" s="322"/>
    </row>
    <row r="672" spans="1:10" s="18" customFormat="1" ht="15.75" x14ac:dyDescent="0.25">
      <c r="A672" s="13">
        <v>45579</v>
      </c>
      <c r="B672" s="260" t="s">
        <v>14723</v>
      </c>
      <c r="C672" s="19">
        <v>5370002</v>
      </c>
      <c r="D672" s="34"/>
      <c r="E672" s="13">
        <v>45418</v>
      </c>
      <c r="F672" s="352">
        <v>1973738890</v>
      </c>
      <c r="G672" s="261" t="s">
        <v>13625</v>
      </c>
      <c r="H672" s="8">
        <v>189932</v>
      </c>
      <c r="J672" s="322"/>
    </row>
    <row r="673" spans="1:10" s="18" customFormat="1" ht="15.75" x14ac:dyDescent="0.25">
      <c r="A673" s="13">
        <v>45583</v>
      </c>
      <c r="B673" s="260" t="s">
        <v>14728</v>
      </c>
      <c r="C673" s="19">
        <v>1947260</v>
      </c>
      <c r="D673" s="34"/>
      <c r="E673" s="13">
        <v>45418</v>
      </c>
      <c r="F673" s="352">
        <v>1973738891</v>
      </c>
      <c r="G673" s="261" t="s">
        <v>7090</v>
      </c>
      <c r="H673" s="8">
        <v>0</v>
      </c>
      <c r="J673" s="322"/>
    </row>
    <row r="674" spans="1:10" s="18" customFormat="1" ht="15.75" x14ac:dyDescent="0.25">
      <c r="A674" s="13">
        <v>45587</v>
      </c>
      <c r="B674" s="260" t="s">
        <v>14756</v>
      </c>
      <c r="C674" s="19">
        <v>280434</v>
      </c>
      <c r="D674" s="34"/>
      <c r="E674" s="13">
        <v>45418</v>
      </c>
      <c r="F674" s="352">
        <v>1973738892</v>
      </c>
      <c r="G674" s="261" t="s">
        <v>9179</v>
      </c>
      <c r="H674" s="8">
        <v>500000</v>
      </c>
      <c r="J674" s="322"/>
    </row>
    <row r="675" spans="1:10" s="18" customFormat="1" ht="15.75" x14ac:dyDescent="0.25">
      <c r="A675" s="13">
        <v>45603</v>
      </c>
      <c r="B675" s="260" t="s">
        <v>14886</v>
      </c>
      <c r="C675" s="19">
        <v>766836</v>
      </c>
      <c r="D675" s="34"/>
      <c r="E675" s="13">
        <v>45418</v>
      </c>
      <c r="F675" s="352">
        <v>1973738893</v>
      </c>
      <c r="G675" s="261" t="s">
        <v>13626</v>
      </c>
      <c r="H675" s="8">
        <v>88649</v>
      </c>
      <c r="J675" s="322"/>
    </row>
    <row r="676" spans="1:10" s="18" customFormat="1" ht="15.75" x14ac:dyDescent="0.25">
      <c r="A676" s="13">
        <v>45604</v>
      </c>
      <c r="B676" s="593" t="s">
        <v>15195</v>
      </c>
      <c r="C676" s="8">
        <v>338310</v>
      </c>
      <c r="D676" s="34"/>
      <c r="E676" s="13">
        <v>45420</v>
      </c>
      <c r="F676" s="352">
        <v>1973738894</v>
      </c>
      <c r="G676" s="261" t="s">
        <v>9179</v>
      </c>
      <c r="H676" s="8">
        <v>250000</v>
      </c>
      <c r="J676" s="322"/>
    </row>
    <row r="677" spans="1:10" s="18" customFormat="1" ht="15.75" x14ac:dyDescent="0.25">
      <c r="A677" s="13">
        <v>45604</v>
      </c>
      <c r="B677" s="593" t="s">
        <v>15196</v>
      </c>
      <c r="C677" s="8">
        <v>338310</v>
      </c>
      <c r="D677" s="34"/>
      <c r="E677" s="13">
        <v>45432</v>
      </c>
      <c r="F677" s="352">
        <v>1973738895</v>
      </c>
      <c r="G677" s="261" t="s">
        <v>13729</v>
      </c>
      <c r="H677" s="8">
        <v>2500000</v>
      </c>
      <c r="J677" s="322"/>
    </row>
    <row r="678" spans="1:10" s="18" customFormat="1" ht="15.75" x14ac:dyDescent="0.25">
      <c r="A678" s="13">
        <v>45611</v>
      </c>
      <c r="B678" s="260" t="s">
        <v>15051</v>
      </c>
      <c r="C678" s="19">
        <v>1947260</v>
      </c>
      <c r="D678" s="34"/>
      <c r="E678" s="13">
        <v>45432</v>
      </c>
      <c r="F678" s="352">
        <v>1973738896</v>
      </c>
      <c r="G678" s="261" t="s">
        <v>13729</v>
      </c>
      <c r="H678" s="8">
        <v>2500000</v>
      </c>
      <c r="J678" s="322"/>
    </row>
    <row r="679" spans="1:10" s="18" customFormat="1" ht="15.75" x14ac:dyDescent="0.25">
      <c r="A679" s="13">
        <v>45616</v>
      </c>
      <c r="B679" s="260" t="s">
        <v>15017</v>
      </c>
      <c r="C679" s="19">
        <v>1494840</v>
      </c>
      <c r="D679" s="34"/>
      <c r="E679" s="13">
        <v>45432</v>
      </c>
      <c r="F679" s="352">
        <v>1973738897</v>
      </c>
      <c r="G679" s="261" t="s">
        <v>13729</v>
      </c>
      <c r="H679" s="8">
        <v>3000000</v>
      </c>
      <c r="J679" s="322"/>
    </row>
    <row r="680" spans="1:10" s="18" customFormat="1" ht="15.75" x14ac:dyDescent="0.25">
      <c r="A680" s="13">
        <v>45616</v>
      </c>
      <c r="B680" s="260" t="s">
        <v>15018</v>
      </c>
      <c r="C680" s="19">
        <v>2102201</v>
      </c>
      <c r="D680" s="34"/>
      <c r="E680" s="13">
        <v>45432</v>
      </c>
      <c r="F680" s="352">
        <v>1973738898</v>
      </c>
      <c r="G680" s="261" t="s">
        <v>13730</v>
      </c>
      <c r="H680" s="8">
        <v>2000000</v>
      </c>
      <c r="J680" s="322"/>
    </row>
    <row r="681" spans="1:10" s="18" customFormat="1" ht="15.75" x14ac:dyDescent="0.25">
      <c r="A681" s="13">
        <v>45617</v>
      </c>
      <c r="B681" s="260" t="s">
        <v>15150</v>
      </c>
      <c r="C681" s="19">
        <v>280434</v>
      </c>
      <c r="D681" s="34"/>
      <c r="E681" s="13">
        <v>45439</v>
      </c>
      <c r="F681" s="352">
        <v>1973738899</v>
      </c>
      <c r="G681" s="261" t="s">
        <v>5328</v>
      </c>
      <c r="H681" s="8">
        <v>200000</v>
      </c>
      <c r="J681" s="322"/>
    </row>
    <row r="682" spans="1:10" s="18" customFormat="1" ht="15.75" x14ac:dyDescent="0.25">
      <c r="A682" s="13">
        <v>45633</v>
      </c>
      <c r="B682" s="260" t="s">
        <v>15094</v>
      </c>
      <c r="C682" s="19">
        <v>401676</v>
      </c>
      <c r="D682" s="34"/>
      <c r="E682" s="13">
        <v>45441</v>
      </c>
      <c r="F682" s="352">
        <v>1973738900</v>
      </c>
      <c r="G682" s="261" t="s">
        <v>13749</v>
      </c>
      <c r="H682" s="8">
        <v>7214580</v>
      </c>
      <c r="J682" s="322"/>
    </row>
    <row r="683" spans="1:10" s="18" customFormat="1" ht="15.75" x14ac:dyDescent="0.25">
      <c r="A683" s="13">
        <v>45639</v>
      </c>
      <c r="B683" s="260" t="s">
        <v>15158</v>
      </c>
      <c r="C683" s="19">
        <v>780810</v>
      </c>
      <c r="D683" s="34"/>
      <c r="E683" s="13">
        <v>45441</v>
      </c>
      <c r="F683" s="352">
        <v>1973738901</v>
      </c>
      <c r="G683" s="261" t="s">
        <v>13748</v>
      </c>
      <c r="H683" s="8">
        <v>22000</v>
      </c>
      <c r="J683" s="322"/>
    </row>
    <row r="684" spans="1:10" s="18" customFormat="1" ht="15.75" x14ac:dyDescent="0.25">
      <c r="A684" s="13">
        <v>45639</v>
      </c>
      <c r="B684" s="260" t="s">
        <v>15158</v>
      </c>
      <c r="C684" s="19">
        <v>736000</v>
      </c>
      <c r="D684" s="34"/>
      <c r="E684" s="13">
        <v>45441</v>
      </c>
      <c r="F684" s="352">
        <v>1973738902</v>
      </c>
      <c r="G684" s="261" t="s">
        <v>7090</v>
      </c>
      <c r="H684" s="8"/>
      <c r="J684" s="322"/>
    </row>
    <row r="685" spans="1:10" s="18" customFormat="1" ht="15.75" x14ac:dyDescent="0.25">
      <c r="A685" s="13">
        <v>45639</v>
      </c>
      <c r="B685" s="260" t="s">
        <v>15159</v>
      </c>
      <c r="C685" s="19">
        <v>281462</v>
      </c>
      <c r="D685" s="34"/>
      <c r="E685" s="13">
        <v>45443</v>
      </c>
      <c r="F685" s="352">
        <v>1973738903</v>
      </c>
      <c r="G685" s="261" t="s">
        <v>13757</v>
      </c>
      <c r="H685" s="8">
        <v>600000</v>
      </c>
      <c r="J685" s="322"/>
    </row>
    <row r="686" spans="1:10" s="18" customFormat="1" ht="15.75" x14ac:dyDescent="0.25">
      <c r="A686" s="13">
        <v>45644</v>
      </c>
      <c r="B686" s="260" t="s">
        <v>14986</v>
      </c>
      <c r="C686" s="19">
        <v>280434</v>
      </c>
      <c r="D686" s="34"/>
      <c r="E686" s="13">
        <v>45443</v>
      </c>
      <c r="F686" s="352">
        <v>1973738904</v>
      </c>
      <c r="G686" s="261" t="s">
        <v>13758</v>
      </c>
      <c r="H686" s="8">
        <v>150000</v>
      </c>
      <c r="J686" s="322"/>
    </row>
    <row r="687" spans="1:10" s="18" customFormat="1" ht="15.75" x14ac:dyDescent="0.25">
      <c r="A687" s="13">
        <v>45650</v>
      </c>
      <c r="B687" s="593" t="s">
        <v>15206</v>
      </c>
      <c r="C687" s="19">
        <v>372141</v>
      </c>
      <c r="D687" s="34"/>
      <c r="E687" s="13">
        <v>45451</v>
      </c>
      <c r="F687" s="352">
        <v>1973738905</v>
      </c>
      <c r="G687" s="261" t="s">
        <v>13824</v>
      </c>
      <c r="H687" s="8">
        <v>105000</v>
      </c>
      <c r="J687" s="322"/>
    </row>
    <row r="688" spans="1:10" s="18" customFormat="1" ht="15.75" x14ac:dyDescent="0.25">
      <c r="A688" s="13">
        <v>45658</v>
      </c>
      <c r="B688" s="260" t="s">
        <v>15252</v>
      </c>
      <c r="C688" s="19">
        <v>1261745</v>
      </c>
      <c r="D688" s="34"/>
      <c r="E688" s="13">
        <v>45451</v>
      </c>
      <c r="F688" s="352">
        <v>1973738906</v>
      </c>
      <c r="G688" s="261" t="s">
        <v>13816</v>
      </c>
      <c r="H688" s="8"/>
      <c r="J688" s="322">
        <v>1000000</v>
      </c>
    </row>
    <row r="689" spans="1:10" s="18" customFormat="1" ht="15.75" x14ac:dyDescent="0.25">
      <c r="A689" s="13">
        <v>45664</v>
      </c>
      <c r="B689" s="260" t="s">
        <v>15300</v>
      </c>
      <c r="C689" s="19">
        <v>401676</v>
      </c>
      <c r="D689" s="34"/>
      <c r="E689" s="13">
        <v>45453</v>
      </c>
      <c r="F689" s="352">
        <v>1973738907</v>
      </c>
      <c r="G689" s="261" t="s">
        <v>13825</v>
      </c>
      <c r="H689" s="8">
        <v>40000</v>
      </c>
      <c r="J689" s="322"/>
    </row>
    <row r="690" spans="1:10" s="18" customFormat="1" ht="15.75" x14ac:dyDescent="0.25">
      <c r="A690" s="13">
        <v>45671</v>
      </c>
      <c r="B690" s="260" t="s">
        <v>15337</v>
      </c>
      <c r="C690" s="19">
        <v>1931558</v>
      </c>
      <c r="D690" s="34"/>
      <c r="E690" s="13">
        <v>45453</v>
      </c>
      <c r="F690" s="352">
        <v>1973738908</v>
      </c>
      <c r="G690" s="261" t="s">
        <v>13826</v>
      </c>
      <c r="H690" s="8">
        <v>247325</v>
      </c>
      <c r="J690" s="322"/>
    </row>
    <row r="691" spans="1:10" s="18" customFormat="1" ht="15.75" x14ac:dyDescent="0.25">
      <c r="A691" s="13">
        <v>45692</v>
      </c>
      <c r="B691" s="260" t="s">
        <v>15475</v>
      </c>
      <c r="C691" s="19">
        <v>401676</v>
      </c>
      <c r="D691" s="34"/>
      <c r="E691" s="13">
        <v>45453</v>
      </c>
      <c r="F691" s="352">
        <v>1973738909</v>
      </c>
      <c r="G691" s="261" t="s">
        <v>13826</v>
      </c>
      <c r="H691" s="8">
        <v>288500</v>
      </c>
      <c r="J691" s="322"/>
    </row>
    <row r="692" spans="1:10" s="18" customFormat="1" ht="15.75" x14ac:dyDescent="0.25">
      <c r="A692" s="13">
        <v>45692</v>
      </c>
      <c r="B692" s="260" t="s">
        <v>15484</v>
      </c>
      <c r="C692" s="19">
        <v>1422198</v>
      </c>
      <c r="D692" s="34"/>
      <c r="E692" s="13">
        <v>45463</v>
      </c>
      <c r="F692" s="352">
        <v>1973738910</v>
      </c>
      <c r="G692" s="261" t="s">
        <v>13868</v>
      </c>
      <c r="H692" s="8">
        <v>178564</v>
      </c>
      <c r="J692" s="322"/>
    </row>
    <row r="693" spans="1:10" s="18" customFormat="1" ht="15.75" x14ac:dyDescent="0.25">
      <c r="A693" s="13">
        <v>45708</v>
      </c>
      <c r="B693" s="260" t="s">
        <v>15630</v>
      </c>
      <c r="C693" s="19">
        <v>280434</v>
      </c>
      <c r="D693" s="34"/>
      <c r="E693" s="13">
        <v>45463</v>
      </c>
      <c r="F693" s="352">
        <v>1973738911</v>
      </c>
      <c r="G693" s="261" t="s">
        <v>7090</v>
      </c>
      <c r="H693" s="8">
        <v>0</v>
      </c>
      <c r="J693" s="322"/>
    </row>
    <row r="694" spans="1:10" s="18" customFormat="1" ht="15.75" x14ac:dyDescent="0.25">
      <c r="A694" s="13">
        <v>45716</v>
      </c>
      <c r="B694" s="260" t="s">
        <v>15571</v>
      </c>
      <c r="C694" s="19">
        <v>280434</v>
      </c>
      <c r="D694" s="34"/>
      <c r="E694" s="13">
        <v>45467</v>
      </c>
      <c r="F694" s="352">
        <v>1973738912</v>
      </c>
      <c r="G694" s="261" t="s">
        <v>13624</v>
      </c>
      <c r="H694" s="8">
        <v>184956</v>
      </c>
      <c r="J694" s="322"/>
    </row>
    <row r="695" spans="1:10" s="18" customFormat="1" ht="15.75" x14ac:dyDescent="0.25">
      <c r="A695" s="13">
        <v>45716</v>
      </c>
      <c r="B695" s="260" t="s">
        <v>15635</v>
      </c>
      <c r="C695" s="19">
        <v>4669565</v>
      </c>
      <c r="D695" s="34"/>
      <c r="E695" s="13">
        <v>45467</v>
      </c>
      <c r="F695" s="352">
        <v>1973738913</v>
      </c>
      <c r="G695" s="261" t="s">
        <v>13913</v>
      </c>
      <c r="H695" s="8">
        <v>2497821</v>
      </c>
      <c r="J695" s="322"/>
    </row>
    <row r="696" spans="1:10" s="18" customFormat="1" ht="15.75" x14ac:dyDescent="0.25">
      <c r="A696" s="13">
        <v>45729</v>
      </c>
      <c r="B696" s="260" t="s">
        <v>15719</v>
      </c>
      <c r="C696" s="19">
        <v>280434</v>
      </c>
      <c r="D696" s="34"/>
      <c r="E696" s="13">
        <v>45469</v>
      </c>
      <c r="F696" s="352">
        <v>1973738914</v>
      </c>
      <c r="G696" s="261" t="s">
        <v>13919</v>
      </c>
      <c r="H696" s="8">
        <v>177832</v>
      </c>
      <c r="J696" s="322"/>
    </row>
    <row r="697" spans="1:10" s="18" customFormat="1" ht="15.75" x14ac:dyDescent="0.25">
      <c r="A697" s="13">
        <v>45734</v>
      </c>
      <c r="B697" s="260" t="s">
        <v>15734</v>
      </c>
      <c r="C697" s="19">
        <v>401676</v>
      </c>
      <c r="D697" s="34"/>
      <c r="E697" s="13">
        <v>45469</v>
      </c>
      <c r="F697" s="352">
        <v>1973738915</v>
      </c>
      <c r="G697" s="261" t="s">
        <v>13918</v>
      </c>
      <c r="H697" s="8">
        <v>385878</v>
      </c>
      <c r="J697" s="322"/>
    </row>
    <row r="698" spans="1:10" s="18" customFormat="1" ht="15.75" x14ac:dyDescent="0.25">
      <c r="A698" s="13">
        <v>45735</v>
      </c>
      <c r="B698" s="260" t="s">
        <v>15252</v>
      </c>
      <c r="C698" s="19">
        <v>1281615</v>
      </c>
      <c r="D698" s="34"/>
      <c r="E698" s="13">
        <v>45471</v>
      </c>
      <c r="F698" s="352">
        <v>1973738916</v>
      </c>
      <c r="G698" s="261" t="s">
        <v>13988</v>
      </c>
      <c r="H698" s="8">
        <v>1910384</v>
      </c>
      <c r="J698" s="322"/>
    </row>
    <row r="699" spans="1:10" s="18" customFormat="1" ht="15.75" x14ac:dyDescent="0.25">
      <c r="A699" s="13">
        <v>45744</v>
      </c>
      <c r="B699" s="260" t="s">
        <v>15813</v>
      </c>
      <c r="C699" s="19">
        <v>281462</v>
      </c>
      <c r="D699" s="34"/>
      <c r="E699" s="13">
        <v>45450</v>
      </c>
      <c r="F699" s="352">
        <v>1973738917</v>
      </c>
      <c r="G699" s="261" t="s">
        <v>13989</v>
      </c>
      <c r="H699" s="8">
        <v>683778</v>
      </c>
      <c r="J699" s="322"/>
    </row>
    <row r="700" spans="1:10" s="18" customFormat="1" ht="15.75" x14ac:dyDescent="0.25">
      <c r="A700" s="13">
        <v>45745</v>
      </c>
      <c r="B700" s="260" t="s">
        <v>15836</v>
      </c>
      <c r="C700" s="19">
        <v>737652</v>
      </c>
      <c r="D700" s="34"/>
      <c r="E700" s="13">
        <v>45451</v>
      </c>
      <c r="F700" s="352">
        <v>1973738918</v>
      </c>
      <c r="G700" s="261" t="s">
        <v>13990</v>
      </c>
      <c r="H700" s="8">
        <v>1793332</v>
      </c>
      <c r="J700" s="322"/>
    </row>
    <row r="701" spans="1:10" s="18" customFormat="1" ht="15.75" x14ac:dyDescent="0.25">
      <c r="A701" s="13">
        <v>45754</v>
      </c>
      <c r="B701" s="260" t="s">
        <v>15846</v>
      </c>
      <c r="C701" s="19">
        <v>401676</v>
      </c>
      <c r="D701" s="34"/>
      <c r="E701" s="13">
        <v>45451</v>
      </c>
      <c r="F701" s="352">
        <v>1973738919</v>
      </c>
      <c r="G701" s="261" t="s">
        <v>13991</v>
      </c>
      <c r="H701" s="8">
        <v>200000</v>
      </c>
      <c r="J701" s="322"/>
    </row>
    <row r="702" spans="1:10" s="18" customFormat="1" ht="15.75" x14ac:dyDescent="0.25">
      <c r="A702" s="13">
        <v>45754</v>
      </c>
      <c r="B702" s="260" t="s">
        <v>15847</v>
      </c>
      <c r="C702" s="19">
        <v>14415258</v>
      </c>
      <c r="D702" s="34"/>
      <c r="E702" s="13">
        <v>45458</v>
      </c>
      <c r="F702" s="352">
        <v>1973738920</v>
      </c>
      <c r="G702" s="261" t="s">
        <v>14016</v>
      </c>
      <c r="H702" s="8">
        <v>150000</v>
      </c>
      <c r="J702" s="322"/>
    </row>
    <row r="703" spans="1:10" s="18" customFormat="1" ht="15.75" x14ac:dyDescent="0.25">
      <c r="A703" s="13">
        <v>45757</v>
      </c>
      <c r="B703" s="260" t="s">
        <v>15869</v>
      </c>
      <c r="C703" s="19">
        <v>1765421</v>
      </c>
      <c r="D703" s="34"/>
      <c r="E703" s="13">
        <v>45458</v>
      </c>
      <c r="F703" s="352">
        <v>1973738921</v>
      </c>
      <c r="G703" s="261"/>
      <c r="H703" s="8"/>
      <c r="J703" s="322"/>
    </row>
    <row r="704" spans="1:10" s="18" customFormat="1" ht="15.75" x14ac:dyDescent="0.25">
      <c r="A704" s="13">
        <v>45775</v>
      </c>
      <c r="B704" s="260" t="s">
        <v>16024</v>
      </c>
      <c r="C704" s="19">
        <v>4585609</v>
      </c>
      <c r="D704" s="34"/>
      <c r="E704" s="13">
        <v>45458</v>
      </c>
      <c r="F704" s="352">
        <v>1973738922</v>
      </c>
      <c r="G704" s="261" t="s">
        <v>14017</v>
      </c>
      <c r="H704" s="8">
        <v>107000</v>
      </c>
      <c r="J704" s="322"/>
    </row>
    <row r="705" spans="1:10" s="18" customFormat="1" ht="15.75" x14ac:dyDescent="0.25">
      <c r="A705" s="13">
        <v>45783</v>
      </c>
      <c r="B705" s="260" t="s">
        <v>16080</v>
      </c>
      <c r="C705" s="19">
        <v>49672</v>
      </c>
      <c r="D705" s="34"/>
      <c r="E705" s="13">
        <v>45461</v>
      </c>
      <c r="F705" s="352">
        <v>1973738923</v>
      </c>
      <c r="G705" s="261" t="s">
        <v>14025</v>
      </c>
      <c r="H705" s="8">
        <v>940000</v>
      </c>
      <c r="J705" s="322"/>
    </row>
    <row r="706" spans="1:10" s="18" customFormat="1" ht="15.75" x14ac:dyDescent="0.25">
      <c r="A706" s="13">
        <v>45785</v>
      </c>
      <c r="B706" s="260" t="s">
        <v>16121</v>
      </c>
      <c r="C706" s="19">
        <v>8374469</v>
      </c>
      <c r="D706" s="34"/>
      <c r="E706" s="13">
        <v>45509</v>
      </c>
      <c r="F706" s="352">
        <v>1973738924</v>
      </c>
      <c r="G706" s="261" t="s">
        <v>5328</v>
      </c>
      <c r="H706" s="8">
        <v>500000</v>
      </c>
      <c r="J706" s="322"/>
    </row>
    <row r="707" spans="1:10" s="18" customFormat="1" ht="15.75" x14ac:dyDescent="0.25">
      <c r="A707" s="13">
        <v>45790</v>
      </c>
      <c r="B707" s="260" t="s">
        <v>16161</v>
      </c>
      <c r="C707" s="19">
        <v>280434</v>
      </c>
      <c r="D707" s="34"/>
      <c r="E707" s="13">
        <v>45509</v>
      </c>
      <c r="F707" s="352">
        <v>1973738925</v>
      </c>
      <c r="G707" s="261" t="s">
        <v>4055</v>
      </c>
      <c r="H707" s="8">
        <v>200000</v>
      </c>
      <c r="J707" s="322"/>
    </row>
    <row r="708" spans="1:10" s="18" customFormat="1" ht="15.75" x14ac:dyDescent="0.25">
      <c r="A708" s="13">
        <v>45792</v>
      </c>
      <c r="B708" s="260" t="s">
        <v>16209</v>
      </c>
      <c r="C708" s="19">
        <v>372141</v>
      </c>
      <c r="D708" s="34"/>
      <c r="E708" s="13">
        <v>45511</v>
      </c>
      <c r="F708" s="352">
        <v>1973738926</v>
      </c>
      <c r="G708" s="261" t="s">
        <v>25</v>
      </c>
      <c r="H708" s="8">
        <v>100000</v>
      </c>
      <c r="J708" s="322"/>
    </row>
    <row r="709" spans="1:10" s="18" customFormat="1" ht="15.75" x14ac:dyDescent="0.25">
      <c r="A709" s="13">
        <v>45792</v>
      </c>
      <c r="B709" s="260" t="s">
        <v>16210</v>
      </c>
      <c r="C709" s="19">
        <v>372141</v>
      </c>
      <c r="D709" s="34"/>
      <c r="E709" s="13">
        <v>45509</v>
      </c>
      <c r="F709" s="352">
        <v>1973738927</v>
      </c>
      <c r="G709" s="261" t="s">
        <v>14169</v>
      </c>
      <c r="H709" s="8">
        <v>250000</v>
      </c>
      <c r="J709" s="322"/>
    </row>
    <row r="710" spans="1:10" s="18" customFormat="1" ht="15.75" x14ac:dyDescent="0.25">
      <c r="A710" s="13">
        <v>45792</v>
      </c>
      <c r="B710" s="260" t="s">
        <v>16211</v>
      </c>
      <c r="C710" s="19">
        <v>372141</v>
      </c>
      <c r="D710" s="34"/>
      <c r="E710" s="13">
        <v>45511</v>
      </c>
      <c r="F710" s="352">
        <v>1973738928</v>
      </c>
      <c r="G710" s="261" t="s">
        <v>7090</v>
      </c>
      <c r="H710" s="8"/>
      <c r="J710" s="322"/>
    </row>
    <row r="711" spans="1:10" s="18" customFormat="1" ht="15.75" x14ac:dyDescent="0.25">
      <c r="A711" s="13">
        <v>45792</v>
      </c>
      <c r="B711" s="260" t="s">
        <v>16212</v>
      </c>
      <c r="C711" s="19">
        <v>372141</v>
      </c>
      <c r="D711" s="34"/>
      <c r="E711" s="13">
        <v>45511</v>
      </c>
      <c r="F711" s="352">
        <v>1973738929</v>
      </c>
      <c r="G711" s="261" t="s">
        <v>13990</v>
      </c>
      <c r="H711" s="8">
        <v>1958338</v>
      </c>
      <c r="J711" s="322"/>
    </row>
    <row r="712" spans="1:10" s="18" customFormat="1" ht="15.75" x14ac:dyDescent="0.25">
      <c r="A712" s="13">
        <v>45800</v>
      </c>
      <c r="B712" s="260" t="s">
        <v>15813</v>
      </c>
      <c r="C712" s="19">
        <v>281462</v>
      </c>
      <c r="D712" s="34"/>
      <c r="E712" s="13">
        <v>45511</v>
      </c>
      <c r="F712" s="352">
        <v>1973738930</v>
      </c>
      <c r="G712" s="261" t="s">
        <v>14016</v>
      </c>
      <c r="H712" s="8">
        <v>150000</v>
      </c>
      <c r="J712" s="322"/>
    </row>
    <row r="713" spans="1:10" s="18" customFormat="1" ht="15.75" x14ac:dyDescent="0.25">
      <c r="A713" s="259"/>
      <c r="B713" s="260"/>
      <c r="C713" s="19"/>
      <c r="D713" s="34"/>
      <c r="E713" s="13">
        <v>45511</v>
      </c>
      <c r="F713" s="352">
        <v>1973738931</v>
      </c>
      <c r="G713" s="261" t="s">
        <v>14170</v>
      </c>
      <c r="H713" s="8">
        <v>75000</v>
      </c>
      <c r="J713" s="322"/>
    </row>
    <row r="714" spans="1:10" s="18" customFormat="1" ht="15.75" x14ac:dyDescent="0.25">
      <c r="A714" s="259"/>
      <c r="B714" s="260"/>
      <c r="C714" s="19"/>
      <c r="D714" s="34"/>
      <c r="E714" s="13">
        <v>45513</v>
      </c>
      <c r="F714" s="352">
        <v>1973738932</v>
      </c>
      <c r="G714" s="261" t="s">
        <v>14195</v>
      </c>
      <c r="H714" s="8">
        <v>249704</v>
      </c>
      <c r="J714" s="322"/>
    </row>
    <row r="715" spans="1:10" s="18" customFormat="1" ht="15.75" x14ac:dyDescent="0.25">
      <c r="A715" s="259"/>
      <c r="B715" s="260"/>
      <c r="C715" s="19"/>
      <c r="D715" s="34"/>
      <c r="E715" s="13">
        <v>45513</v>
      </c>
      <c r="F715" s="352">
        <v>1973738933</v>
      </c>
      <c r="G715" s="261" t="s">
        <v>14196</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14239</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14273</v>
      </c>
      <c r="H719" s="8">
        <v>597559</v>
      </c>
      <c r="J719" s="322"/>
    </row>
    <row r="720" spans="1:10" s="18" customFormat="1" ht="15.75" x14ac:dyDescent="0.25">
      <c r="A720" s="259"/>
      <c r="B720" s="260"/>
      <c r="C720" s="19"/>
      <c r="D720" s="34"/>
      <c r="E720" s="13">
        <v>45533</v>
      </c>
      <c r="F720" s="352">
        <v>1973738938</v>
      </c>
      <c r="G720" s="261" t="s">
        <v>14309</v>
      </c>
      <c r="H720" s="8">
        <v>200000</v>
      </c>
      <c r="J720" s="322"/>
    </row>
    <row r="721" spans="1:10" s="18" customFormat="1" ht="15.75" x14ac:dyDescent="0.25">
      <c r="A721" s="259"/>
      <c r="B721" s="260"/>
      <c r="C721" s="19"/>
      <c r="D721" s="34"/>
      <c r="E721" s="13">
        <v>45533</v>
      </c>
      <c r="F721" s="352">
        <v>1973738939</v>
      </c>
      <c r="G721" s="261" t="s">
        <v>14309</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14170</v>
      </c>
      <c r="H723" s="8">
        <v>70000</v>
      </c>
      <c r="J723" s="322"/>
    </row>
    <row r="724" spans="1:10" s="18" customFormat="1" ht="15.75" x14ac:dyDescent="0.25">
      <c r="A724" s="259"/>
      <c r="B724" s="260"/>
      <c r="C724" s="19"/>
      <c r="D724" s="34"/>
      <c r="E724" s="13">
        <v>45551</v>
      </c>
      <c r="F724" s="352">
        <v>1973738942</v>
      </c>
      <c r="G724" s="261" t="s">
        <v>14469</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14472</v>
      </c>
      <c r="H726" s="8">
        <v>92470</v>
      </c>
      <c r="I726" s="18" t="s">
        <v>9431</v>
      </c>
      <c r="J726" s="322"/>
    </row>
    <row r="727" spans="1:10" s="18" customFormat="1" ht="15.75" x14ac:dyDescent="0.25">
      <c r="A727" s="259"/>
      <c r="B727" s="260"/>
      <c r="C727" s="19"/>
      <c r="D727" s="34"/>
      <c r="E727" s="13">
        <v>45555</v>
      </c>
      <c r="F727" s="352">
        <v>2007570351</v>
      </c>
      <c r="G727" s="261" t="s">
        <v>14486</v>
      </c>
      <c r="H727" s="8">
        <v>0</v>
      </c>
      <c r="J727" s="322"/>
    </row>
    <row r="728" spans="1:10" s="18" customFormat="1" ht="15.75" x14ac:dyDescent="0.25">
      <c r="A728" s="259"/>
      <c r="B728" s="260"/>
      <c r="C728" s="19"/>
      <c r="D728" s="34"/>
      <c r="E728" s="13">
        <v>45555</v>
      </c>
      <c r="F728" s="352">
        <v>2007570352</v>
      </c>
      <c r="G728" s="261" t="s">
        <v>14487</v>
      </c>
      <c r="H728" s="8">
        <v>443500</v>
      </c>
      <c r="J728" s="322"/>
    </row>
    <row r="729" spans="1:10" s="18" customFormat="1" ht="15.75" x14ac:dyDescent="0.25">
      <c r="A729" s="259"/>
      <c r="B729" s="260"/>
      <c r="C729" s="19"/>
      <c r="D729" s="34"/>
      <c r="E729" s="13">
        <v>45555</v>
      </c>
      <c r="F729" s="352">
        <v>2007570353</v>
      </c>
      <c r="G729" s="261" t="s">
        <v>14488</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14520</v>
      </c>
      <c r="H732" s="8">
        <v>350000</v>
      </c>
      <c r="J732" s="322"/>
    </row>
    <row r="733" spans="1:10" s="18" customFormat="1" ht="15.75" x14ac:dyDescent="0.25">
      <c r="A733" s="259"/>
      <c r="B733" s="260"/>
      <c r="C733" s="19"/>
      <c r="D733" s="34"/>
      <c r="E733" s="13">
        <v>45561</v>
      </c>
      <c r="F733" s="352">
        <v>2007570357</v>
      </c>
      <c r="G733" s="261" t="s">
        <v>14674</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11756</v>
      </c>
      <c r="H736" s="8">
        <v>200000</v>
      </c>
      <c r="J736" s="322"/>
    </row>
    <row r="737" spans="1:10" s="18" customFormat="1" ht="15.75" x14ac:dyDescent="0.25">
      <c r="A737" s="259"/>
      <c r="B737" s="260"/>
      <c r="C737" s="19"/>
      <c r="D737" s="34"/>
      <c r="E737" s="13">
        <v>45567</v>
      </c>
      <c r="F737" s="352">
        <v>2007570361</v>
      </c>
      <c r="G737" s="261" t="s">
        <v>13990</v>
      </c>
      <c r="H737" s="8">
        <v>2415764</v>
      </c>
      <c r="J737" s="322"/>
    </row>
    <row r="738" spans="1:10" s="18" customFormat="1" ht="15.75" x14ac:dyDescent="0.25">
      <c r="A738" s="259"/>
      <c r="B738" s="260"/>
      <c r="C738" s="19"/>
      <c r="D738" s="34"/>
      <c r="E738" s="13">
        <v>45567</v>
      </c>
      <c r="F738" s="352">
        <v>2007570362</v>
      </c>
      <c r="G738" s="261" t="s">
        <v>14170</v>
      </c>
      <c r="H738" s="8">
        <v>70000</v>
      </c>
      <c r="J738" s="322"/>
    </row>
    <row r="739" spans="1:10" s="18" customFormat="1" ht="15.75" x14ac:dyDescent="0.25">
      <c r="A739" s="259"/>
      <c r="B739" s="260"/>
      <c r="C739" s="19"/>
      <c r="D739" s="34"/>
      <c r="E739" s="13">
        <v>45572</v>
      </c>
      <c r="F739" s="352">
        <v>2007570363</v>
      </c>
      <c r="G739" s="261" t="s">
        <v>14672</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14673</v>
      </c>
      <c r="H742" s="8">
        <v>872837</v>
      </c>
      <c r="J742" s="322"/>
    </row>
    <row r="743" spans="1:10" s="18" customFormat="1" ht="15.75" x14ac:dyDescent="0.25">
      <c r="A743" s="259"/>
      <c r="B743" s="260"/>
      <c r="C743" s="19"/>
      <c r="D743" s="34"/>
      <c r="E743" s="13">
        <v>45575</v>
      </c>
      <c r="F743" s="352">
        <v>2007570367</v>
      </c>
      <c r="G743" s="261" t="s">
        <v>14674</v>
      </c>
      <c r="H743" s="8">
        <v>141000</v>
      </c>
      <c r="J743" s="322"/>
    </row>
    <row r="744" spans="1:10" s="18" customFormat="1" ht="15.75" x14ac:dyDescent="0.25">
      <c r="A744" s="259"/>
      <c r="B744" s="260"/>
      <c r="C744" s="19"/>
      <c r="D744" s="34"/>
      <c r="E744" s="13">
        <v>45575</v>
      </c>
      <c r="F744" s="352">
        <v>2007570368</v>
      </c>
      <c r="G744" s="261" t="s">
        <v>14703</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13233</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14750</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14801</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14802</v>
      </c>
      <c r="H757" s="8">
        <v>91000</v>
      </c>
      <c r="J757" s="322"/>
    </row>
    <row r="758" spans="1:10" s="18" customFormat="1" ht="15.75" x14ac:dyDescent="0.25">
      <c r="A758" s="259"/>
      <c r="B758" s="260"/>
      <c r="C758" s="19"/>
      <c r="D758" s="34"/>
      <c r="E758" s="13">
        <v>45597</v>
      </c>
      <c r="F758" s="352">
        <v>2007570382</v>
      </c>
      <c r="G758" s="261" t="s">
        <v>15091</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14586</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14913</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14964</v>
      </c>
      <c r="H765" s="8">
        <v>40000</v>
      </c>
      <c r="J765" s="322"/>
    </row>
    <row r="766" spans="1:10" s="18" customFormat="1" ht="15.75" x14ac:dyDescent="0.25">
      <c r="A766" s="259"/>
      <c r="B766" s="260"/>
      <c r="C766" s="19"/>
      <c r="D766" s="34"/>
      <c r="E766" s="13">
        <v>45616</v>
      </c>
      <c r="F766" s="352">
        <v>2007570390</v>
      </c>
      <c r="G766" s="261" t="s">
        <v>14978</v>
      </c>
      <c r="H766" s="8">
        <v>103425</v>
      </c>
      <c r="J766" s="322"/>
    </row>
    <row r="767" spans="1:10" s="18" customFormat="1" ht="15.75" x14ac:dyDescent="0.25">
      <c r="A767" s="259"/>
      <c r="B767" s="260"/>
      <c r="C767" s="19"/>
      <c r="D767" s="34"/>
      <c r="E767" s="13">
        <v>45622</v>
      </c>
      <c r="F767" s="352">
        <v>2007570391</v>
      </c>
      <c r="G767" s="261" t="s">
        <v>14472</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15089</v>
      </c>
      <c r="H770" s="8">
        <v>123270</v>
      </c>
      <c r="J770" s="322"/>
    </row>
    <row r="771" spans="1:10" s="18" customFormat="1" ht="15.75" x14ac:dyDescent="0.25">
      <c r="A771" s="259"/>
      <c r="B771" s="260"/>
      <c r="C771" s="19"/>
      <c r="D771" s="34"/>
      <c r="E771" s="13">
        <v>45628</v>
      </c>
      <c r="F771" s="352">
        <v>2007570395</v>
      </c>
      <c r="G771" s="261" t="s">
        <v>14586</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15091</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15090</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15090</v>
      </c>
      <c r="H782" s="8">
        <v>795490</v>
      </c>
      <c r="I782" s="18" t="s">
        <v>15160</v>
      </c>
      <c r="J782" s="322"/>
    </row>
    <row r="783" spans="1:10" s="18" customFormat="1" ht="15.75" x14ac:dyDescent="0.25">
      <c r="A783" s="259"/>
      <c r="B783" s="260"/>
      <c r="C783" s="19"/>
      <c r="D783" s="34"/>
      <c r="E783" s="13">
        <v>45645</v>
      </c>
      <c r="F783" s="352">
        <v>2007570407</v>
      </c>
      <c r="G783" s="261" t="s">
        <v>14978</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15207</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14586</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15327</v>
      </c>
      <c r="H793" s="8">
        <v>500000</v>
      </c>
      <c r="J793" s="322"/>
    </row>
    <row r="794" spans="1:10" s="18" customFormat="1" ht="15.75" x14ac:dyDescent="0.25">
      <c r="A794" s="259"/>
      <c r="B794" s="260"/>
      <c r="C794" s="19"/>
      <c r="D794" s="34"/>
      <c r="E794" s="13">
        <v>45665</v>
      </c>
      <c r="F794" s="352">
        <v>2007570418</v>
      </c>
      <c r="G794" s="261" t="s">
        <v>15091</v>
      </c>
      <c r="H794" s="8">
        <v>454164</v>
      </c>
      <c r="J794" s="322"/>
    </row>
    <row r="795" spans="1:10" s="18" customFormat="1" ht="15.75" x14ac:dyDescent="0.25">
      <c r="A795" s="259"/>
      <c r="B795" s="260"/>
      <c r="C795" s="19"/>
      <c r="D795" s="34"/>
      <c r="E795" s="13">
        <v>45665</v>
      </c>
      <c r="F795" s="352">
        <v>2007570419</v>
      </c>
      <c r="G795" s="261" t="s">
        <v>15327</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15352</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15405</v>
      </c>
      <c r="H804" s="8">
        <v>311440</v>
      </c>
      <c r="J804" s="322"/>
    </row>
    <row r="805" spans="1:10" s="18" customFormat="1" ht="15.75" x14ac:dyDescent="0.25">
      <c r="A805" s="259"/>
      <c r="B805" s="260"/>
      <c r="C805" s="19"/>
      <c r="D805" s="34"/>
      <c r="E805" s="13">
        <v>45686</v>
      </c>
      <c r="F805" s="352">
        <v>2007570429</v>
      </c>
      <c r="G805" s="261" t="s">
        <v>15443</v>
      </c>
      <c r="H805" s="8">
        <v>125000</v>
      </c>
      <c r="J805" s="322"/>
    </row>
    <row r="806" spans="1:10" s="18" customFormat="1" ht="15.75" x14ac:dyDescent="0.25">
      <c r="A806" s="259"/>
      <c r="B806" s="260"/>
      <c r="C806" s="19"/>
      <c r="D806" s="34"/>
      <c r="E806" s="13">
        <v>45679</v>
      </c>
      <c r="F806" s="352">
        <v>2007570430</v>
      </c>
      <c r="G806" s="261" t="s">
        <v>14472</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15449</v>
      </c>
      <c r="H818" s="8">
        <v>162472</v>
      </c>
      <c r="J818" s="322"/>
    </row>
    <row r="819" spans="1:10" s="18" customFormat="1" ht="15.75" x14ac:dyDescent="0.25">
      <c r="A819" s="259"/>
      <c r="B819" s="260"/>
      <c r="C819" s="19"/>
      <c r="D819" s="34"/>
      <c r="E819" s="13">
        <v>45692</v>
      </c>
      <c r="F819" s="352">
        <v>2007570443</v>
      </c>
      <c r="G819" s="261" t="s">
        <v>14586</v>
      </c>
      <c r="H819" s="8">
        <v>300000</v>
      </c>
      <c r="J819" s="322"/>
    </row>
    <row r="820" spans="1:10" s="18" customFormat="1" ht="15.75" x14ac:dyDescent="0.25">
      <c r="A820" s="259"/>
      <c r="B820" s="260"/>
      <c r="C820" s="19"/>
      <c r="D820" s="34"/>
      <c r="E820" s="13">
        <v>45694</v>
      </c>
      <c r="F820" s="352">
        <v>2007570444</v>
      </c>
      <c r="G820" s="261" t="s">
        <v>15091</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15510</v>
      </c>
      <c r="H822" s="8">
        <v>100000</v>
      </c>
      <c r="J822" s="322"/>
    </row>
    <row r="823" spans="1:10" s="18" customFormat="1" ht="15.75" x14ac:dyDescent="0.25">
      <c r="A823" s="259"/>
      <c r="B823" s="260"/>
      <c r="C823" s="19"/>
      <c r="D823" s="34"/>
      <c r="E823" s="13">
        <v>45707</v>
      </c>
      <c r="F823" s="352">
        <v>2007570447</v>
      </c>
      <c r="G823" s="261" t="s">
        <v>15564</v>
      </c>
      <c r="H823" s="8">
        <v>164383</v>
      </c>
      <c r="J823" s="322"/>
    </row>
    <row r="824" spans="1:10" s="18" customFormat="1" ht="15.75" x14ac:dyDescent="0.25">
      <c r="A824" s="259"/>
      <c r="B824" s="260"/>
      <c r="C824" s="19"/>
      <c r="D824" s="34"/>
      <c r="E824" s="13">
        <v>45709</v>
      </c>
      <c r="F824" s="352">
        <v>2007570448</v>
      </c>
      <c r="G824" s="261" t="s">
        <v>14913</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15090</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15621</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45722</v>
      </c>
      <c r="F831" s="352">
        <v>2031680111</v>
      </c>
      <c r="G831" s="261" t="s">
        <v>14472</v>
      </c>
      <c r="H831" s="8">
        <v>80000</v>
      </c>
      <c r="J831" s="322"/>
    </row>
    <row r="832" spans="1:10" s="18" customFormat="1" ht="15.75" x14ac:dyDescent="0.25">
      <c r="A832" s="259"/>
      <c r="B832" s="260"/>
      <c r="C832" s="19"/>
      <c r="D832" s="34"/>
      <c r="E832" s="13">
        <v>45727</v>
      </c>
      <c r="F832" s="352">
        <v>2031680112</v>
      </c>
      <c r="G832" s="261" t="s">
        <v>15700</v>
      </c>
      <c r="H832" s="8">
        <v>153332</v>
      </c>
      <c r="J832" s="322"/>
    </row>
    <row r="833" spans="1:10" s="18" customFormat="1" ht="15.75" x14ac:dyDescent="0.25">
      <c r="A833" s="259"/>
      <c r="B833" s="260"/>
      <c r="C833" s="19"/>
      <c r="D833" s="34"/>
      <c r="E833" s="13">
        <v>45727</v>
      </c>
      <c r="F833" s="352">
        <v>2031680113</v>
      </c>
      <c r="G833" s="261" t="s">
        <v>15701</v>
      </c>
      <c r="H833" s="8">
        <v>100000</v>
      </c>
      <c r="J833" s="322"/>
    </row>
    <row r="834" spans="1:10" s="18" customFormat="1" ht="15.75" x14ac:dyDescent="0.25">
      <c r="A834" s="259"/>
      <c r="B834" s="260"/>
      <c r="C834" s="19"/>
      <c r="D834" s="34"/>
      <c r="E834" s="13">
        <v>45727</v>
      </c>
      <c r="F834" s="352">
        <v>2031680114</v>
      </c>
      <c r="G834" s="261" t="s">
        <v>15702</v>
      </c>
      <c r="H834" s="8">
        <v>100000</v>
      </c>
      <c r="J834" s="322"/>
    </row>
    <row r="835" spans="1:10" s="18" customFormat="1" ht="15.75" x14ac:dyDescent="0.25">
      <c r="A835" s="259"/>
      <c r="B835" s="260"/>
      <c r="C835" s="19"/>
      <c r="D835" s="34"/>
      <c r="E835" s="13">
        <v>45727</v>
      </c>
      <c r="F835" s="352">
        <v>2031680115</v>
      </c>
      <c r="G835" s="261" t="s">
        <v>15703</v>
      </c>
      <c r="H835" s="8">
        <v>100000</v>
      </c>
      <c r="J835" s="322"/>
    </row>
    <row r="836" spans="1:10" s="18" customFormat="1" ht="15.75" x14ac:dyDescent="0.25">
      <c r="A836" s="259"/>
      <c r="B836" s="260"/>
      <c r="C836" s="19"/>
      <c r="D836" s="34"/>
      <c r="E836" s="13">
        <v>45729</v>
      </c>
      <c r="F836" s="352">
        <v>2031680116</v>
      </c>
      <c r="G836" s="261" t="s">
        <v>15754</v>
      </c>
      <c r="H836" s="8">
        <v>50000</v>
      </c>
      <c r="J836" s="322"/>
    </row>
    <row r="837" spans="1:10" s="18" customFormat="1" ht="15.75" x14ac:dyDescent="0.25">
      <c r="A837" s="259"/>
      <c r="B837" s="260"/>
      <c r="C837" s="19"/>
      <c r="D837" s="34"/>
      <c r="E837" s="13">
        <v>45729</v>
      </c>
      <c r="F837" s="352">
        <v>2031680117</v>
      </c>
      <c r="G837" s="261" t="s">
        <v>15755</v>
      </c>
      <c r="H837" s="8">
        <v>50000</v>
      </c>
      <c r="J837" s="322"/>
    </row>
    <row r="838" spans="1:10" s="18" customFormat="1" ht="15.75" x14ac:dyDescent="0.25">
      <c r="A838" s="259"/>
      <c r="B838" s="260"/>
      <c r="C838" s="19"/>
      <c r="D838" s="34"/>
      <c r="E838" s="13">
        <v>45729</v>
      </c>
      <c r="F838" s="352">
        <v>2031680118</v>
      </c>
      <c r="G838" s="261" t="s">
        <v>15756</v>
      </c>
      <c r="H838" s="8">
        <v>33915</v>
      </c>
      <c r="J838" s="322"/>
    </row>
    <row r="839" spans="1:10" s="18" customFormat="1" ht="15.75" x14ac:dyDescent="0.25">
      <c r="A839" s="259"/>
      <c r="B839" s="260"/>
      <c r="C839" s="19"/>
      <c r="D839" s="34"/>
      <c r="E839" s="13">
        <v>45729</v>
      </c>
      <c r="F839" s="352">
        <v>2031680119</v>
      </c>
      <c r="G839" s="261" t="s">
        <v>15759</v>
      </c>
      <c r="H839" s="8">
        <v>70000</v>
      </c>
      <c r="J839" s="322"/>
    </row>
    <row r="840" spans="1:10" s="18" customFormat="1" ht="15.75" x14ac:dyDescent="0.25">
      <c r="A840" s="259"/>
      <c r="B840" s="260"/>
      <c r="C840" s="19"/>
      <c r="D840" s="34"/>
      <c r="E840" s="13">
        <v>45729</v>
      </c>
      <c r="F840" s="352">
        <v>2031680120</v>
      </c>
      <c r="G840" s="261" t="s">
        <v>15760</v>
      </c>
      <c r="H840" s="8">
        <v>150000</v>
      </c>
      <c r="J840" s="322"/>
    </row>
    <row r="841" spans="1:10" s="18" customFormat="1" ht="15.75" x14ac:dyDescent="0.25">
      <c r="A841" s="259"/>
      <c r="B841" s="260"/>
      <c r="C841" s="19"/>
      <c r="D841" s="34"/>
      <c r="E841" s="13">
        <v>45740</v>
      </c>
      <c r="F841" s="352">
        <v>2031680121</v>
      </c>
      <c r="G841" s="261" t="s">
        <v>15824</v>
      </c>
      <c r="H841" s="8">
        <v>400000</v>
      </c>
      <c r="J841" s="322"/>
    </row>
    <row r="842" spans="1:10" s="18" customFormat="1" ht="15.75" x14ac:dyDescent="0.25">
      <c r="A842" s="259"/>
      <c r="B842" s="260"/>
      <c r="C842" s="19"/>
      <c r="D842" s="34"/>
      <c r="E842" s="13">
        <v>45740</v>
      </c>
      <c r="F842" s="352">
        <v>2031680122</v>
      </c>
      <c r="G842" s="261" t="s">
        <v>15825</v>
      </c>
      <c r="H842" s="8">
        <v>200000</v>
      </c>
      <c r="J842" s="322"/>
    </row>
    <row r="843" spans="1:10" s="18" customFormat="1" ht="15.75" x14ac:dyDescent="0.25">
      <c r="A843" s="259"/>
      <c r="B843" s="260"/>
      <c r="C843" s="19"/>
      <c r="D843" s="34"/>
      <c r="E843" s="13">
        <v>45754</v>
      </c>
      <c r="F843" s="352">
        <v>2031680123</v>
      </c>
      <c r="G843" s="261" t="s">
        <v>15880</v>
      </c>
      <c r="H843" s="8">
        <v>100000</v>
      </c>
      <c r="J843" s="322"/>
    </row>
    <row r="844" spans="1:10" s="18" customFormat="1" ht="15.75" x14ac:dyDescent="0.25">
      <c r="A844" s="259"/>
      <c r="B844" s="260"/>
      <c r="C844" s="19"/>
      <c r="D844" s="34"/>
      <c r="E844" s="13">
        <v>45754</v>
      </c>
      <c r="F844" s="352">
        <v>2031680124</v>
      </c>
      <c r="G844" s="261" t="s">
        <v>15909</v>
      </c>
      <c r="H844" s="8">
        <v>506735</v>
      </c>
      <c r="J844" s="322"/>
    </row>
    <row r="845" spans="1:10" s="18" customFormat="1" ht="15.75" x14ac:dyDescent="0.25">
      <c r="A845" s="259"/>
      <c r="B845" s="260"/>
      <c r="C845" s="19"/>
      <c r="D845" s="34"/>
      <c r="E845" s="13">
        <v>45761</v>
      </c>
      <c r="F845" s="352">
        <v>2031680125</v>
      </c>
      <c r="G845" s="261" t="s">
        <v>15896</v>
      </c>
      <c r="H845" s="8">
        <v>900360</v>
      </c>
      <c r="J845" s="322"/>
    </row>
    <row r="846" spans="1:10" s="18" customFormat="1" ht="15.75" x14ac:dyDescent="0.25">
      <c r="A846" s="259"/>
      <c r="B846" s="260"/>
      <c r="C846" s="19"/>
      <c r="D846" s="34"/>
      <c r="E846" s="13">
        <v>45761</v>
      </c>
      <c r="F846" s="352">
        <v>2031680126</v>
      </c>
      <c r="G846" s="261" t="s">
        <v>15897</v>
      </c>
      <c r="H846" s="8">
        <v>730002</v>
      </c>
      <c r="J846" s="322"/>
    </row>
    <row r="847" spans="1:10" s="18" customFormat="1" ht="15.75" x14ac:dyDescent="0.25">
      <c r="A847" s="259"/>
      <c r="B847" s="260"/>
      <c r="C847" s="19"/>
      <c r="D847" s="34"/>
      <c r="E847" s="13">
        <v>45761</v>
      </c>
      <c r="F847" s="352">
        <v>2031680127</v>
      </c>
      <c r="G847" s="261" t="s">
        <v>15898</v>
      </c>
      <c r="H847" s="8">
        <v>130784</v>
      </c>
      <c r="J847" s="322"/>
    </row>
    <row r="848" spans="1:10" s="18" customFormat="1" ht="15.75" x14ac:dyDescent="0.25">
      <c r="A848" s="259"/>
      <c r="B848" s="260"/>
      <c r="C848" s="19"/>
      <c r="D848" s="34"/>
      <c r="E848" s="13">
        <v>45761</v>
      </c>
      <c r="F848" s="352">
        <v>2031680128</v>
      </c>
      <c r="G848" s="261" t="s">
        <v>12451</v>
      </c>
      <c r="H848" s="8">
        <v>132290</v>
      </c>
      <c r="J848" s="322"/>
    </row>
    <row r="849" spans="1:10" s="18" customFormat="1" ht="15.75" x14ac:dyDescent="0.25">
      <c r="A849" s="259"/>
      <c r="B849" s="260"/>
      <c r="C849" s="19"/>
      <c r="D849" s="34"/>
      <c r="E849" s="13">
        <v>45761</v>
      </c>
      <c r="F849" s="352">
        <v>2031680129</v>
      </c>
      <c r="G849" s="261" t="s">
        <v>7090</v>
      </c>
      <c r="H849" s="8"/>
      <c r="J849" s="322"/>
    </row>
    <row r="850" spans="1:10" s="18" customFormat="1" ht="15.75" x14ac:dyDescent="0.25">
      <c r="A850" s="259"/>
      <c r="B850" s="260"/>
      <c r="C850" s="19"/>
      <c r="D850" s="34"/>
      <c r="E850" s="13">
        <v>45761</v>
      </c>
      <c r="F850" s="352">
        <v>2031680130</v>
      </c>
      <c r="G850" s="261" t="s">
        <v>8161</v>
      </c>
      <c r="H850" s="8">
        <v>100000</v>
      </c>
      <c r="J850" s="322"/>
    </row>
    <row r="851" spans="1:10" s="18" customFormat="1" ht="15.75" x14ac:dyDescent="0.25">
      <c r="A851" s="259"/>
      <c r="B851" s="260"/>
      <c r="C851" s="19"/>
      <c r="D851" s="34"/>
      <c r="E851" s="13">
        <v>45762</v>
      </c>
      <c r="F851" s="352">
        <v>2031680131</v>
      </c>
      <c r="G851" s="261" t="s">
        <v>15910</v>
      </c>
      <c r="H851" s="8">
        <v>215959</v>
      </c>
      <c r="J851" s="322"/>
    </row>
    <row r="852" spans="1:10" s="18" customFormat="1" ht="15.75" x14ac:dyDescent="0.25">
      <c r="A852" s="259"/>
      <c r="B852" s="260"/>
      <c r="C852" s="19"/>
      <c r="D852" s="34"/>
      <c r="E852" s="13">
        <v>45769</v>
      </c>
      <c r="F852" s="352">
        <v>2031680132</v>
      </c>
      <c r="G852" s="261" t="s">
        <v>15971</v>
      </c>
      <c r="H852" s="8">
        <v>314800</v>
      </c>
      <c r="J852" s="322"/>
    </row>
    <row r="853" spans="1:10" s="18" customFormat="1" ht="15.75" x14ac:dyDescent="0.25">
      <c r="A853" s="259"/>
      <c r="B853" s="260"/>
      <c r="C853" s="19"/>
      <c r="D853" s="34"/>
      <c r="E853" s="13">
        <v>45769</v>
      </c>
      <c r="F853" s="352">
        <v>2031680133</v>
      </c>
      <c r="G853" s="261" t="s">
        <v>15972</v>
      </c>
      <c r="H853" s="8">
        <v>140000</v>
      </c>
      <c r="J853" s="322"/>
    </row>
    <row r="854" spans="1:10" s="18" customFormat="1" ht="15.75" x14ac:dyDescent="0.25">
      <c r="A854" s="259"/>
      <c r="B854" s="260"/>
      <c r="C854" s="19"/>
      <c r="D854" s="34"/>
      <c r="E854" s="13">
        <v>45769</v>
      </c>
      <c r="F854" s="352">
        <v>2031680134</v>
      </c>
      <c r="G854" s="261" t="s">
        <v>15973</v>
      </c>
      <c r="H854" s="8">
        <v>100000</v>
      </c>
      <c r="J854" s="322"/>
    </row>
    <row r="855" spans="1:10" s="18" customFormat="1" ht="15.75" x14ac:dyDescent="0.25">
      <c r="A855" s="259"/>
      <c r="B855" s="260"/>
      <c r="C855" s="19"/>
      <c r="D855" s="34"/>
      <c r="E855" s="13">
        <v>45769</v>
      </c>
      <c r="F855" s="352">
        <v>2031680135</v>
      </c>
      <c r="G855" s="261" t="s">
        <v>15974</v>
      </c>
      <c r="H855" s="8">
        <v>100000</v>
      </c>
      <c r="J855" s="322"/>
    </row>
    <row r="856" spans="1:10" s="18" customFormat="1" ht="15.75" x14ac:dyDescent="0.25">
      <c r="A856" s="259"/>
      <c r="B856" s="260"/>
      <c r="C856" s="19"/>
      <c r="D856" s="34"/>
      <c r="E856" s="13">
        <v>45769</v>
      </c>
      <c r="F856" s="352">
        <v>2031680136</v>
      </c>
      <c r="G856" s="261" t="s">
        <v>15975</v>
      </c>
      <c r="H856" s="8">
        <v>174000</v>
      </c>
      <c r="J856" s="322"/>
    </row>
    <row r="857" spans="1:10" s="18" customFormat="1" ht="15.75" x14ac:dyDescent="0.25">
      <c r="A857" s="259"/>
      <c r="B857" s="260"/>
      <c r="C857" s="19"/>
      <c r="D857" s="34"/>
      <c r="E857" s="13">
        <v>45769</v>
      </c>
      <c r="F857" s="352">
        <v>2031680137</v>
      </c>
      <c r="G857" s="261" t="s">
        <v>15989</v>
      </c>
      <c r="H857" s="8">
        <v>350000</v>
      </c>
      <c r="J857" s="322"/>
    </row>
    <row r="858" spans="1:10" s="18" customFormat="1" ht="15.75" x14ac:dyDescent="0.25">
      <c r="A858" s="259"/>
      <c r="B858" s="260"/>
      <c r="C858" s="19"/>
      <c r="D858" s="34"/>
      <c r="E858" s="13">
        <v>45772</v>
      </c>
      <c r="F858" s="352">
        <v>2031680138</v>
      </c>
      <c r="G858" s="261" t="s">
        <v>15999</v>
      </c>
      <c r="H858" s="8">
        <v>199310</v>
      </c>
      <c r="J858" s="322"/>
    </row>
    <row r="859" spans="1:10" s="18" customFormat="1" ht="15.75" x14ac:dyDescent="0.25">
      <c r="A859" s="259"/>
      <c r="B859" s="260"/>
      <c r="C859" s="19"/>
      <c r="D859" s="34"/>
      <c r="E859" s="13">
        <v>45772</v>
      </c>
      <c r="F859" s="352">
        <v>2031680139</v>
      </c>
      <c r="G859" s="261" t="s">
        <v>7090</v>
      </c>
      <c r="H859" s="8">
        <v>0</v>
      </c>
      <c r="J859" s="322"/>
    </row>
    <row r="860" spans="1:10" s="18" customFormat="1" ht="15.75" x14ac:dyDescent="0.25">
      <c r="A860" s="259"/>
      <c r="B860" s="260"/>
      <c r="C860" s="19"/>
      <c r="D860" s="34"/>
      <c r="E860" s="13">
        <v>45772</v>
      </c>
      <c r="F860" s="352">
        <v>2031680140</v>
      </c>
      <c r="G860" s="261"/>
      <c r="H860" s="8">
        <v>0</v>
      </c>
      <c r="J860" s="322"/>
    </row>
    <row r="861" spans="1:10" s="18" customFormat="1" ht="15.75" x14ac:dyDescent="0.25">
      <c r="A861" s="259"/>
      <c r="B861" s="260"/>
      <c r="C861" s="19"/>
      <c r="D861" s="34"/>
      <c r="E861" s="13">
        <v>45783</v>
      </c>
      <c r="F861" s="352">
        <v>2031680141</v>
      </c>
      <c r="G861" s="261" t="s">
        <v>16126</v>
      </c>
      <c r="H861" s="8">
        <v>1000000</v>
      </c>
      <c r="J861" s="322"/>
    </row>
    <row r="862" spans="1:10" s="18" customFormat="1" ht="15.75" x14ac:dyDescent="0.25">
      <c r="A862" s="259"/>
      <c r="B862" s="260"/>
      <c r="C862" s="19"/>
      <c r="D862" s="34"/>
      <c r="E862" s="13">
        <v>45784</v>
      </c>
      <c r="F862" s="352">
        <v>2031680142</v>
      </c>
      <c r="G862" s="261" t="s">
        <v>16126</v>
      </c>
      <c r="H862" s="8">
        <v>1000000</v>
      </c>
      <c r="J862" s="322"/>
    </row>
    <row r="863" spans="1:10" s="18" customFormat="1" ht="15.75" x14ac:dyDescent="0.25">
      <c r="A863" s="259"/>
      <c r="B863" s="260"/>
      <c r="C863" s="19"/>
      <c r="D863" s="34"/>
      <c r="E863" s="13">
        <v>45785</v>
      </c>
      <c r="F863" s="352">
        <v>2031680143</v>
      </c>
      <c r="G863" s="261" t="s">
        <v>16126</v>
      </c>
      <c r="H863" s="8">
        <v>970000</v>
      </c>
      <c r="J863" s="322"/>
    </row>
    <row r="864" spans="1:10" s="18" customFormat="1" ht="15.75" x14ac:dyDescent="0.25">
      <c r="A864" s="259"/>
      <c r="B864" s="260"/>
      <c r="C864" s="19"/>
      <c r="D864" s="34"/>
      <c r="E864" s="13">
        <v>45785</v>
      </c>
      <c r="F864" s="352">
        <v>2031680144</v>
      </c>
      <c r="G864" s="261" t="s">
        <v>16128</v>
      </c>
      <c r="H864" s="8">
        <v>100000</v>
      </c>
      <c r="J864" s="322"/>
    </row>
    <row r="865" spans="1:10" s="18" customFormat="1" ht="15.75" x14ac:dyDescent="0.25">
      <c r="A865" s="259"/>
      <c r="B865" s="260"/>
      <c r="C865" s="19"/>
      <c r="D865" s="34"/>
      <c r="E865" s="13">
        <v>45785</v>
      </c>
      <c r="F865" s="352">
        <v>2031680145</v>
      </c>
      <c r="G865" s="261" t="s">
        <v>16129</v>
      </c>
      <c r="H865" s="8">
        <v>400000</v>
      </c>
      <c r="J865" s="322"/>
    </row>
    <row r="866" spans="1:10" s="18" customFormat="1" ht="15.75" x14ac:dyDescent="0.25">
      <c r="A866" s="259"/>
      <c r="B866" s="260"/>
      <c r="C866" s="19"/>
      <c r="D866" s="34"/>
      <c r="E866" s="13">
        <v>45789</v>
      </c>
      <c r="F866" s="352">
        <v>2031680146</v>
      </c>
      <c r="G866" s="261" t="s">
        <v>16246</v>
      </c>
      <c r="H866" s="8">
        <v>625000</v>
      </c>
      <c r="I866" s="18">
        <v>12</v>
      </c>
      <c r="J866" s="322"/>
    </row>
    <row r="867" spans="1:10" s="18" customFormat="1" ht="15.75" x14ac:dyDescent="0.25">
      <c r="A867" s="259"/>
      <c r="B867" s="260"/>
      <c r="C867" s="19"/>
      <c r="D867" s="34"/>
      <c r="E867" s="13">
        <v>45790</v>
      </c>
      <c r="F867" s="352">
        <v>2031680147</v>
      </c>
      <c r="G867" s="261" t="s">
        <v>6606</v>
      </c>
      <c r="H867" s="8">
        <v>390000</v>
      </c>
      <c r="I867" s="18">
        <v>13</v>
      </c>
      <c r="J867" s="18">
        <v>1500000</v>
      </c>
    </row>
    <row r="868" spans="1:10" s="18" customFormat="1" ht="15.75" x14ac:dyDescent="0.25">
      <c r="A868" s="259"/>
      <c r="B868" s="260"/>
      <c r="C868" s="19"/>
      <c r="D868" s="34"/>
      <c r="E868" s="13">
        <v>45790</v>
      </c>
      <c r="F868" s="352">
        <v>2031680148</v>
      </c>
      <c r="G868" s="261" t="s">
        <v>16252</v>
      </c>
      <c r="H868" s="8">
        <v>285000</v>
      </c>
      <c r="I868" s="18">
        <v>13</v>
      </c>
    </row>
    <row r="869" spans="1:10" s="18" customFormat="1" ht="15.75" x14ac:dyDescent="0.25">
      <c r="A869" s="259"/>
      <c r="B869" s="260"/>
      <c r="C869" s="19"/>
      <c r="D869" s="34"/>
      <c r="E869" s="13">
        <v>45790</v>
      </c>
      <c r="F869" s="352">
        <v>2031680149</v>
      </c>
      <c r="G869" s="261" t="s">
        <v>15091</v>
      </c>
      <c r="H869" s="8">
        <v>413457</v>
      </c>
      <c r="I869" s="18">
        <v>13</v>
      </c>
    </row>
    <row r="870" spans="1:10" s="18" customFormat="1" ht="15.75" x14ac:dyDescent="0.25">
      <c r="A870" s="259"/>
      <c r="B870" s="260"/>
      <c r="C870" s="19"/>
      <c r="D870" s="34"/>
      <c r="E870" s="13">
        <v>45790</v>
      </c>
      <c r="F870" s="352">
        <v>2031680150</v>
      </c>
      <c r="G870" s="261" t="s">
        <v>16247</v>
      </c>
      <c r="H870" s="8">
        <v>141000</v>
      </c>
    </row>
    <row r="871" spans="1:10" s="18" customFormat="1" ht="15.75" x14ac:dyDescent="0.25">
      <c r="A871" s="259"/>
      <c r="B871" s="260"/>
      <c r="C871" s="19"/>
      <c r="D871" s="34"/>
      <c r="E871" s="13">
        <v>45790</v>
      </c>
      <c r="F871" s="352">
        <v>2031680151</v>
      </c>
      <c r="G871" s="261" t="s">
        <v>16248</v>
      </c>
      <c r="H871" s="8">
        <v>65000</v>
      </c>
    </row>
    <row r="872" spans="1:10" s="18" customFormat="1" ht="15.75" x14ac:dyDescent="0.25">
      <c r="A872" s="259"/>
      <c r="B872" s="260"/>
      <c r="C872" s="19"/>
      <c r="D872" s="34"/>
      <c r="E872" s="13">
        <v>45790</v>
      </c>
      <c r="F872" s="352">
        <v>2031680152</v>
      </c>
      <c r="G872" s="261" t="s">
        <v>5328</v>
      </c>
      <c r="H872" s="8">
        <v>1000000</v>
      </c>
    </row>
    <row r="873" spans="1:10" s="18" customFormat="1" ht="15.75" x14ac:dyDescent="0.25">
      <c r="A873" s="259"/>
      <c r="B873" s="260"/>
      <c r="C873" s="19"/>
      <c r="D873" s="34"/>
      <c r="E873" s="13">
        <v>45790</v>
      </c>
      <c r="F873" s="352">
        <v>2031680153</v>
      </c>
      <c r="G873" s="261" t="s">
        <v>16249</v>
      </c>
      <c r="H873" s="8">
        <v>450000</v>
      </c>
    </row>
    <row r="874" spans="1:10" s="18" customFormat="1" ht="15.75" x14ac:dyDescent="0.25">
      <c r="A874" s="259"/>
      <c r="B874" s="260"/>
      <c r="C874" s="19"/>
      <c r="D874" s="34"/>
      <c r="E874" s="13">
        <v>45790</v>
      </c>
      <c r="F874" s="352">
        <v>2031680154</v>
      </c>
      <c r="G874" s="261" t="s">
        <v>16249</v>
      </c>
      <c r="H874" s="8">
        <v>450000</v>
      </c>
    </row>
    <row r="875" spans="1:10" s="18" customFormat="1" ht="15.75" x14ac:dyDescent="0.25">
      <c r="A875" s="259"/>
      <c r="B875" s="260"/>
      <c r="C875" s="19"/>
      <c r="D875" s="34"/>
      <c r="E875" s="13">
        <v>45790</v>
      </c>
      <c r="F875" s="352">
        <v>2031680155</v>
      </c>
      <c r="G875" s="261" t="s">
        <v>10525</v>
      </c>
      <c r="H875" s="8">
        <v>300000</v>
      </c>
      <c r="I875" s="18">
        <v>13</v>
      </c>
    </row>
    <row r="876" spans="1:10" s="18" customFormat="1" ht="15.75" x14ac:dyDescent="0.25">
      <c r="A876" s="259"/>
      <c r="B876" s="260"/>
      <c r="C876" s="19"/>
      <c r="D876" s="34"/>
      <c r="E876" s="13">
        <v>45790</v>
      </c>
      <c r="F876" s="352">
        <v>2031680156</v>
      </c>
      <c r="G876" s="261">
        <v>0</v>
      </c>
      <c r="H876" s="8">
        <v>0</v>
      </c>
      <c r="I876" s="18">
        <v>13</v>
      </c>
    </row>
    <row r="877" spans="1:10" s="18" customFormat="1" ht="15.75" x14ac:dyDescent="0.25">
      <c r="A877" s="259"/>
      <c r="B877" s="260"/>
      <c r="C877" s="19"/>
      <c r="D877" s="34"/>
      <c r="E877" s="13">
        <v>45790</v>
      </c>
      <c r="F877" s="352">
        <v>2031680157</v>
      </c>
      <c r="G877" s="261" t="s">
        <v>16250</v>
      </c>
      <c r="H877" s="8">
        <v>237000</v>
      </c>
    </row>
    <row r="878" spans="1:10" s="18" customFormat="1" ht="15.75" x14ac:dyDescent="0.25">
      <c r="A878" s="259"/>
      <c r="B878" s="260"/>
      <c r="C878" s="19"/>
      <c r="D878" s="34"/>
      <c r="E878" s="13">
        <v>45797</v>
      </c>
      <c r="F878" s="352">
        <v>2031680158</v>
      </c>
      <c r="G878" s="261" t="s">
        <v>6134</v>
      </c>
      <c r="H878" s="8">
        <v>200000</v>
      </c>
    </row>
    <row r="879" spans="1:10" s="18" customFormat="1" ht="15.75" x14ac:dyDescent="0.25">
      <c r="A879" s="259"/>
      <c r="B879" s="260"/>
      <c r="C879" s="19"/>
      <c r="D879" s="34"/>
      <c r="E879" s="13">
        <v>45798</v>
      </c>
      <c r="F879" s="352">
        <v>2031680159</v>
      </c>
      <c r="G879" s="261" t="s">
        <v>16302</v>
      </c>
      <c r="H879" s="8">
        <v>65000</v>
      </c>
    </row>
    <row r="880" spans="1:10" s="18" customFormat="1" ht="15.75" x14ac:dyDescent="0.25">
      <c r="A880" s="259"/>
      <c r="B880" s="260"/>
      <c r="C880" s="19"/>
      <c r="D880" s="34"/>
      <c r="E880" s="13">
        <v>45800</v>
      </c>
      <c r="F880" s="352">
        <v>2031680160</v>
      </c>
      <c r="G880" s="261" t="s">
        <v>15090</v>
      </c>
      <c r="H880" s="8">
        <v>1870974</v>
      </c>
    </row>
    <row r="881" spans="1:10" s="18" customFormat="1" ht="15.75" x14ac:dyDescent="0.25">
      <c r="A881" s="259"/>
      <c r="B881" s="260"/>
      <c r="C881" s="19"/>
      <c r="D881" s="34"/>
      <c r="E881" s="13">
        <v>45800</v>
      </c>
      <c r="F881" s="352">
        <v>2031680161</v>
      </c>
      <c r="G881" s="261" t="s">
        <v>16326</v>
      </c>
      <c r="H881" s="8">
        <v>141505</v>
      </c>
    </row>
    <row r="882" spans="1:10" s="18" customFormat="1" ht="15.75" x14ac:dyDescent="0.25">
      <c r="A882" s="259"/>
      <c r="B882" s="260"/>
      <c r="C882" s="19"/>
      <c r="D882" s="34"/>
      <c r="E882" s="13">
        <v>45800</v>
      </c>
      <c r="F882" s="352">
        <v>2031680162</v>
      </c>
      <c r="G882" s="261" t="s">
        <v>9163</v>
      </c>
      <c r="H882" s="8">
        <v>1000000</v>
      </c>
    </row>
    <row r="883" spans="1:10" s="18" customFormat="1" ht="15.75" x14ac:dyDescent="0.25">
      <c r="A883" s="259"/>
      <c r="B883" s="260"/>
      <c r="C883" s="19"/>
      <c r="D883" s="34"/>
      <c r="E883" s="262"/>
      <c r="F883" s="352">
        <v>2031680163</v>
      </c>
      <c r="G883" s="261"/>
      <c r="H883" s="8"/>
    </row>
    <row r="884" spans="1:10" s="18" customFormat="1" ht="15.75" x14ac:dyDescent="0.25">
      <c r="A884" s="259"/>
      <c r="B884" s="260"/>
      <c r="C884" s="19"/>
      <c r="D884" s="34"/>
      <c r="E884" s="262"/>
      <c r="F884" s="352">
        <v>2031680164</v>
      </c>
      <c r="G884" s="261"/>
      <c r="H884" s="8"/>
    </row>
    <row r="885" spans="1:10" s="18" customFormat="1" ht="18.75" x14ac:dyDescent="0.3">
      <c r="A885" s="259"/>
      <c r="B885" s="260"/>
      <c r="C885" s="19"/>
      <c r="D885" s="34"/>
      <c r="E885" s="991" t="s">
        <v>7001</v>
      </c>
      <c r="F885" s="992"/>
      <c r="G885" s="993"/>
      <c r="H885" s="26">
        <f>SUM(H6:H884)</f>
        <v>235318001</v>
      </c>
      <c r="J885" s="322">
        <f>J867+J421</f>
        <v>61316778.75120002</v>
      </c>
    </row>
    <row r="886" spans="1:10" s="18" customFormat="1" ht="17.25" x14ac:dyDescent="0.3">
      <c r="A886" s="997" t="s">
        <v>7001</v>
      </c>
      <c r="B886" s="998"/>
      <c r="C886" s="26">
        <f>SUM(C6:C759)</f>
        <v>291103779.75120002</v>
      </c>
      <c r="D886" s="34"/>
      <c r="E886" s="2"/>
      <c r="F886" s="2"/>
      <c r="G886" s="2"/>
      <c r="H886" s="2"/>
    </row>
    <row r="887" spans="1:10" s="18" customFormat="1" ht="15.75" x14ac:dyDescent="0.25">
      <c r="A887"/>
      <c r="B887" s="2"/>
      <c r="C887" s="2"/>
      <c r="D887" s="34"/>
      <c r="E887" s="2"/>
      <c r="F887" s="2"/>
      <c r="G887" s="2"/>
      <c r="H887" s="2"/>
    </row>
    <row r="888" spans="1:10" s="18" customFormat="1" ht="15.75" x14ac:dyDescent="0.25">
      <c r="A888"/>
      <c r="B888" s="2"/>
      <c r="C888" s="2"/>
      <c r="D888" s="34"/>
      <c r="E888" s="2"/>
      <c r="F888" s="2"/>
      <c r="G888" s="2"/>
      <c r="H888" s="2"/>
    </row>
    <row r="889" spans="1:10" s="18" customFormat="1" ht="15.75" x14ac:dyDescent="0.25">
      <c r="A889"/>
      <c r="B889" s="2"/>
      <c r="C889" s="2"/>
      <c r="D889" s="25"/>
      <c r="E889" s="2"/>
      <c r="F889" s="2"/>
      <c r="G889" s="2"/>
      <c r="H889" s="2"/>
    </row>
  </sheetData>
  <mergeCells count="6">
    <mergeCell ref="A886:B886"/>
    <mergeCell ref="A4:C4"/>
    <mergeCell ref="E4:H4"/>
    <mergeCell ref="E885:G885"/>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B8" sqref="B8"/>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994" t="s">
        <v>7053</v>
      </c>
      <c r="B1" s="994"/>
      <c r="C1" s="30" t="s">
        <v>8284</v>
      </c>
      <c r="D1" s="3"/>
      <c r="E1" s="3"/>
      <c r="F1" s="3"/>
      <c r="G1" s="279" t="s">
        <v>7047</v>
      </c>
      <c r="H1" s="31">
        <f ca="1">TODAY()</f>
        <v>45804</v>
      </c>
      <c r="J1" s="387" t="s">
        <v>15015</v>
      </c>
      <c r="K1" s="1002" t="s">
        <v>15016</v>
      </c>
      <c r="L1" s="1002"/>
      <c r="M1" s="1002"/>
      <c r="N1" s="1002"/>
      <c r="O1" s="1002"/>
    </row>
    <row r="2" spans="1:15" ht="21" x14ac:dyDescent="0.3">
      <c r="A2" s="995" t="s">
        <v>15010</v>
      </c>
      <c r="B2" s="996"/>
      <c r="C2" s="28">
        <f>C6</f>
        <v>10000</v>
      </c>
      <c r="D2" s="3"/>
      <c r="E2" s="3"/>
      <c r="F2" s="3"/>
      <c r="G2" s="27" t="s">
        <v>15010</v>
      </c>
      <c r="H2" s="278">
        <f>C15-H15</f>
        <v>14043600</v>
      </c>
      <c r="J2" s="387" t="s">
        <v>15012</v>
      </c>
      <c r="K2" s="1000" t="s">
        <v>15013</v>
      </c>
      <c r="L2" s="1001"/>
    </row>
    <row r="3" spans="1:15" ht="8.25" customHeight="1" thickBot="1" x14ac:dyDescent="0.3">
      <c r="B3" s="3"/>
      <c r="C3" s="3"/>
      <c r="D3" s="3"/>
      <c r="E3" s="3"/>
      <c r="F3" s="3"/>
      <c r="G3" s="3"/>
      <c r="H3" s="3"/>
    </row>
    <row r="4" spans="1:15" ht="26.25" x14ac:dyDescent="0.4">
      <c r="A4" s="282" t="s">
        <v>5057</v>
      </c>
      <c r="B4" s="283"/>
      <c r="C4" s="283"/>
      <c r="D4" s="20"/>
      <c r="E4" s="989" t="s">
        <v>6975</v>
      </c>
      <c r="F4" s="989"/>
      <c r="G4" s="989"/>
      <c r="H4" s="990"/>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14759</v>
      </c>
      <c r="C6" s="14">
        <v>10000</v>
      </c>
      <c r="D6" s="22"/>
      <c r="E6" s="13">
        <v>45587</v>
      </c>
      <c r="F6" s="301"/>
      <c r="G6" s="16"/>
      <c r="H6" s="17"/>
    </row>
    <row r="7" spans="1:15" s="18" customFormat="1" ht="15.75" x14ac:dyDescent="0.25">
      <c r="A7" s="13">
        <v>45587</v>
      </c>
      <c r="B7" s="16" t="s">
        <v>14757</v>
      </c>
      <c r="C7" s="14">
        <v>4009600</v>
      </c>
      <c r="D7" s="23"/>
      <c r="E7" s="13"/>
      <c r="F7" s="301"/>
      <c r="G7" s="16"/>
      <c r="H7" s="8"/>
    </row>
    <row r="8" spans="1:15" s="18" customFormat="1" ht="15.75" x14ac:dyDescent="0.25">
      <c r="A8" s="13">
        <v>45747</v>
      </c>
      <c r="B8" s="16" t="s">
        <v>14757</v>
      </c>
      <c r="C8" s="19">
        <v>10024000</v>
      </c>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14043600</v>
      </c>
      <c r="D15" s="34"/>
      <c r="E15" s="991" t="s">
        <v>7001</v>
      </c>
      <c r="F15" s="992"/>
      <c r="G15" s="993"/>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994" t="s">
        <v>7053</v>
      </c>
      <c r="B1" s="994"/>
      <c r="C1" s="30" t="s">
        <v>8284</v>
      </c>
      <c r="D1" s="3"/>
      <c r="E1" s="3"/>
      <c r="F1" s="3"/>
      <c r="G1" s="279" t="s">
        <v>7047</v>
      </c>
      <c r="H1" s="31">
        <f ca="1">TODAY()</f>
        <v>45804</v>
      </c>
    </row>
    <row r="2" spans="1:12" ht="21" x14ac:dyDescent="0.3">
      <c r="A2" s="995" t="s">
        <v>15011</v>
      </c>
      <c r="B2" s="996"/>
      <c r="C2" s="28">
        <f>C6</f>
        <v>369216</v>
      </c>
      <c r="D2" s="3"/>
      <c r="E2" s="3"/>
      <c r="F2" s="3"/>
      <c r="G2" s="27" t="s">
        <v>15011</v>
      </c>
      <c r="H2" s="278">
        <f>C15-H15</f>
        <v>2117343.9380000001</v>
      </c>
      <c r="J2" s="387" t="s">
        <v>15012</v>
      </c>
      <c r="K2" s="1000" t="s">
        <v>15014</v>
      </c>
      <c r="L2" s="1001"/>
    </row>
    <row r="3" spans="1:12" ht="8.25" customHeight="1" thickBot="1" x14ac:dyDescent="0.3">
      <c r="B3" s="3"/>
      <c r="C3" s="3"/>
      <c r="D3" s="3"/>
      <c r="E3" s="3"/>
      <c r="F3" s="3"/>
      <c r="G3" s="3"/>
      <c r="H3" s="3"/>
    </row>
    <row r="4" spans="1:12" ht="26.25" x14ac:dyDescent="0.4">
      <c r="A4" s="282" t="s">
        <v>5057</v>
      </c>
      <c r="B4" s="283"/>
      <c r="C4" s="283"/>
      <c r="D4" s="20"/>
      <c r="E4" s="989" t="s">
        <v>6975</v>
      </c>
      <c r="F4" s="989"/>
      <c r="G4" s="989"/>
      <c r="H4" s="990"/>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14988</v>
      </c>
      <c r="C6" s="14">
        <v>369216</v>
      </c>
      <c r="D6" s="22"/>
      <c r="E6" s="13">
        <v>45587</v>
      </c>
      <c r="F6" s="301"/>
      <c r="G6" s="16"/>
      <c r="H6" s="17"/>
    </row>
    <row r="7" spans="1:12" s="18" customFormat="1" ht="31.5" x14ac:dyDescent="0.25">
      <c r="A7" s="13"/>
      <c r="B7" s="16" t="s">
        <v>14988</v>
      </c>
      <c r="C7" s="14">
        <v>498813.93800000002</v>
      </c>
      <c r="D7" s="23"/>
      <c r="E7" s="13"/>
      <c r="F7" s="301"/>
      <c r="G7" s="16"/>
      <c r="H7" s="8"/>
    </row>
    <row r="8" spans="1:12" s="18" customFormat="1" ht="15.75" x14ac:dyDescent="0.25">
      <c r="A8" s="13"/>
      <c r="B8" s="17" t="s">
        <v>14988</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991" t="s">
        <v>7001</v>
      </c>
      <c r="F15" s="992"/>
      <c r="G15" s="993"/>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994" t="s">
        <v>7053</v>
      </c>
      <c r="B1" s="994"/>
      <c r="C1" s="30" t="s">
        <v>8284</v>
      </c>
      <c r="D1" s="3"/>
      <c r="E1" s="3"/>
      <c r="F1" s="3"/>
      <c r="G1" s="279" t="s">
        <v>7047</v>
      </c>
      <c r="H1" s="31">
        <f ca="1">TODAY()</f>
        <v>45804</v>
      </c>
    </row>
    <row r="2" spans="1:10" ht="21" x14ac:dyDescent="0.3">
      <c r="A2" s="995" t="s">
        <v>861</v>
      </c>
      <c r="B2" s="996"/>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989" t="s">
        <v>6975</v>
      </c>
      <c r="F4" s="989"/>
      <c r="G4" s="989"/>
      <c r="H4" s="99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14033</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991" t="s">
        <v>7001</v>
      </c>
      <c r="F15" s="992"/>
      <c r="G15" s="993"/>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1036" t="s">
        <v>2</v>
      </c>
      <c r="B2" s="1037"/>
      <c r="C2" s="1037"/>
      <c r="D2" s="1037"/>
      <c r="E2" s="1038"/>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1025" t="s">
        <v>148</v>
      </c>
      <c r="C44" s="1026"/>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1025" t="s">
        <v>339</v>
      </c>
      <c r="C169" s="1026"/>
      <c r="D169" s="71"/>
      <c r="E169" s="72">
        <v>200000</v>
      </c>
      <c r="F169" s="43" t="e">
        <f t="shared" si="2"/>
        <v>#N/A</v>
      </c>
      <c r="G169" s="65"/>
    </row>
    <row r="170" spans="1:7" x14ac:dyDescent="0.3">
      <c r="A170" s="70">
        <v>42577</v>
      </c>
      <c r="B170" s="1025" t="s">
        <v>237</v>
      </c>
      <c r="C170" s="1026"/>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1025" t="s">
        <v>271</v>
      </c>
      <c r="C214" s="1026"/>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1025" t="s">
        <v>271</v>
      </c>
      <c r="C280" s="1026"/>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1032"/>
      <c r="J309" s="1032"/>
      <c r="K309" s="1032"/>
    </row>
    <row r="310" spans="1:11" x14ac:dyDescent="0.3">
      <c r="A310" s="79">
        <v>42593</v>
      </c>
      <c r="B310" s="5" t="s">
        <v>120</v>
      </c>
      <c r="C310" s="5" t="s">
        <v>377</v>
      </c>
      <c r="D310" s="43">
        <v>1000</v>
      </c>
      <c r="E310" s="43"/>
      <c r="F310" s="43" t="e">
        <f t="shared" si="4"/>
        <v>#N/A</v>
      </c>
      <c r="G310" s="43"/>
      <c r="I310" s="1033"/>
      <c r="J310" s="1034"/>
      <c r="K310" s="5"/>
    </row>
    <row r="311" spans="1:11" x14ac:dyDescent="0.3">
      <c r="A311" s="79">
        <v>42593</v>
      </c>
      <c r="B311" s="5" t="s">
        <v>53</v>
      </c>
      <c r="C311" s="5" t="s">
        <v>376</v>
      </c>
      <c r="D311" s="43">
        <v>2030</v>
      </c>
      <c r="E311" s="43"/>
      <c r="F311" s="43" t="e">
        <f t="shared" si="4"/>
        <v>#N/A</v>
      </c>
      <c r="G311" s="43"/>
      <c r="I311" s="1033"/>
      <c r="J311" s="1034"/>
      <c r="K311" s="43"/>
    </row>
    <row r="312" spans="1:11" ht="37.5" x14ac:dyDescent="0.3">
      <c r="A312" s="79">
        <v>42593</v>
      </c>
      <c r="B312" s="5" t="s">
        <v>120</v>
      </c>
      <c r="C312" s="92" t="s">
        <v>365</v>
      </c>
      <c r="D312" s="43">
        <v>1500</v>
      </c>
      <c r="E312" s="43"/>
      <c r="F312" s="43" t="e">
        <f t="shared" si="4"/>
        <v>#N/A</v>
      </c>
      <c r="G312" s="43"/>
      <c r="I312" s="1035"/>
      <c r="J312" s="1035"/>
      <c r="K312" s="43"/>
    </row>
    <row r="313" spans="1:11" x14ac:dyDescent="0.3">
      <c r="A313" s="79">
        <v>42593</v>
      </c>
      <c r="B313" s="5" t="s">
        <v>25</v>
      </c>
      <c r="C313" s="5" t="s">
        <v>366</v>
      </c>
      <c r="D313" s="43">
        <v>120</v>
      </c>
      <c r="E313" s="43"/>
      <c r="F313" s="43" t="e">
        <f t="shared" si="4"/>
        <v>#N/A</v>
      </c>
      <c r="G313" s="43"/>
      <c r="I313" s="1035"/>
      <c r="J313" s="1035"/>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1035"/>
      <c r="J319" s="1035"/>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1025" t="s">
        <v>413</v>
      </c>
      <c r="C359" s="1026"/>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1025" t="s">
        <v>448</v>
      </c>
      <c r="C386" s="1026"/>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1025" t="s">
        <v>457</v>
      </c>
      <c r="C407" s="1026"/>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1025" t="s">
        <v>464</v>
      </c>
      <c r="C431" s="1026"/>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1025" t="s">
        <v>498</v>
      </c>
      <c r="C444" s="1026"/>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1025" t="s">
        <v>503</v>
      </c>
      <c r="C476" s="1026"/>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1025" t="s">
        <v>522</v>
      </c>
      <c r="C503" s="1026"/>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1025" t="s">
        <v>503</v>
      </c>
      <c r="C509" s="1026"/>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37.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1025" t="s">
        <v>535</v>
      </c>
      <c r="C519" s="1026"/>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1025" t="s">
        <v>545</v>
      </c>
      <c r="C539" s="1026"/>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1025" t="s">
        <v>559</v>
      </c>
      <c r="C552" s="1026"/>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1025" t="s">
        <v>570</v>
      </c>
      <c r="C566" s="1026"/>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1025" t="s">
        <v>657</v>
      </c>
      <c r="C588" s="1026"/>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1025" t="s">
        <v>597</v>
      </c>
      <c r="C602" s="1026"/>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1025" t="s">
        <v>592</v>
      </c>
      <c r="C607" s="1026"/>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1025" t="s">
        <v>630</v>
      </c>
      <c r="C662" s="1026"/>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1025" t="s">
        <v>663</v>
      </c>
      <c r="C710" s="1026"/>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1025" t="s">
        <v>687</v>
      </c>
      <c r="C727" s="1026"/>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1025" t="s">
        <v>688</v>
      </c>
      <c r="C748" s="1026"/>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1025" t="s">
        <v>724</v>
      </c>
      <c r="C760" s="1026"/>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1025" t="s">
        <v>723</v>
      </c>
      <c r="C786" s="1026"/>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1025" t="s">
        <v>752</v>
      </c>
      <c r="C818" s="1026"/>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1025" t="s">
        <v>751</v>
      </c>
      <c r="C844" s="1026"/>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1025" t="s">
        <v>755</v>
      </c>
      <c r="C851" s="1026"/>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1025" t="s">
        <v>778</v>
      </c>
      <c r="C860" s="1026"/>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1025" t="s">
        <v>779</v>
      </c>
      <c r="C880" s="1026"/>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1025" t="s">
        <v>779</v>
      </c>
      <c r="C892" s="1026"/>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1025" t="s">
        <v>788</v>
      </c>
      <c r="C912" s="1026"/>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1025" t="s">
        <v>818</v>
      </c>
      <c r="C942" s="1026"/>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1025" t="s">
        <v>820</v>
      </c>
      <c r="C944" s="1026"/>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1025" t="s">
        <v>841</v>
      </c>
      <c r="C957" s="1026"/>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1025" t="s">
        <v>830</v>
      </c>
      <c r="C964" s="1026"/>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1025" t="s">
        <v>838</v>
      </c>
      <c r="C975" s="1026"/>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1025" t="s">
        <v>841</v>
      </c>
      <c r="C984" s="1026"/>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1025" t="s">
        <v>997</v>
      </c>
      <c r="C1001" s="1026"/>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1025" t="s">
        <v>841</v>
      </c>
      <c r="C1009" s="1026"/>
      <c r="D1009" s="71"/>
      <c r="E1009" s="72">
        <v>25000</v>
      </c>
      <c r="F1009" s="43" t="e">
        <f t="shared" si="15"/>
        <v>#N/A</v>
      </c>
      <c r="G1009" s="43"/>
      <c r="I1009" s="113"/>
    </row>
    <row r="1010" spans="1:10" x14ac:dyDescent="0.3">
      <c r="A1010" s="79">
        <v>42692</v>
      </c>
      <c r="B1010" s="1025" t="s">
        <v>841</v>
      </c>
      <c r="C1010" s="1026"/>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1025" t="s">
        <v>882</v>
      </c>
      <c r="C1021" s="1026"/>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1025" t="s">
        <v>895</v>
      </c>
      <c r="C1060" s="1026"/>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1025" t="s">
        <v>919</v>
      </c>
      <c r="C1075" s="1026"/>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1025" t="s">
        <v>918</v>
      </c>
      <c r="C1090" s="1026"/>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1025" t="s">
        <v>935</v>
      </c>
      <c r="C1121" s="1026"/>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1025" t="s">
        <v>950</v>
      </c>
      <c r="C1131" s="1026"/>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1025" t="s">
        <v>968</v>
      </c>
      <c r="C1158" s="1026"/>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1025" t="s">
        <v>967</v>
      </c>
      <c r="C1169" s="1026"/>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1025" t="s">
        <v>998</v>
      </c>
      <c r="C1195" s="1026"/>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1025" t="s">
        <v>1021</v>
      </c>
      <c r="C1210" s="1026"/>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1025" t="s">
        <v>1013</v>
      </c>
      <c r="C1218" s="1026"/>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1025" t="s">
        <v>1139</v>
      </c>
      <c r="C1229" s="1026"/>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1025" t="s">
        <v>1025</v>
      </c>
      <c r="C1234" s="1026"/>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1025" t="s">
        <v>1025</v>
      </c>
      <c r="C1258" s="1026"/>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1025" t="s">
        <v>1025</v>
      </c>
      <c r="C1273" s="1026"/>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1025" t="s">
        <v>1025</v>
      </c>
      <c r="C1285" s="1026"/>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1025" t="s">
        <v>1025</v>
      </c>
      <c r="C1297" s="1026"/>
      <c r="D1297" s="71"/>
      <c r="E1297" s="72">
        <v>100000</v>
      </c>
      <c r="F1297" s="43" t="e">
        <f t="shared" si="20"/>
        <v>#N/A</v>
      </c>
      <c r="G1297" s="43"/>
    </row>
    <row r="1298" spans="1:7" ht="56.2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1025" t="s">
        <v>1025</v>
      </c>
      <c r="C1312" s="1026"/>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1025" t="s">
        <v>1097</v>
      </c>
      <c r="C1321" s="1026"/>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1025" t="s">
        <v>1098</v>
      </c>
      <c r="C1345" s="1026"/>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1025" t="s">
        <v>1119</v>
      </c>
      <c r="C1366" s="1026"/>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1025" t="s">
        <v>1127</v>
      </c>
      <c r="C1379" s="1026"/>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1025" t="s">
        <v>1127</v>
      </c>
      <c r="C1389" s="1026"/>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1025" t="s">
        <v>1143</v>
      </c>
      <c r="C1404" s="1026"/>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1025" t="s">
        <v>1150</v>
      </c>
      <c r="C1414" s="1026"/>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1025" t="s">
        <v>1179</v>
      </c>
      <c r="C1432" s="1026"/>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1025" t="s">
        <v>1180</v>
      </c>
      <c r="C1453" s="1026"/>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1030" t="s">
        <v>1194</v>
      </c>
      <c r="C1463" s="1031"/>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1025" t="s">
        <v>1188</v>
      </c>
      <c r="C1467" s="1026"/>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1025" t="s">
        <v>1188</v>
      </c>
      <c r="C1483" s="1026"/>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1025" t="s">
        <v>1188</v>
      </c>
      <c r="C1492" s="1026"/>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1025" t="s">
        <v>1188</v>
      </c>
      <c r="C1500" s="1026"/>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1030" t="s">
        <v>1215</v>
      </c>
      <c r="C1510" s="1031"/>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1025" t="s">
        <v>1188</v>
      </c>
      <c r="C1519" s="1026"/>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1025" t="s">
        <v>1188</v>
      </c>
      <c r="C1534" s="1026"/>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1025" t="s">
        <v>1188</v>
      </c>
      <c r="C1551" s="1026"/>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1025" t="s">
        <v>1188</v>
      </c>
      <c r="C1570" s="1026"/>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1025" t="s">
        <v>1188</v>
      </c>
      <c r="C1584" s="1026"/>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1025" t="s">
        <v>1285</v>
      </c>
      <c r="C1598" s="1026"/>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1025" t="s">
        <v>1289</v>
      </c>
      <c r="C1612" s="1026"/>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1025" t="s">
        <v>1295</v>
      </c>
      <c r="C1618" s="1026"/>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1025" t="s">
        <v>1295</v>
      </c>
      <c r="C1630" s="1026"/>
      <c r="D1630" s="71"/>
      <c r="E1630" s="72">
        <v>25000</v>
      </c>
      <c r="F1630" s="43" t="e">
        <f t="shared" si="25"/>
        <v>#N/A</v>
      </c>
      <c r="G1630" s="43"/>
    </row>
    <row r="1631" spans="1:7" x14ac:dyDescent="0.3">
      <c r="A1631" s="79">
        <v>42783</v>
      </c>
      <c r="B1631" s="1025" t="s">
        <v>1295</v>
      </c>
      <c r="C1631" s="1026"/>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1025" t="s">
        <v>1295</v>
      </c>
      <c r="C1642" s="1026"/>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1025" t="s">
        <v>1310</v>
      </c>
      <c r="C1650" s="1026"/>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1025" t="s">
        <v>1295</v>
      </c>
      <c r="C1666" s="1026"/>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1025" t="s">
        <v>1295</v>
      </c>
      <c r="C1675" s="1026"/>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1025" t="s">
        <v>1295</v>
      </c>
      <c r="C1683" s="1026"/>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1025" t="s">
        <v>1295</v>
      </c>
      <c r="C1695" s="1026"/>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1025" t="s">
        <v>1295</v>
      </c>
      <c r="C1708" s="1026"/>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1025" t="s">
        <v>1295</v>
      </c>
      <c r="C1718" s="1026"/>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1025" t="s">
        <v>1295</v>
      </c>
      <c r="C1742" s="1026"/>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1025" t="s">
        <v>1295</v>
      </c>
      <c r="C1746" s="1026"/>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1025" t="s">
        <v>1295</v>
      </c>
      <c r="C1756" s="1026"/>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1025" t="s">
        <v>1295</v>
      </c>
      <c r="C1766" s="1026"/>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1025" t="s">
        <v>1295</v>
      </c>
      <c r="C1777" s="1026"/>
      <c r="D1777" s="71"/>
      <c r="E1777" s="72">
        <v>50000</v>
      </c>
      <c r="F1777" s="43" t="e">
        <f t="shared" si="27"/>
        <v>#N/A</v>
      </c>
      <c r="G1777" s="43"/>
    </row>
    <row r="1778" spans="1:7" x14ac:dyDescent="0.3">
      <c r="A1778" s="45">
        <v>42802</v>
      </c>
      <c r="B1778" s="1025" t="s">
        <v>1295</v>
      </c>
      <c r="C1778" s="1026"/>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1025" t="s">
        <v>1295</v>
      </c>
      <c r="C1798" s="1026"/>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1025" t="s">
        <v>1422</v>
      </c>
      <c r="C1807" s="1026"/>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1025" t="s">
        <v>1295</v>
      </c>
      <c r="C1827" s="1026"/>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1025" t="s">
        <v>1441</v>
      </c>
      <c r="C1836" s="1026"/>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1025" t="s">
        <v>1446</v>
      </c>
      <c r="C1842" s="1026"/>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1025" t="s">
        <v>1481</v>
      </c>
      <c r="C1871" s="1026"/>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1025" t="s">
        <v>1482</v>
      </c>
      <c r="C1882" s="1026"/>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1025" t="s">
        <v>1483</v>
      </c>
      <c r="C1891" s="1026"/>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1025" t="s">
        <v>1484</v>
      </c>
      <c r="C1904" s="1026"/>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1025" t="s">
        <v>1487</v>
      </c>
      <c r="C1912" s="1026"/>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1025" t="s">
        <v>1500</v>
      </c>
      <c r="C1924" s="1026"/>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1025" t="s">
        <v>1511</v>
      </c>
      <c r="C1932" s="1026"/>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1025" t="s">
        <v>1516</v>
      </c>
      <c r="C1944" s="1026"/>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1025" t="s">
        <v>1521</v>
      </c>
      <c r="C1953" s="1026"/>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1025" t="s">
        <v>1534</v>
      </c>
      <c r="C1962" s="1026"/>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1025" t="s">
        <v>1484</v>
      </c>
      <c r="C1965" s="1026"/>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1025" t="s">
        <v>1536</v>
      </c>
      <c r="C1974" s="1026"/>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1025" t="s">
        <v>1565</v>
      </c>
      <c r="C2005" s="1026"/>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1025" t="s">
        <v>1565</v>
      </c>
      <c r="C2016" s="1026"/>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1025" t="s">
        <v>1588</v>
      </c>
      <c r="C2019" s="1026"/>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1025" t="s">
        <v>1577</v>
      </c>
      <c r="C2025" s="1026"/>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1025" t="s">
        <v>1597</v>
      </c>
      <c r="C2043" s="1026"/>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1025" t="s">
        <v>1601</v>
      </c>
      <c r="C2048" s="1026"/>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1025" t="s">
        <v>1605</v>
      </c>
      <c r="C2053" s="1026"/>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1025" t="s">
        <v>1597</v>
      </c>
      <c r="C2069" s="1026"/>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1025" t="s">
        <v>1623</v>
      </c>
      <c r="C2084" s="1026"/>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1025" t="s">
        <v>1640</v>
      </c>
      <c r="C2111" s="1026"/>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1025" t="s">
        <v>1651</v>
      </c>
      <c r="C2120" s="1026"/>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1025" t="s">
        <v>1670</v>
      </c>
      <c r="C2141" s="1026"/>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1025" t="s">
        <v>1678</v>
      </c>
      <c r="C2155" s="1026"/>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1025" t="s">
        <v>1696</v>
      </c>
      <c r="C2172" s="1026"/>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1025" t="s">
        <v>1706</v>
      </c>
      <c r="C2192" s="1026"/>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1025" t="s">
        <v>1696</v>
      </c>
      <c r="C2200" s="1026"/>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1025" t="s">
        <v>1696</v>
      </c>
      <c r="C2220" s="1026"/>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1025" t="s">
        <v>1696</v>
      </c>
      <c r="C2232" s="1026"/>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1025" t="s">
        <v>1767</v>
      </c>
      <c r="C2286" s="1026"/>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1025" t="s">
        <v>1818</v>
      </c>
      <c r="C2307" s="1026"/>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1025" t="s">
        <v>1817</v>
      </c>
      <c r="C2322" s="1026"/>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1025" t="s">
        <v>1800</v>
      </c>
      <c r="C2331" s="1026"/>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1025" t="s">
        <v>1696</v>
      </c>
      <c r="C2361" s="1026"/>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1025" t="s">
        <v>1696</v>
      </c>
      <c r="C2377" s="1026"/>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1025" t="s">
        <v>1851</v>
      </c>
      <c r="C2396" s="1026"/>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1025" t="s">
        <v>1851</v>
      </c>
      <c r="C2408" s="1026"/>
      <c r="D2408" s="71"/>
      <c r="E2408" s="72">
        <v>50000</v>
      </c>
      <c r="F2408" s="43" t="e">
        <f t="shared" si="37"/>
        <v>#N/A</v>
      </c>
      <c r="G2408" s="43"/>
    </row>
    <row r="2409" spans="1:7" x14ac:dyDescent="0.3">
      <c r="A2409" s="45">
        <v>42886</v>
      </c>
      <c r="B2409" s="1025" t="s">
        <v>1859</v>
      </c>
      <c r="C2409" s="1026"/>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1025" t="s">
        <v>1851</v>
      </c>
      <c r="C2422" s="1026"/>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1025" t="s">
        <v>1877</v>
      </c>
      <c r="C2426" s="1026"/>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1025" t="s">
        <v>1899</v>
      </c>
      <c r="C2451" s="1026"/>
      <c r="D2451" s="71"/>
      <c r="E2451" s="72">
        <v>27500</v>
      </c>
      <c r="F2451" s="43" t="e">
        <f t="shared" si="38"/>
        <v>#N/A</v>
      </c>
      <c r="G2451" s="65"/>
      <c r="H2451" s="102"/>
      <c r="I2451" s="102"/>
      <c r="J2451" s="102"/>
    </row>
    <row r="2452" spans="1:10" x14ac:dyDescent="0.3">
      <c r="A2452" s="45">
        <v>42892</v>
      </c>
      <c r="B2452" s="1025" t="s">
        <v>1900</v>
      </c>
      <c r="C2452" s="1026"/>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1020" t="s">
        <v>1859</v>
      </c>
      <c r="C2475" s="1020"/>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1020" t="s">
        <v>1926</v>
      </c>
      <c r="C2495" s="1020"/>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1029" t="s">
        <v>1961</v>
      </c>
      <c r="C2527" s="1029"/>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1025" t="s">
        <v>1966</v>
      </c>
      <c r="C2560" s="1026"/>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1030" t="s">
        <v>1979</v>
      </c>
      <c r="C2570" s="1031"/>
      <c r="D2570" s="71"/>
      <c r="E2570" s="72">
        <v>14968</v>
      </c>
      <c r="F2570" s="43" t="e">
        <f t="shared" si="40"/>
        <v>#N/A</v>
      </c>
      <c r="G2570" s="43"/>
    </row>
    <row r="2571" spans="1:7" ht="24.75" customHeight="1" x14ac:dyDescent="0.3">
      <c r="A2571" s="45">
        <v>42908</v>
      </c>
      <c r="B2571" s="1025" t="s">
        <v>1981</v>
      </c>
      <c r="C2571" s="1026"/>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1025" t="s">
        <v>1998</v>
      </c>
      <c r="C2583" s="1026"/>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1025" t="s">
        <v>1981</v>
      </c>
      <c r="C2593" s="1026"/>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1028" t="s">
        <v>2015</v>
      </c>
      <c r="C2611" s="1028"/>
      <c r="D2611" s="148"/>
      <c r="E2611" s="149">
        <v>200000</v>
      </c>
      <c r="F2611" s="77">
        <v>200000</v>
      </c>
      <c r="G2611" s="298"/>
    </row>
    <row r="2612" spans="1:9" x14ac:dyDescent="0.3">
      <c r="A2612" s="45">
        <v>42920</v>
      </c>
      <c r="B2612" s="1020" t="s">
        <v>2016</v>
      </c>
      <c r="C2612" s="1020"/>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1020" t="s">
        <v>94</v>
      </c>
      <c r="C2671" s="1020"/>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1020" t="s">
        <v>2085</v>
      </c>
      <c r="C2703" s="1020"/>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1020" t="s">
        <v>2101</v>
      </c>
      <c r="C2716" s="1020"/>
      <c r="D2716" s="71"/>
      <c r="E2716" s="72">
        <v>8000</v>
      </c>
      <c r="F2716" s="43">
        <f t="shared" si="42"/>
        <v>13751</v>
      </c>
      <c r="G2716" s="43"/>
    </row>
    <row r="2717" spans="1:7" x14ac:dyDescent="0.3">
      <c r="A2717" s="45">
        <v>42933</v>
      </c>
      <c r="B2717" s="1020" t="s">
        <v>2085</v>
      </c>
      <c r="C2717" s="1020"/>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1020" t="s">
        <v>2085</v>
      </c>
      <c r="C2733" s="1020"/>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1020" t="s">
        <v>2118</v>
      </c>
      <c r="C2747" s="1020"/>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1020" t="s">
        <v>2123</v>
      </c>
      <c r="C2751" s="1020"/>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1020" t="s">
        <v>2085</v>
      </c>
      <c r="C2768" s="1020"/>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1020" t="s">
        <v>2085</v>
      </c>
      <c r="C2779" s="1020"/>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1020" t="s">
        <v>2085</v>
      </c>
      <c r="C2798" s="1020"/>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1020" t="s">
        <v>2162</v>
      </c>
      <c r="C2810" s="1020"/>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1020" t="s">
        <v>2178</v>
      </c>
      <c r="C2827" s="1020"/>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1020" t="s">
        <v>2192</v>
      </c>
      <c r="C2837" s="1020"/>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1020" t="s">
        <v>2192</v>
      </c>
      <c r="C2855" s="1020"/>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1020" t="s">
        <v>2216</v>
      </c>
      <c r="C2875" s="1020"/>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1020" t="s">
        <v>2267</v>
      </c>
      <c r="C2879" s="1020"/>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1020" t="s">
        <v>2192</v>
      </c>
      <c r="C2883" s="1020"/>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37.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1020" t="s">
        <v>2249</v>
      </c>
      <c r="C2917" s="1020"/>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1020" t="s">
        <v>2192</v>
      </c>
      <c r="C2927" s="1020"/>
      <c r="D2927" s="71"/>
      <c r="E2927" s="72">
        <v>200000</v>
      </c>
      <c r="F2927" s="28">
        <f t="shared" si="45"/>
        <v>207740</v>
      </c>
      <c r="G2927" s="43"/>
    </row>
    <row r="2928" spans="1:8" x14ac:dyDescent="0.3">
      <c r="A2928" s="45">
        <v>42965</v>
      </c>
      <c r="B2928" s="1020" t="s">
        <v>2192</v>
      </c>
      <c r="C2928" s="1020"/>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1020" t="s">
        <v>2192</v>
      </c>
      <c r="C2972" s="1020"/>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1020" t="s">
        <v>2327</v>
      </c>
      <c r="C3027" s="1020"/>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1020" t="s">
        <v>2085</v>
      </c>
      <c r="C3041" s="1020"/>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1020" t="s">
        <v>2085</v>
      </c>
      <c r="C3050" s="1020"/>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1020" t="s">
        <v>2354</v>
      </c>
      <c r="C3067" s="1020"/>
      <c r="D3067" s="71"/>
      <c r="E3067" s="72">
        <v>10000</v>
      </c>
      <c r="F3067" s="28">
        <f t="shared" si="48"/>
        <v>24507</v>
      </c>
      <c r="G3067" s="43"/>
    </row>
    <row r="3068" spans="1:7" x14ac:dyDescent="0.3">
      <c r="A3068" s="45">
        <v>43005</v>
      </c>
      <c r="B3068" s="1020" t="s">
        <v>2355</v>
      </c>
      <c r="C3068" s="1020"/>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1020" t="s">
        <v>2085</v>
      </c>
      <c r="C3074" s="1020"/>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1020" t="s">
        <v>2380</v>
      </c>
      <c r="C3092" s="1020"/>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1020" t="s">
        <v>2085</v>
      </c>
      <c r="C3114" s="1020"/>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1020" t="s">
        <v>2417</v>
      </c>
      <c r="C3128" s="1020"/>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1020" t="s">
        <v>2418</v>
      </c>
      <c r="C3135" s="1020"/>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1020" t="s">
        <v>2433</v>
      </c>
      <c r="C3145" s="1020"/>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1020" t="s">
        <v>2432</v>
      </c>
      <c r="C3160" s="1020"/>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1027" t="s">
        <v>2443</v>
      </c>
      <c r="C3170" s="1027"/>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1020" t="s">
        <v>2445</v>
      </c>
      <c r="C3174" s="1020"/>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1020" t="s">
        <v>2445</v>
      </c>
      <c r="C3186" s="1020"/>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1020" t="s">
        <v>2432</v>
      </c>
      <c r="C3190" s="1020"/>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1020" t="s">
        <v>2432</v>
      </c>
      <c r="C3201" s="1020"/>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1020" t="s">
        <v>2471</v>
      </c>
      <c r="C3213" s="1020"/>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1020" t="s">
        <v>2489</v>
      </c>
      <c r="C3233" s="1020"/>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1020" t="s">
        <v>2494</v>
      </c>
      <c r="C3246" s="1020"/>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1020" t="s">
        <v>32</v>
      </c>
      <c r="C3256" s="1020"/>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1020" t="s">
        <v>2433</v>
      </c>
      <c r="C3261" s="1020"/>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1020" t="s">
        <v>2512</v>
      </c>
      <c r="C3282" s="1020"/>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1020" t="s">
        <v>2530</v>
      </c>
      <c r="C3289" s="1020"/>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1020" t="s">
        <v>2546</v>
      </c>
      <c r="C3305" s="1020"/>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1020" t="s">
        <v>2557</v>
      </c>
      <c r="C3322" s="1020"/>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1020" t="s">
        <v>2583</v>
      </c>
      <c r="C3344" s="1020"/>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1020" t="s">
        <v>2587</v>
      </c>
      <c r="C3347" s="1020"/>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1020" t="s">
        <v>2617</v>
      </c>
      <c r="C3361" s="1020"/>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1020" t="s">
        <v>2619</v>
      </c>
      <c r="C3377" s="1020"/>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1020" t="s">
        <v>2641</v>
      </c>
      <c r="C3391" s="1020"/>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1020" t="s">
        <v>2665</v>
      </c>
      <c r="C3420" s="1020"/>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1020" t="s">
        <v>2713</v>
      </c>
      <c r="C3466" s="1020"/>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1020" t="s">
        <v>2719</v>
      </c>
      <c r="C3484" s="1020"/>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1020" t="s">
        <v>2733</v>
      </c>
      <c r="C3510" s="1020"/>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1020" t="s">
        <v>2751</v>
      </c>
      <c r="C3521" s="1020"/>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1020" t="s">
        <v>2760</v>
      </c>
      <c r="C3536" s="1020"/>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1020" t="s">
        <v>2768</v>
      </c>
      <c r="C3545" s="1020"/>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1020" t="s">
        <v>2779</v>
      </c>
      <c r="C3555" s="1020"/>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1020" t="s">
        <v>2779</v>
      </c>
      <c r="C3567" s="1020"/>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1020" t="s">
        <v>2665</v>
      </c>
      <c r="C3616" s="1020"/>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1020" t="s">
        <v>2587</v>
      </c>
      <c r="C3635" s="1020"/>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1020" t="s">
        <v>2857</v>
      </c>
      <c r="C3655" s="1020"/>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1020" t="s">
        <v>2866</v>
      </c>
      <c r="C3669" s="1020"/>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1020" t="s">
        <v>2665</v>
      </c>
      <c r="C3699" s="1020"/>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1020" t="s">
        <v>2665</v>
      </c>
      <c r="C3717" s="1020"/>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1020" t="s">
        <v>2433</v>
      </c>
      <c r="C3734" s="1020"/>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1020" t="s">
        <v>2913</v>
      </c>
      <c r="C3743" s="1020"/>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1020" t="s">
        <v>2433</v>
      </c>
      <c r="C3773" s="1020"/>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1020" t="s">
        <v>2960</v>
      </c>
      <c r="C3784" s="1020"/>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1020" t="s">
        <v>2960</v>
      </c>
      <c r="C3795" s="1020"/>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1020" t="s">
        <v>2960</v>
      </c>
      <c r="C3811" s="1020"/>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1020" t="s">
        <v>2665</v>
      </c>
      <c r="C3816" s="1020"/>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1020" t="s">
        <v>2991</v>
      </c>
      <c r="C3825" s="1020"/>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1020" t="s">
        <v>2960</v>
      </c>
      <c r="C3828" s="1020"/>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1020" t="s">
        <v>2665</v>
      </c>
      <c r="C3842" s="1020"/>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1020" t="s">
        <v>3010</v>
      </c>
      <c r="C3846" s="1020"/>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1020" t="s">
        <v>3045</v>
      </c>
      <c r="C3879" s="1020"/>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1020" t="s">
        <v>3046</v>
      </c>
      <c r="C3889" s="1020"/>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1020" t="s">
        <v>94</v>
      </c>
      <c r="C3897" s="1020"/>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1020" t="s">
        <v>1981</v>
      </c>
      <c r="C3918" s="1020"/>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1020" t="s">
        <v>3084</v>
      </c>
      <c r="C3932" s="1020"/>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1020" t="s">
        <v>3076</v>
      </c>
      <c r="C3942" s="1020"/>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1020" t="s">
        <v>3084</v>
      </c>
      <c r="C3946" s="1020"/>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1020" t="s">
        <v>2665</v>
      </c>
      <c r="C3955" s="1020"/>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1020" t="s">
        <v>3101</v>
      </c>
      <c r="C3970" s="1020"/>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1020" t="s">
        <v>2665</v>
      </c>
      <c r="C3972" s="1020"/>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1020" t="s">
        <v>3103</v>
      </c>
      <c r="C3974" s="1020"/>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1020" t="s">
        <v>1981</v>
      </c>
      <c r="C3991" s="1020"/>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1020" t="s">
        <v>2665</v>
      </c>
      <c r="C3999" s="1020"/>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1020" t="s">
        <v>2665</v>
      </c>
      <c r="C4012" s="1020"/>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1020" t="s">
        <v>2665</v>
      </c>
      <c r="C4022" s="1020"/>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1020" t="s">
        <v>2665</v>
      </c>
      <c r="C4036" s="1020"/>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1020" t="s">
        <v>3159</v>
      </c>
      <c r="C4047" s="1020"/>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1020" t="s">
        <v>2665</v>
      </c>
      <c r="C4064" s="1020"/>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1020" t="s">
        <v>3185</v>
      </c>
      <c r="C4085" s="1020"/>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1020" t="s">
        <v>3193</v>
      </c>
      <c r="C4090" s="1020"/>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1020" t="s">
        <v>3206</v>
      </c>
      <c r="C4118" s="1020"/>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1020" t="s">
        <v>2665</v>
      </c>
      <c r="C4132" s="1020"/>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1020" t="s">
        <v>3228</v>
      </c>
      <c r="C4134" s="1020"/>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1020" t="s">
        <v>3238</v>
      </c>
      <c r="C4154" s="1020"/>
      <c r="D4154" s="71"/>
      <c r="E4154" s="72">
        <v>3648</v>
      </c>
      <c r="F4154" s="48">
        <v>3648</v>
      </c>
    </row>
    <row r="4155" spans="1:6" x14ac:dyDescent="0.3">
      <c r="A4155" s="171">
        <v>43143</v>
      </c>
      <c r="B4155" s="1020" t="s">
        <v>3235</v>
      </c>
      <c r="C4155" s="1020"/>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1020" t="s">
        <v>3239</v>
      </c>
      <c r="C4158" s="1020"/>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1020" t="s">
        <v>1981</v>
      </c>
      <c r="C4160" s="1020"/>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1020" t="s">
        <v>2665</v>
      </c>
      <c r="C4180" s="1020"/>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1020" t="s">
        <v>3265</v>
      </c>
      <c r="C4199" s="1020"/>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1020" t="s">
        <v>1981</v>
      </c>
      <c r="C4212" s="1020"/>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1020" t="s">
        <v>1981</v>
      </c>
      <c r="C4225" s="1020"/>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1020" t="s">
        <v>2665</v>
      </c>
      <c r="C4260" s="1020"/>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1020" t="s">
        <v>2665</v>
      </c>
      <c r="C4270" s="1020"/>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1020" t="s">
        <v>3321</v>
      </c>
      <c r="C4282" s="1020"/>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1020" t="s">
        <v>1981</v>
      </c>
      <c r="C4294" s="1020"/>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1020" t="s">
        <v>2665</v>
      </c>
      <c r="C4320" s="1020"/>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1020" t="s">
        <v>94</v>
      </c>
      <c r="C4337" s="1020"/>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1020" t="s">
        <v>3369</v>
      </c>
      <c r="C4340" s="1020"/>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1020" t="s">
        <v>3368</v>
      </c>
      <c r="C4346" s="1020"/>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1020" t="s">
        <v>3379</v>
      </c>
      <c r="C4359" s="1020"/>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1020" t="s">
        <v>1981</v>
      </c>
      <c r="C4362" s="1020"/>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1020" t="s">
        <v>3379</v>
      </c>
      <c r="C4381" s="1020"/>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1020" t="s">
        <v>3404</v>
      </c>
      <c r="C4390" s="1020"/>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1020" t="s">
        <v>2162</v>
      </c>
      <c r="C4396" s="1020"/>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1020" t="s">
        <v>3421</v>
      </c>
      <c r="C4414" s="1020"/>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1020" t="s">
        <v>3444</v>
      </c>
      <c r="C4447" s="1020"/>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1020" t="s">
        <v>3444</v>
      </c>
      <c r="C4453" s="1020"/>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1020" t="s">
        <v>3369</v>
      </c>
      <c r="C4456" s="1020"/>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1020" t="s">
        <v>3450</v>
      </c>
      <c r="C4460" s="1020"/>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1020" t="s">
        <v>3465</v>
      </c>
      <c r="C4474" s="1020"/>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1020" t="s">
        <v>3444</v>
      </c>
      <c r="C4486" s="1020"/>
      <c r="D4486" s="71"/>
      <c r="E4486" s="72">
        <v>50000</v>
      </c>
      <c r="F4486" s="48">
        <f t="shared" si="72"/>
        <v>50438</v>
      </c>
    </row>
    <row r="4487" spans="1:6" x14ac:dyDescent="0.3">
      <c r="A4487" s="171">
        <v>43204</v>
      </c>
      <c r="B4487" s="1020" t="s">
        <v>3369</v>
      </c>
      <c r="C4487" s="1020"/>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1020" t="s">
        <v>2162</v>
      </c>
      <c r="C4492" s="1020"/>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1020" t="s">
        <v>3444</v>
      </c>
      <c r="C4499" s="1020"/>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1020" t="s">
        <v>3444</v>
      </c>
      <c r="C4512" s="1020"/>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1020" t="s">
        <v>3500</v>
      </c>
      <c r="C4519" s="1020"/>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1020" t="s">
        <v>3502</v>
      </c>
      <c r="C4521" s="1020"/>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1020" t="s">
        <v>3206</v>
      </c>
      <c r="C4525" s="1020"/>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1020" t="s">
        <v>3516</v>
      </c>
      <c r="C4528" s="1020"/>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1020" t="s">
        <v>3523</v>
      </c>
      <c r="C4530" s="1020"/>
      <c r="D4530" s="71"/>
      <c r="E4530" s="72">
        <v>2000</v>
      </c>
      <c r="F4530" s="48">
        <f t="shared" si="73"/>
        <v>42193</v>
      </c>
    </row>
    <row r="4531" spans="1:8" x14ac:dyDescent="0.3">
      <c r="A4531" s="171">
        <v>43213</v>
      </c>
      <c r="B4531" s="1020" t="s">
        <v>3524</v>
      </c>
      <c r="C4531" s="1020"/>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1020" t="s">
        <v>3444</v>
      </c>
      <c r="C4533" s="1020"/>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1020" t="s">
        <v>3533</v>
      </c>
      <c r="C4548" s="1020"/>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1020" t="s">
        <v>3533</v>
      </c>
      <c r="C4570" s="1020"/>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1025" t="s">
        <v>3569</v>
      </c>
      <c r="C4597" s="1026"/>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1020" t="s">
        <v>3588</v>
      </c>
      <c r="C4619" s="1020"/>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1020" t="s">
        <v>3590</v>
      </c>
      <c r="C4622" s="1020"/>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1020" t="s">
        <v>3598</v>
      </c>
      <c r="C4630" s="1020"/>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1020" t="s">
        <v>3444</v>
      </c>
      <c r="C4635" s="1020"/>
      <c r="D4635" s="71"/>
      <c r="E4635" s="72">
        <v>50000</v>
      </c>
      <c r="F4635" s="48">
        <f t="shared" si="75"/>
        <v>50678</v>
      </c>
    </row>
    <row r="4636" spans="1:6" x14ac:dyDescent="0.3">
      <c r="A4636" s="171">
        <v>43227</v>
      </c>
      <c r="B4636" s="1020" t="s">
        <v>3444</v>
      </c>
      <c r="C4636" s="1020"/>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1020" t="s">
        <v>3614</v>
      </c>
      <c r="C4655" s="1020"/>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1020" t="s">
        <v>3444</v>
      </c>
      <c r="C4664" s="1020"/>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1020" t="s">
        <v>3628</v>
      </c>
      <c r="C4674" s="1020"/>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1020" t="s">
        <v>3642</v>
      </c>
      <c r="C4691" s="1020"/>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1020" t="s">
        <v>3444</v>
      </c>
      <c r="C4712" s="1020"/>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1020" t="s">
        <v>3673</v>
      </c>
      <c r="C4723" s="1020"/>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1020" t="s">
        <v>3685</v>
      </c>
      <c r="C4738" s="1020"/>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1020" t="s">
        <v>3444</v>
      </c>
      <c r="C4745" s="1020"/>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1020" t="s">
        <v>3698</v>
      </c>
      <c r="C4756" s="1020"/>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1020" t="s">
        <v>3710</v>
      </c>
      <c r="C4770" s="1020"/>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1020" t="s">
        <v>3717</v>
      </c>
      <c r="C4783" s="1020"/>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1020" t="s">
        <v>3614</v>
      </c>
      <c r="C4789" s="1020"/>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1020" t="s">
        <v>3717</v>
      </c>
      <c r="C4799" s="1020"/>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1020" t="s">
        <v>3740</v>
      </c>
      <c r="C4812" s="1020"/>
      <c r="D4812" s="71"/>
      <c r="E4812" s="72">
        <v>12500</v>
      </c>
      <c r="F4812" s="48">
        <f t="shared" si="78"/>
        <v>12853</v>
      </c>
    </row>
    <row r="4813" spans="1:6" x14ac:dyDescent="0.3">
      <c r="A4813" s="45">
        <v>43264</v>
      </c>
      <c r="B4813" s="1020" t="s">
        <v>3741</v>
      </c>
      <c r="C4813" s="1020"/>
      <c r="D4813" s="71"/>
      <c r="E4813" s="72">
        <v>3000</v>
      </c>
      <c r="F4813" s="48">
        <f t="shared" si="78"/>
        <v>15853</v>
      </c>
    </row>
    <row r="4814" spans="1:6" x14ac:dyDescent="0.3">
      <c r="A4814" s="45">
        <v>43264</v>
      </c>
      <c r="B4814" s="1020" t="s">
        <v>3742</v>
      </c>
      <c r="C4814" s="1020"/>
      <c r="D4814" s="71"/>
      <c r="E4814" s="72">
        <v>10000</v>
      </c>
      <c r="F4814" s="48">
        <f t="shared" si="78"/>
        <v>25853</v>
      </c>
    </row>
    <row r="4815" spans="1:6" x14ac:dyDescent="0.3">
      <c r="A4815" s="45">
        <v>43264</v>
      </c>
      <c r="B4815" s="1020" t="s">
        <v>3743</v>
      </c>
      <c r="C4815" s="1020"/>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1020" t="s">
        <v>3717</v>
      </c>
      <c r="C4822" s="1020"/>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1020" t="s">
        <v>3590</v>
      </c>
      <c r="C4843" s="1020"/>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1020" t="s">
        <v>3717</v>
      </c>
      <c r="C4859" s="1020"/>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1020" t="s">
        <v>3803</v>
      </c>
      <c r="C4868" s="1020"/>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1020" t="s">
        <v>3717</v>
      </c>
      <c r="C4876" s="1020"/>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1020" t="s">
        <v>3717</v>
      </c>
      <c r="C4905" s="1020"/>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1020" t="s">
        <v>2910</v>
      </c>
      <c r="C4919" s="1020"/>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1020" t="s">
        <v>1981</v>
      </c>
      <c r="C4924" s="1020"/>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1020" t="s">
        <v>3717</v>
      </c>
      <c r="C4930" s="1020"/>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1020" t="s">
        <v>3717</v>
      </c>
      <c r="C4951" s="1020"/>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1020" t="s">
        <v>3416</v>
      </c>
      <c r="C4955" s="1020"/>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1020" t="s">
        <v>3717</v>
      </c>
      <c r="C4979" s="1020"/>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1020" t="s">
        <v>3948</v>
      </c>
      <c r="C4990" s="1020"/>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1020" t="s">
        <v>3909</v>
      </c>
      <c r="C4996" s="1020"/>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1020" t="s">
        <v>3960</v>
      </c>
      <c r="C5070" s="1020"/>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1020" t="s">
        <v>3969</v>
      </c>
      <c r="C5079" s="1020"/>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1020" t="s">
        <v>3717</v>
      </c>
      <c r="C5087" s="1020"/>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1020" t="s">
        <v>3717</v>
      </c>
      <c r="C5142" s="1020"/>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1020" t="s">
        <v>4063</v>
      </c>
      <c r="C5155" s="1020"/>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1020" t="s">
        <v>4063</v>
      </c>
      <c r="C5168" s="1020"/>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1020" t="s">
        <v>4064</v>
      </c>
      <c r="C5182" s="1020"/>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1020" t="s">
        <v>4106</v>
      </c>
      <c r="C5223" s="1020"/>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1020" t="s">
        <v>4106</v>
      </c>
      <c r="C5233" s="1020"/>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1020" t="s">
        <v>3444</v>
      </c>
      <c r="C5249" s="1020"/>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1020" t="s">
        <v>4294</v>
      </c>
      <c r="C5256" s="1020"/>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1020" t="s">
        <v>4150</v>
      </c>
      <c r="C5266" s="1020"/>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1020" t="s">
        <v>4163</v>
      </c>
      <c r="C5287" s="1020"/>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1020" t="s">
        <v>3444</v>
      </c>
      <c r="C5316" s="1020"/>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1020" t="s">
        <v>3444</v>
      </c>
      <c r="C5323" s="1020"/>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1020" t="s">
        <v>3444</v>
      </c>
      <c r="C5332" s="1020"/>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1020" t="s">
        <v>3444</v>
      </c>
      <c r="C5344" s="1020"/>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1020" t="s">
        <v>4215</v>
      </c>
      <c r="C5360" s="1020"/>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1025" t="s">
        <v>4223</v>
      </c>
      <c r="C5363" s="1026"/>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1025" t="s">
        <v>3444</v>
      </c>
      <c r="C5384" s="1026"/>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1025" t="s">
        <v>3444</v>
      </c>
      <c r="C5392" s="1026"/>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1025" t="s">
        <v>3444</v>
      </c>
      <c r="C5403" s="1026"/>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1020" t="s">
        <v>4267</v>
      </c>
      <c r="C5419" s="1020"/>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1020" t="s">
        <v>4106</v>
      </c>
      <c r="C5421" s="1020"/>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1020" t="s">
        <v>3590</v>
      </c>
      <c r="C5437" s="1020"/>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1020" t="s">
        <v>4286</v>
      </c>
      <c r="C5446" s="1020"/>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1020" t="s">
        <v>4286</v>
      </c>
      <c r="C5451" s="1020"/>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1020" t="s">
        <v>4299</v>
      </c>
      <c r="C5460" s="1020"/>
      <c r="D5460" s="71"/>
      <c r="E5460" s="72">
        <f>76800</f>
        <v>76800</v>
      </c>
      <c r="F5460" s="48">
        <f t="shared" si="88"/>
        <v>77390</v>
      </c>
    </row>
    <row r="5461" spans="1:9" x14ac:dyDescent="0.3">
      <c r="A5461" s="45">
        <v>43370</v>
      </c>
      <c r="B5461" s="1020" t="s">
        <v>4300</v>
      </c>
      <c r="C5461" s="1020"/>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1020" t="s">
        <v>4294</v>
      </c>
      <c r="C5481" s="1020"/>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1020" t="s">
        <v>4267</v>
      </c>
      <c r="C5485" s="1020"/>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1020" t="s">
        <v>17</v>
      </c>
      <c r="C5489" s="1020"/>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1020" t="s">
        <v>4322</v>
      </c>
      <c r="C5496" s="1020"/>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1020" t="s">
        <v>4329</v>
      </c>
      <c r="C5506" s="1020"/>
      <c r="D5506" s="71"/>
      <c r="E5506" s="72">
        <v>40000</v>
      </c>
      <c r="F5506" s="48">
        <f t="shared" si="88"/>
        <v>40001</v>
      </c>
    </row>
    <row r="5507" spans="1:6" x14ac:dyDescent="0.3">
      <c r="A5507" s="45">
        <v>43390</v>
      </c>
      <c r="B5507" s="1020" t="s">
        <v>4106</v>
      </c>
      <c r="C5507" s="1020"/>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1020" t="s">
        <v>4329</v>
      </c>
      <c r="C5526" s="1020"/>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1020" t="s">
        <v>4329</v>
      </c>
      <c r="C5545" s="1020"/>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1020" t="s">
        <v>4353</v>
      </c>
      <c r="C5550" s="1020"/>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1020" t="s">
        <v>3444</v>
      </c>
      <c r="C5554" s="1020"/>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1020" t="s">
        <v>3444</v>
      </c>
      <c r="C5562" s="1020"/>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1020" t="s">
        <v>2960</v>
      </c>
      <c r="C5578" s="1020"/>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1020" t="s">
        <v>4106</v>
      </c>
      <c r="C5581" s="1020"/>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1020" t="s">
        <v>3444</v>
      </c>
      <c r="C5593" s="1020"/>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1020" t="s">
        <v>3444</v>
      </c>
      <c r="C5600" s="1020"/>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1020" t="s">
        <v>3444</v>
      </c>
      <c r="C5609" s="1020"/>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1020" t="s">
        <v>4415</v>
      </c>
      <c r="C5614" s="1020"/>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1020" t="s">
        <v>4455</v>
      </c>
      <c r="C5651" s="1020"/>
      <c r="D5651" s="71"/>
      <c r="E5651" s="72">
        <v>194</v>
      </c>
      <c r="F5651" s="48">
        <f t="shared" si="91"/>
        <v>842</v>
      </c>
    </row>
    <row r="5652" spans="1:6" x14ac:dyDescent="0.3">
      <c r="A5652" s="45">
        <v>43448</v>
      </c>
      <c r="B5652" s="1020" t="s">
        <v>4329</v>
      </c>
      <c r="C5652" s="1020"/>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1020" t="s">
        <v>4329</v>
      </c>
      <c r="C5657" s="1020"/>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1020" t="s">
        <v>4329</v>
      </c>
      <c r="C5665" s="1020"/>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1020" t="s">
        <v>4329</v>
      </c>
      <c r="C5677" s="1020"/>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1020" t="s">
        <v>4472</v>
      </c>
      <c r="C5684" s="1020"/>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1020" t="s">
        <v>3444</v>
      </c>
      <c r="C5706" s="1020"/>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1020" t="s">
        <v>3444</v>
      </c>
      <c r="C5716" s="1020"/>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1020" t="s">
        <v>4447</v>
      </c>
      <c r="C5729" s="1020"/>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1020" t="s">
        <v>4106</v>
      </c>
      <c r="C5732" s="1020"/>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1020" t="s">
        <v>4106</v>
      </c>
      <c r="C5744" s="1020"/>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1020" t="s">
        <v>4406</v>
      </c>
      <c r="C5754" s="1020"/>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1020" t="s">
        <v>4406</v>
      </c>
      <c r="C5765" s="1020"/>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1020" t="s">
        <v>4406</v>
      </c>
      <c r="C5772" s="1020"/>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1020" t="s">
        <v>4406</v>
      </c>
      <c r="C5780" s="1020"/>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1020" t="s">
        <v>4406</v>
      </c>
      <c r="C5789" s="1020"/>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1020" t="s">
        <v>4406</v>
      </c>
      <c r="C5794" s="1020"/>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1020" t="s">
        <v>4406</v>
      </c>
      <c r="C5810" s="1020"/>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1020" t="s">
        <v>4574</v>
      </c>
      <c r="C5815" s="1020"/>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1020" t="s">
        <v>4406</v>
      </c>
      <c r="C5818" s="1020"/>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1020" t="s">
        <v>2960</v>
      </c>
      <c r="C5827" s="1020"/>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1020" t="s">
        <v>4406</v>
      </c>
      <c r="C5831" s="1020"/>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1020" t="s">
        <v>4406</v>
      </c>
      <c r="C5834" s="1020"/>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1020" t="s">
        <v>4406</v>
      </c>
      <c r="C5841" s="1020"/>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1020" t="s">
        <v>4406</v>
      </c>
      <c r="C5848" s="1020"/>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1020" t="s">
        <v>4406</v>
      </c>
      <c r="C5859" s="1020"/>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1020" t="s">
        <v>4406</v>
      </c>
      <c r="C5865" s="1020"/>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1020" t="s">
        <v>4627</v>
      </c>
      <c r="C5876" s="1020"/>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1020" t="s">
        <v>4631</v>
      </c>
      <c r="C5883" s="1020"/>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1020" t="s">
        <v>4406</v>
      </c>
      <c r="C5886" s="1020"/>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1020" t="s">
        <v>4632</v>
      </c>
      <c r="C5899" s="1020"/>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1020" t="s">
        <v>4811</v>
      </c>
      <c r="C5933" s="1020"/>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1020" t="s">
        <v>2960</v>
      </c>
      <c r="C5948" s="1020"/>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1020" t="s">
        <v>4675</v>
      </c>
      <c r="C5950" s="1020"/>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1020" t="s">
        <v>4810</v>
      </c>
      <c r="C5955" s="1020"/>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1020" t="s">
        <v>4809</v>
      </c>
      <c r="C5965" s="1020"/>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1020" t="s">
        <v>3444</v>
      </c>
      <c r="C5973" s="1020"/>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1020" t="s">
        <v>3444</v>
      </c>
      <c r="C5982" s="1020"/>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1020" t="s">
        <v>3444</v>
      </c>
      <c r="C5988" s="1020"/>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1020" t="s">
        <v>4809</v>
      </c>
      <c r="C5997" s="1020"/>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1020" t="s">
        <v>3444</v>
      </c>
      <c r="C6001" s="1020"/>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1020" t="s">
        <v>4455</v>
      </c>
      <c r="C6026" s="1020"/>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1020" t="s">
        <v>3444</v>
      </c>
      <c r="C6029" s="1020"/>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1020" t="s">
        <v>3444</v>
      </c>
      <c r="C6032" s="1020"/>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1020" t="s">
        <v>4753</v>
      </c>
      <c r="C6045" s="1020"/>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1020" t="s">
        <v>3444</v>
      </c>
      <c r="C6050" s="1020"/>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1020" t="s">
        <v>3444</v>
      </c>
      <c r="C6058" s="1020"/>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1020" t="s">
        <v>3444</v>
      </c>
      <c r="C6072" s="1020"/>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1020" t="s">
        <v>4808</v>
      </c>
      <c r="C6089" s="1020"/>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1020" t="s">
        <v>4364</v>
      </c>
      <c r="C6112" s="1020"/>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1020" t="s">
        <v>4809</v>
      </c>
      <c r="C6123" s="1020"/>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1020" t="s">
        <v>4846</v>
      </c>
      <c r="C6160" s="1020"/>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1020" t="s">
        <v>4364</v>
      </c>
      <c r="C6169" s="1020"/>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1021" t="s">
        <v>5335</v>
      </c>
      <c r="C6795" s="1022"/>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1023" t="s">
        <v>5229</v>
      </c>
      <c r="C6827" s="1023"/>
      <c r="D6827" s="1024"/>
      <c r="E6827" s="199">
        <v>500000</v>
      </c>
      <c r="F6827" s="48">
        <f t="shared" si="111"/>
        <v>675437</v>
      </c>
    </row>
    <row r="6828" spans="1:6" x14ac:dyDescent="0.3">
      <c r="A6828" s="45">
        <v>43720</v>
      </c>
      <c r="B6828" s="1008" t="s">
        <v>5368</v>
      </c>
      <c r="C6828" s="1008"/>
      <c r="D6828" s="1009"/>
      <c r="E6828" s="200">
        <v>500000</v>
      </c>
      <c r="F6828" s="48">
        <f t="shared" si="111"/>
        <v>1175437</v>
      </c>
    </row>
    <row r="6829" spans="1:6" x14ac:dyDescent="0.3">
      <c r="A6829" s="45">
        <v>43720</v>
      </c>
      <c r="B6829" s="1018" t="s">
        <v>5367</v>
      </c>
      <c r="C6829" s="1018"/>
      <c r="D6829" s="1019"/>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1013" t="s">
        <v>5371</v>
      </c>
      <c r="C6834" s="1014"/>
      <c r="D6834" s="1015"/>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1013" t="s">
        <v>5379</v>
      </c>
      <c r="C6854" s="1014"/>
      <c r="D6854" s="1015"/>
      <c r="E6854" s="141">
        <v>100000</v>
      </c>
      <c r="F6854" s="48">
        <f t="shared" si="112"/>
        <v>114779</v>
      </c>
    </row>
    <row r="6855" spans="1:6" x14ac:dyDescent="0.3">
      <c r="A6855" s="45">
        <v>43724</v>
      </c>
      <c r="B6855" s="1013" t="s">
        <v>5379</v>
      </c>
      <c r="C6855" s="1014"/>
      <c r="D6855" s="1015"/>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1013" t="s">
        <v>5379</v>
      </c>
      <c r="C6860" s="1014"/>
      <c r="D6860" s="1015"/>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1013" t="s">
        <v>5385</v>
      </c>
      <c r="C6862" s="1014"/>
      <c r="D6862" s="1015"/>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1013" t="s">
        <v>5379</v>
      </c>
      <c r="C6868" s="1014"/>
      <c r="D6868" s="1015"/>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1013" t="s">
        <v>5399</v>
      </c>
      <c r="C6875" s="1014"/>
      <c r="D6875" s="1015"/>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1013" t="s">
        <v>3717</v>
      </c>
      <c r="C6877" s="1014"/>
      <c r="D6877" s="1015"/>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1013" t="s">
        <v>3717</v>
      </c>
      <c r="C6886" s="1014"/>
      <c r="D6886" s="1015"/>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1013" t="s">
        <v>861</v>
      </c>
      <c r="C6907" s="1014"/>
      <c r="D6907" s="1015"/>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1013" t="s">
        <v>4329</v>
      </c>
      <c r="C6911" s="1014"/>
      <c r="D6911" s="1015"/>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1013" t="s">
        <v>4329</v>
      </c>
      <c r="C6919" s="1014"/>
      <c r="D6919" s="1015"/>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1003" t="s">
        <v>4329</v>
      </c>
      <c r="C6932" s="1003"/>
      <c r="D6932" s="1003"/>
      <c r="E6932" s="141">
        <v>75000</v>
      </c>
      <c r="F6932" s="48">
        <f>F6930-D6932+E6932</f>
        <v>94826</v>
      </c>
    </row>
    <row r="6933" spans="1:6" x14ac:dyDescent="0.3">
      <c r="A6933" s="45">
        <v>43739</v>
      </c>
      <c r="B6933" s="1003" t="s">
        <v>861</v>
      </c>
      <c r="C6933" s="1003"/>
      <c r="D6933" s="1003"/>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1003" t="s">
        <v>4329</v>
      </c>
      <c r="C6946" s="1003"/>
      <c r="D6946" s="1003"/>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1017" t="s">
        <v>5431</v>
      </c>
      <c r="C6951" s="1017"/>
      <c r="D6951" s="1017"/>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1017" t="s">
        <v>5444</v>
      </c>
      <c r="C6965" s="1017"/>
      <c r="D6965" s="1017"/>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1017" t="s">
        <v>5448</v>
      </c>
      <c r="C6967" s="1017"/>
      <c r="D6967" s="1017"/>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1003" t="s">
        <v>5462</v>
      </c>
      <c r="C6974" s="1003"/>
      <c r="D6974" s="1003"/>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1003" t="s">
        <v>861</v>
      </c>
      <c r="C6977" s="1003"/>
      <c r="D6977" s="1003"/>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1003" t="s">
        <v>861</v>
      </c>
      <c r="C6982" s="1003"/>
      <c r="D6982" s="1003"/>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1003" t="s">
        <v>861</v>
      </c>
      <c r="C6988" s="1003"/>
      <c r="D6988" s="1003"/>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1003" t="s">
        <v>4362</v>
      </c>
      <c r="C6997" s="1003"/>
      <c r="D6997" s="1003"/>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1003" t="s">
        <v>861</v>
      </c>
      <c r="C7000" s="1003"/>
      <c r="D7000" s="1003"/>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1003" t="s">
        <v>4329</v>
      </c>
      <c r="C7004" s="1003"/>
      <c r="D7004" s="1003"/>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1003" t="s">
        <v>4329</v>
      </c>
      <c r="C7015" s="1003"/>
      <c r="D7015" s="1003"/>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1003"/>
      <c r="C7021" s="1003"/>
      <c r="D7021" s="1003"/>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1003" t="s">
        <v>861</v>
      </c>
      <c r="C7024" s="1003"/>
      <c r="D7024" s="1003"/>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1003" t="s">
        <v>861</v>
      </c>
      <c r="C7030" s="1003"/>
      <c r="D7030" s="1003"/>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1003" t="s">
        <v>4329</v>
      </c>
      <c r="C7033" s="1003"/>
      <c r="D7033" s="1003"/>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1003" t="s">
        <v>5499</v>
      </c>
      <c r="C7044" s="1003"/>
      <c r="D7044" s="1003"/>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1003" t="s">
        <v>5511</v>
      </c>
      <c r="C7058" s="1003"/>
      <c r="D7058" s="1003"/>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1003" t="s">
        <v>5527</v>
      </c>
      <c r="C7077" s="1003"/>
      <c r="D7077" s="1003"/>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1003" t="s">
        <v>5527</v>
      </c>
      <c r="C7103" s="1003"/>
      <c r="D7103" s="1003"/>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1003" t="s">
        <v>5559</v>
      </c>
      <c r="C7111" s="1003"/>
      <c r="D7111" s="1003"/>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1003" t="s">
        <v>4329</v>
      </c>
      <c r="C7124" s="1003"/>
      <c r="D7124" s="1003"/>
      <c r="E7124" s="141">
        <v>30000</v>
      </c>
      <c r="F7124" s="48">
        <f t="shared" si="116"/>
        <v>34780</v>
      </c>
    </row>
    <row r="7125" spans="1:6" x14ac:dyDescent="0.3">
      <c r="A7125" s="45">
        <v>43773</v>
      </c>
      <c r="B7125" s="1003" t="s">
        <v>4329</v>
      </c>
      <c r="C7125" s="1003"/>
      <c r="D7125" s="1003"/>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1003" t="s">
        <v>5579</v>
      </c>
      <c r="C7129" s="1003"/>
      <c r="D7129" s="1003"/>
      <c r="E7129" s="141">
        <v>800000</v>
      </c>
      <c r="F7129" s="48">
        <f t="shared" si="116"/>
        <v>804270</v>
      </c>
    </row>
    <row r="7130" spans="1:6" x14ac:dyDescent="0.3">
      <c r="A7130" s="45">
        <v>43774</v>
      </c>
      <c r="B7130" s="1003" t="s">
        <v>5579</v>
      </c>
      <c r="C7130" s="1003"/>
      <c r="D7130" s="1003"/>
      <c r="E7130" s="141">
        <v>300000</v>
      </c>
      <c r="F7130" s="48">
        <f t="shared" si="116"/>
        <v>1104270</v>
      </c>
    </row>
    <row r="7131" spans="1:6" x14ac:dyDescent="0.3">
      <c r="A7131" s="45">
        <v>43774</v>
      </c>
      <c r="B7131" s="1003" t="s">
        <v>5579</v>
      </c>
      <c r="C7131" s="1003"/>
      <c r="D7131" s="1003"/>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1013" t="s">
        <v>5592</v>
      </c>
      <c r="C7137" s="1014"/>
      <c r="D7137" s="1015"/>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1013" t="s">
        <v>5602</v>
      </c>
      <c r="C7168" s="1014"/>
      <c r="D7168" s="1015"/>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1003" t="s">
        <v>5602</v>
      </c>
      <c r="C7187" s="1003"/>
      <c r="D7187" s="1003"/>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1003" t="s">
        <v>5632</v>
      </c>
      <c r="C7200" s="1003"/>
      <c r="D7200" s="1003"/>
      <c r="E7200" s="43"/>
      <c r="F7200" s="48">
        <v>0</v>
      </c>
    </row>
    <row r="7201" spans="1:11" x14ac:dyDescent="0.3">
      <c r="A7201" s="45">
        <v>43788</v>
      </c>
      <c r="B7201" s="1003" t="s">
        <v>5633</v>
      </c>
      <c r="C7201" s="1003"/>
      <c r="D7201" s="1003"/>
      <c r="E7201" s="43">
        <v>1000000</v>
      </c>
      <c r="F7201" s="48">
        <f>E7201</f>
        <v>1000000</v>
      </c>
    </row>
    <row r="7202" spans="1:11" x14ac:dyDescent="0.3">
      <c r="A7202" s="45">
        <v>43788</v>
      </c>
      <c r="B7202" s="1003" t="s">
        <v>5634</v>
      </c>
      <c r="C7202" s="1003"/>
      <c r="D7202" s="1003"/>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1003" t="s">
        <v>5636</v>
      </c>
      <c r="C7209" s="1003"/>
      <c r="D7209" s="1003"/>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1003" t="s">
        <v>5634</v>
      </c>
      <c r="C7219" s="1003"/>
      <c r="D7219" s="1003"/>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1003" t="s">
        <v>5774</v>
      </c>
      <c r="C7229" s="1003"/>
      <c r="D7229" s="1003"/>
      <c r="E7229" s="43">
        <v>45000</v>
      </c>
      <c r="F7229" s="48">
        <f t="shared" si="118"/>
        <v>51516</v>
      </c>
    </row>
    <row r="7230" spans="1:6" x14ac:dyDescent="0.3">
      <c r="A7230" s="45">
        <v>43810</v>
      </c>
      <c r="B7230" s="1003" t="s">
        <v>5653</v>
      </c>
      <c r="C7230" s="1003"/>
      <c r="D7230" s="1003"/>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1003" t="s">
        <v>3717</v>
      </c>
      <c r="C7243" s="1003"/>
      <c r="D7243" s="1003"/>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1003" t="s">
        <v>3717</v>
      </c>
      <c r="C7245" s="1003"/>
      <c r="D7245" s="1003"/>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1003" t="s">
        <v>3717</v>
      </c>
      <c r="C7248" s="1003"/>
      <c r="D7248" s="1003"/>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1003" t="s">
        <v>5672</v>
      </c>
      <c r="C7260" s="1003"/>
      <c r="D7260" s="1003"/>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1003" t="s">
        <v>5672</v>
      </c>
      <c r="C7265" s="1003"/>
      <c r="D7265" s="1003"/>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1003" t="s">
        <v>4329</v>
      </c>
      <c r="C7268" s="1003"/>
      <c r="D7268" s="1003"/>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1003" t="s">
        <v>4329</v>
      </c>
      <c r="C7272" s="1003"/>
      <c r="D7272" s="1003"/>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1003" t="s">
        <v>4329</v>
      </c>
      <c r="C7292" s="1003"/>
      <c r="D7292" s="1003"/>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1003" t="s">
        <v>5672</v>
      </c>
      <c r="C7308" s="1003"/>
      <c r="D7308" s="1003"/>
      <c r="E7308" s="43">
        <v>750000</v>
      </c>
      <c r="F7308" s="48">
        <f t="shared" si="119"/>
        <v>750678</v>
      </c>
      <c r="K7308" s="52"/>
      <c r="L7308" s="52"/>
    </row>
    <row r="7309" spans="1:12" x14ac:dyDescent="0.3">
      <c r="A7309" s="45">
        <v>43837</v>
      </c>
      <c r="B7309" s="1003" t="s">
        <v>5672</v>
      </c>
      <c r="C7309" s="1003"/>
      <c r="D7309" s="1003"/>
      <c r="E7309" s="43">
        <v>200000</v>
      </c>
      <c r="F7309" s="48">
        <f t="shared" ref="F7309:F7372" si="120">F7308+E7309-D7309</f>
        <v>950678</v>
      </c>
      <c r="K7309" s="52"/>
      <c r="L7309" s="52"/>
    </row>
    <row r="7310" spans="1:12" x14ac:dyDescent="0.3">
      <c r="A7310" s="45">
        <v>43837</v>
      </c>
      <c r="B7310" s="1003" t="s">
        <v>5672</v>
      </c>
      <c r="C7310" s="1003"/>
      <c r="D7310" s="1003"/>
      <c r="E7310" s="43">
        <v>496000</v>
      </c>
      <c r="F7310" s="48">
        <f t="shared" si="120"/>
        <v>1446678</v>
      </c>
      <c r="K7310" s="52"/>
      <c r="L7310" s="52"/>
    </row>
    <row r="7311" spans="1:12" x14ac:dyDescent="0.3">
      <c r="A7311" s="45">
        <v>43837</v>
      </c>
      <c r="B7311" s="1003" t="s">
        <v>4329</v>
      </c>
      <c r="C7311" s="1003"/>
      <c r="D7311" s="1003"/>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1003" t="s">
        <v>5717</v>
      </c>
      <c r="C7327" s="1003"/>
      <c r="D7327" s="1003"/>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1003" t="s">
        <v>5672</v>
      </c>
      <c r="C7331" s="1003"/>
      <c r="D7331" s="1003"/>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1003" t="s">
        <v>5672</v>
      </c>
      <c r="C7336" s="1003"/>
      <c r="D7336" s="1003"/>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1003" t="s">
        <v>2960</v>
      </c>
      <c r="C7354" s="1003"/>
      <c r="D7354" s="1003"/>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1003" t="s">
        <v>2960</v>
      </c>
      <c r="C7357" s="1003"/>
      <c r="D7357" s="1003"/>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1003" t="s">
        <v>5745</v>
      </c>
      <c r="C7360" s="1003"/>
      <c r="D7360" s="1003"/>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1003" t="s">
        <v>2960</v>
      </c>
      <c r="C7367" s="1003"/>
      <c r="D7367" s="1003"/>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1003" t="s">
        <v>4329</v>
      </c>
      <c r="C7374" s="1003"/>
      <c r="D7374" s="1003"/>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1003" t="s">
        <v>5755</v>
      </c>
      <c r="C7386" s="1003"/>
      <c r="D7386" s="1003"/>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1003" t="s">
        <v>2960</v>
      </c>
      <c r="C7416" s="1003"/>
      <c r="D7416" s="1003"/>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1003" t="s">
        <v>5786</v>
      </c>
      <c r="C7419" s="1003"/>
      <c r="D7419" s="1003"/>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1003" t="s">
        <v>5786</v>
      </c>
      <c r="C7422" s="1003"/>
      <c r="D7422" s="1003"/>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1003" t="s">
        <v>5809</v>
      </c>
      <c r="C7453" s="1003"/>
      <c r="D7453" s="1003"/>
      <c r="E7453" s="43">
        <v>500000</v>
      </c>
      <c r="F7453" s="48">
        <f t="shared" si="122"/>
        <v>1425522</v>
      </c>
    </row>
    <row r="7454" spans="1:6" x14ac:dyDescent="0.3">
      <c r="A7454" s="45">
        <v>43875</v>
      </c>
      <c r="B7454" s="1003" t="s">
        <v>5836</v>
      </c>
      <c r="C7454" s="1003"/>
      <c r="D7454" s="1003"/>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1003" t="s">
        <v>5818</v>
      </c>
      <c r="C7462" s="1003"/>
      <c r="D7462" s="1003"/>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1003" t="s">
        <v>5809</v>
      </c>
      <c r="C7485" s="1003"/>
      <c r="D7485" s="1003"/>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1003" t="s">
        <v>5809</v>
      </c>
      <c r="C7498" s="1003"/>
      <c r="D7498" s="1003"/>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1003" t="s">
        <v>5809</v>
      </c>
      <c r="C7508" s="1003"/>
      <c r="D7508" s="1003"/>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1003" t="s">
        <v>5809</v>
      </c>
      <c r="C7514" s="1003"/>
      <c r="D7514" s="1003"/>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1003" t="s">
        <v>5809</v>
      </c>
      <c r="C7519" s="1003"/>
      <c r="D7519" s="1003"/>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1003" t="s">
        <v>5809</v>
      </c>
      <c r="C7524" s="1003"/>
      <c r="D7524" s="1003"/>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1003" t="s">
        <v>5809</v>
      </c>
      <c r="C7533" s="1003"/>
      <c r="D7533" s="1003"/>
      <c r="E7533" s="43">
        <v>35000</v>
      </c>
      <c r="F7533" s="48">
        <f t="shared" si="123"/>
        <v>45802</v>
      </c>
    </row>
    <row r="7534" spans="1:6" ht="15" customHeight="1" x14ac:dyDescent="0.3">
      <c r="A7534" s="45">
        <v>43888</v>
      </c>
      <c r="B7534" s="1003" t="s">
        <v>5809</v>
      </c>
      <c r="C7534" s="1003"/>
      <c r="D7534" s="1003"/>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1003" t="s">
        <v>5809</v>
      </c>
      <c r="C7536" s="1003"/>
      <c r="D7536" s="1003"/>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1003" t="s">
        <v>5906</v>
      </c>
      <c r="C7548" s="1003"/>
      <c r="D7548" s="1003"/>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1003" t="s">
        <v>5921</v>
      </c>
      <c r="C7595" s="1003"/>
      <c r="D7595" s="1003"/>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1003" t="s">
        <v>5926</v>
      </c>
      <c r="C7599" s="1003"/>
      <c r="D7599" s="1003"/>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1003" t="s">
        <v>5952</v>
      </c>
      <c r="C7624" s="1003"/>
      <c r="D7624" s="1003"/>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1003" t="s">
        <v>5980</v>
      </c>
      <c r="C7642" s="1003"/>
      <c r="D7642" s="1003"/>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1003" t="s">
        <v>5986</v>
      </c>
      <c r="C7658" s="1003"/>
      <c r="D7658" s="1003"/>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1003" t="s">
        <v>2960</v>
      </c>
      <c r="C7661" s="1003"/>
      <c r="D7661" s="1003"/>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1003" t="s">
        <v>3444</v>
      </c>
      <c r="C7664" s="1003"/>
      <c r="D7664" s="1003"/>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1003" t="s">
        <v>2960</v>
      </c>
      <c r="C7667" s="1003"/>
      <c r="D7667" s="1003"/>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1003" t="s">
        <v>2960</v>
      </c>
      <c r="C7671" s="1003"/>
      <c r="D7671" s="1003"/>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1003" t="s">
        <v>2960</v>
      </c>
      <c r="C7678" s="1003"/>
      <c r="D7678" s="1003"/>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1003" t="s">
        <v>6000</v>
      </c>
      <c r="C7682" s="1003"/>
      <c r="D7682" s="1003"/>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1003" t="s">
        <v>2960</v>
      </c>
      <c r="C7684" s="1003"/>
      <c r="D7684" s="1003"/>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1003" t="s">
        <v>2960</v>
      </c>
      <c r="C7688" s="1003"/>
      <c r="D7688" s="1003"/>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1003" t="s">
        <v>2960</v>
      </c>
      <c r="C7691" s="1003"/>
      <c r="D7691" s="1003"/>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1003" t="s">
        <v>2960</v>
      </c>
      <c r="C7701" s="1003"/>
      <c r="D7701" s="1003"/>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1003" t="s">
        <v>2960</v>
      </c>
      <c r="C7712" s="1003"/>
      <c r="D7712" s="1003"/>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1003" t="s">
        <v>2960</v>
      </c>
      <c r="C7717" s="1003"/>
      <c r="D7717" s="1003"/>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1003" t="s">
        <v>2960</v>
      </c>
      <c r="C7720" s="1003"/>
      <c r="D7720" s="1003"/>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1003" t="s">
        <v>6039</v>
      </c>
      <c r="C7730" s="1003"/>
      <c r="D7730" s="1003"/>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1003" t="s">
        <v>6000</v>
      </c>
      <c r="C7741" s="1003"/>
      <c r="D7741" s="1003"/>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1003" t="s">
        <v>6055</v>
      </c>
      <c r="C7745" s="1003"/>
      <c r="D7745" s="1003"/>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1003" t="s">
        <v>6000</v>
      </c>
      <c r="C7754" s="1003"/>
      <c r="D7754" s="1003"/>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1003" t="s">
        <v>6055</v>
      </c>
      <c r="C7759" s="1003"/>
      <c r="D7759" s="1003"/>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1003" t="s">
        <v>6069</v>
      </c>
      <c r="C7766" s="1003"/>
      <c r="D7766" s="1003"/>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1003" t="s">
        <v>6079</v>
      </c>
      <c r="C7772" s="1003"/>
      <c r="D7772" s="1003"/>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1003" t="s">
        <v>6055</v>
      </c>
      <c r="C7774" s="1003"/>
      <c r="D7774" s="1003"/>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1003" t="s">
        <v>6000</v>
      </c>
      <c r="C7776" s="1003"/>
      <c r="D7776" s="1003"/>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1003" t="s">
        <v>6090</v>
      </c>
      <c r="C7780" s="1003"/>
      <c r="D7780" s="1003"/>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1003" t="s">
        <v>6095</v>
      </c>
      <c r="C7784" s="1003"/>
      <c r="D7784" s="1003"/>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1003" t="s">
        <v>6098</v>
      </c>
      <c r="C7789" s="1003"/>
      <c r="D7789" s="1003"/>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1003" t="s">
        <v>6055</v>
      </c>
      <c r="C7804" s="1003"/>
      <c r="D7804" s="1003"/>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1003" t="s">
        <v>6055</v>
      </c>
      <c r="C7809" s="1003"/>
      <c r="D7809" s="1003"/>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1003" t="s">
        <v>6162</v>
      </c>
      <c r="C7820" s="1003"/>
      <c r="D7820" s="1003"/>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1003" t="s">
        <v>6055</v>
      </c>
      <c r="C7823" s="1003"/>
      <c r="D7823" s="1003"/>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1003" t="s">
        <v>6137</v>
      </c>
      <c r="C7833" s="1003"/>
      <c r="D7833" s="1003"/>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1003" t="s">
        <v>6166</v>
      </c>
      <c r="C7836" s="1003"/>
      <c r="D7836" s="1003"/>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1003" t="s">
        <v>6166</v>
      </c>
      <c r="C7839" s="1003"/>
      <c r="D7839" s="1003"/>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1003" t="s">
        <v>6157</v>
      </c>
      <c r="C7853" s="1003"/>
      <c r="D7853" s="1003"/>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1003" t="s">
        <v>6187</v>
      </c>
      <c r="C7874" s="1003"/>
      <c r="D7874" s="1003"/>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1003" t="s">
        <v>6196</v>
      </c>
      <c r="C7886" s="1003"/>
      <c r="D7886" s="1003"/>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1003" t="s">
        <v>6204</v>
      </c>
      <c r="C7896" s="1003"/>
      <c r="D7896" s="1003"/>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1003" t="s">
        <v>6207</v>
      </c>
      <c r="C7898" s="1003"/>
      <c r="D7898" s="1003"/>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1003" t="s">
        <v>6210</v>
      </c>
      <c r="C7905" s="1003"/>
      <c r="D7905" s="1003"/>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1003" t="s">
        <v>6210</v>
      </c>
      <c r="C7923" s="1003"/>
      <c r="D7923" s="1003"/>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1003" t="s">
        <v>6210</v>
      </c>
      <c r="C7925" s="1003"/>
      <c r="D7925" s="1003"/>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1003" t="s">
        <v>6210</v>
      </c>
      <c r="C7935" s="1003"/>
      <c r="D7935" s="1003"/>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1003" t="s">
        <v>6210</v>
      </c>
      <c r="C7941" s="1003"/>
      <c r="D7941" s="1003"/>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1003" t="s">
        <v>6241</v>
      </c>
      <c r="C7950" s="1003"/>
      <c r="D7950" s="1003"/>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1003" t="s">
        <v>6249</v>
      </c>
      <c r="C7961" s="1003"/>
      <c r="D7961" s="1003"/>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1003" t="s">
        <v>6260</v>
      </c>
      <c r="C7968" s="1003"/>
      <c r="D7968" s="1003"/>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1003" t="s">
        <v>6257</v>
      </c>
      <c r="C7976" s="1003"/>
      <c r="D7976" s="1003"/>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1003" t="s">
        <v>6276</v>
      </c>
      <c r="C7985" s="1003"/>
      <c r="D7985" s="1003"/>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1003" t="s">
        <v>6257</v>
      </c>
      <c r="C8001" s="1003"/>
      <c r="D8001" s="1003"/>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1003" t="s">
        <v>6257</v>
      </c>
      <c r="C8020" s="1003"/>
      <c r="D8020" s="1003"/>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1003" t="s">
        <v>6257</v>
      </c>
      <c r="C8037" s="1003"/>
      <c r="D8037" s="1003"/>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1003" t="s">
        <v>6276</v>
      </c>
      <c r="C8054" s="1003"/>
      <c r="D8054" s="1003"/>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1003" t="s">
        <v>6339</v>
      </c>
      <c r="C8068" s="1003"/>
      <c r="D8068" s="1003"/>
      <c r="E8068" s="43">
        <v>288750</v>
      </c>
      <c r="F8068" s="48">
        <f t="shared" si="132"/>
        <v>317325</v>
      </c>
    </row>
    <row r="8069" spans="1:6" x14ac:dyDescent="0.3">
      <c r="A8069" s="45">
        <v>44053</v>
      </c>
      <c r="B8069" s="1003" t="s">
        <v>6340</v>
      </c>
      <c r="C8069" s="1003"/>
      <c r="D8069" s="1003"/>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1003" t="s">
        <v>6257</v>
      </c>
      <c r="C8074" s="1003"/>
      <c r="D8074" s="1003"/>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1003" t="s">
        <v>6357</v>
      </c>
      <c r="C8097" s="1003"/>
      <c r="D8097" s="1003"/>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1003" t="s">
        <v>6257</v>
      </c>
      <c r="C8122" s="1003"/>
      <c r="D8122" s="1003"/>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1003" t="s">
        <v>6249</v>
      </c>
      <c r="C8132" s="1003"/>
      <c r="D8132" s="1003"/>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1003" t="s">
        <v>6409</v>
      </c>
      <c r="C8140" s="1003"/>
      <c r="D8140" s="1003"/>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1003" t="s">
        <v>6408</v>
      </c>
      <c r="C8144" s="1003"/>
      <c r="D8144" s="1003"/>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1003" t="s">
        <v>6407</v>
      </c>
      <c r="C8176" s="1003"/>
      <c r="D8176" s="1003"/>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1003" t="s">
        <v>6423</v>
      </c>
      <c r="C8182" s="1003"/>
      <c r="D8182" s="1003"/>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1003" t="s">
        <v>6438</v>
      </c>
      <c r="C8203" s="1003"/>
      <c r="D8203" s="1003"/>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1003" t="s">
        <v>5653</v>
      </c>
      <c r="C8206" s="1003"/>
      <c r="D8206" s="1003"/>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1003" t="s">
        <v>6438</v>
      </c>
      <c r="C8215" s="1003"/>
      <c r="D8215" s="1003"/>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1003" t="s">
        <v>6407</v>
      </c>
      <c r="C8219" s="1003"/>
      <c r="D8219" s="1003"/>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1003" t="s">
        <v>5653</v>
      </c>
      <c r="C8244" s="1003"/>
      <c r="D8244" s="1003"/>
      <c r="E8244" s="43">
        <v>50000</v>
      </c>
      <c r="F8244" s="48">
        <f t="shared" si="135"/>
        <v>66921.870967742056</v>
      </c>
    </row>
    <row r="8245" spans="1:10" x14ac:dyDescent="0.3">
      <c r="A8245" s="45">
        <v>44095</v>
      </c>
      <c r="B8245" s="1003" t="s">
        <v>5653</v>
      </c>
      <c r="C8245" s="1003"/>
      <c r="D8245" s="1003"/>
      <c r="E8245" s="43">
        <v>25000</v>
      </c>
      <c r="F8245" s="48">
        <f t="shared" si="135"/>
        <v>91921.870967742056</v>
      </c>
    </row>
    <row r="8246" spans="1:10" x14ac:dyDescent="0.3">
      <c r="A8246" s="45">
        <v>44095</v>
      </c>
      <c r="B8246" s="1003" t="s">
        <v>5653</v>
      </c>
      <c r="C8246" s="1003"/>
      <c r="D8246" s="1003"/>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1003" t="s">
        <v>5653</v>
      </c>
      <c r="C8253" s="1003"/>
      <c r="D8253" s="1003"/>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1003" t="s">
        <v>6490</v>
      </c>
      <c r="C8267" s="1003"/>
      <c r="D8267" s="1003"/>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1003" t="s">
        <v>5653</v>
      </c>
      <c r="C8269" s="1003"/>
      <c r="D8269" s="1003"/>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1003" t="s">
        <v>3444</v>
      </c>
      <c r="C8277" s="1003"/>
      <c r="D8277" s="1003"/>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1003" t="s">
        <v>6503</v>
      </c>
      <c r="C8289" s="1003"/>
      <c r="D8289" s="1003"/>
      <c r="E8289" s="43">
        <v>20000</v>
      </c>
      <c r="F8289" s="48">
        <f t="shared" ref="F8289:F8352" si="136">F8288+E8289-D8289</f>
        <v>30278.870967742056</v>
      </c>
    </row>
    <row r="8290" spans="1:8" x14ac:dyDescent="0.3">
      <c r="A8290" s="45">
        <v>44102</v>
      </c>
      <c r="B8290" s="1003" t="s">
        <v>6503</v>
      </c>
      <c r="C8290" s="1003"/>
      <c r="D8290" s="1003"/>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1003" t="s">
        <v>5653</v>
      </c>
      <c r="C8293" s="1003"/>
      <c r="D8293" s="1003"/>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1003" t="s">
        <v>5653</v>
      </c>
      <c r="C8306" s="1003"/>
      <c r="D8306" s="1003"/>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1003" t="s">
        <v>5653</v>
      </c>
      <c r="C8321" s="1003"/>
      <c r="D8321" s="1003"/>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1003" t="s">
        <v>5653</v>
      </c>
      <c r="C8348" s="1003"/>
      <c r="D8348" s="1003"/>
      <c r="E8348" s="43">
        <v>299000</v>
      </c>
      <c r="F8348" s="48">
        <f t="shared" si="136"/>
        <v>308262.87096774206</v>
      </c>
    </row>
    <row r="8349" spans="1:6" x14ac:dyDescent="0.3">
      <c r="A8349" s="45">
        <v>44112</v>
      </c>
      <c r="B8349" s="1003" t="s">
        <v>5653</v>
      </c>
      <c r="C8349" s="1003"/>
      <c r="D8349" s="1003"/>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1003" t="s">
        <v>5653</v>
      </c>
      <c r="C8371" s="1003"/>
      <c r="D8371" s="1003"/>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1013" t="s">
        <v>6566</v>
      </c>
      <c r="C8374" s="1014"/>
      <c r="D8374" s="1015"/>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1003" t="s">
        <v>6575</v>
      </c>
      <c r="C8381" s="1003"/>
      <c r="D8381" s="1003"/>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1003" t="s">
        <v>6582</v>
      </c>
      <c r="C8391" s="1003"/>
      <c r="D8391" s="1003"/>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1003" t="s">
        <v>3444</v>
      </c>
      <c r="C8437" s="1003"/>
      <c r="D8437" s="1003"/>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1003" t="s">
        <v>5653</v>
      </c>
      <c r="C8452" s="1003"/>
      <c r="D8452" s="1003"/>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1003" t="s">
        <v>5653</v>
      </c>
      <c r="C8476" s="1003"/>
      <c r="D8476" s="1003"/>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1003" t="s">
        <v>6672</v>
      </c>
      <c r="C8494" s="1003"/>
      <c r="D8494" s="1003"/>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1003" t="s">
        <v>2960</v>
      </c>
      <c r="C8501" s="1003"/>
      <c r="D8501" s="1003"/>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1003" t="s">
        <v>2960</v>
      </c>
      <c r="C8510" s="1003"/>
      <c r="D8510" s="1003"/>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1003" t="s">
        <v>2960</v>
      </c>
      <c r="C8513" s="1003"/>
      <c r="D8513" s="1003"/>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1003" t="s">
        <v>6688</v>
      </c>
      <c r="C8519" s="1003"/>
      <c r="D8519" s="1003"/>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1003" t="s">
        <v>6688</v>
      </c>
      <c r="C8529" s="1003"/>
      <c r="D8529" s="1003"/>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1003" t="s">
        <v>2960</v>
      </c>
      <c r="C8540" s="1003"/>
      <c r="D8540" s="1003"/>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1003" t="s">
        <v>6688</v>
      </c>
      <c r="C8558" s="1003"/>
      <c r="D8558" s="1003"/>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1003" t="s">
        <v>6688</v>
      </c>
      <c r="C8570" s="1003"/>
      <c r="D8570" s="1003"/>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1003" t="s">
        <v>5653</v>
      </c>
      <c r="C8587" s="1003"/>
      <c r="D8587" s="1003"/>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1003" t="s">
        <v>5653</v>
      </c>
      <c r="C8596" s="1003"/>
      <c r="D8596" s="1003"/>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1003" t="s">
        <v>4106</v>
      </c>
      <c r="C8612" s="1003"/>
      <c r="D8612" s="1003"/>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1003" t="s">
        <v>5653</v>
      </c>
      <c r="C8630" s="1003"/>
      <c r="D8630" s="1003"/>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1003" t="s">
        <v>5653</v>
      </c>
      <c r="C8634" s="1003"/>
      <c r="D8634" s="1003"/>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1003" t="s">
        <v>4106</v>
      </c>
      <c r="C8636" s="1003"/>
      <c r="D8636" s="1003"/>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1003" t="s">
        <v>6786</v>
      </c>
      <c r="C8651" s="1003"/>
      <c r="D8651" s="1003"/>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1003" t="s">
        <v>6800</v>
      </c>
      <c r="C8663" s="1003"/>
      <c r="D8663" s="1003"/>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1003" t="s">
        <v>6802</v>
      </c>
      <c r="C8673" s="1003"/>
      <c r="D8673" s="1003"/>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1003" t="s">
        <v>4106</v>
      </c>
      <c r="C8687" s="1003"/>
      <c r="D8687" s="1003"/>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1003" t="s">
        <v>6823</v>
      </c>
      <c r="C8698" s="1003"/>
      <c r="D8698" s="1003"/>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1003" t="s">
        <v>4415</v>
      </c>
      <c r="C8705" s="1003"/>
      <c r="D8705" s="1003"/>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1003" t="s">
        <v>4415</v>
      </c>
      <c r="C8721" s="1003"/>
      <c r="D8721" s="1003"/>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1003" t="s">
        <v>4415</v>
      </c>
      <c r="C8736" s="1003"/>
      <c r="D8736" s="1003"/>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1003" t="s">
        <v>4415</v>
      </c>
      <c r="C8742" s="1003"/>
      <c r="D8742" s="1003"/>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1003" t="s">
        <v>6858</v>
      </c>
      <c r="C8749" s="1003"/>
      <c r="D8749" s="1003"/>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1003" t="s">
        <v>4415</v>
      </c>
      <c r="C8798" s="1003"/>
      <c r="D8798" s="1003"/>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1003" t="s">
        <v>4415</v>
      </c>
      <c r="C8805" s="1003"/>
      <c r="D8805" s="1003"/>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1003" t="s">
        <v>4415</v>
      </c>
      <c r="C8830" s="1003"/>
      <c r="D8830" s="1003"/>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1016"/>
      <c r="J8832" s="1016"/>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1003" t="s">
        <v>4415</v>
      </c>
      <c r="C8836" s="1003"/>
      <c r="D8836" s="1003"/>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1003" t="s">
        <v>4415</v>
      </c>
      <c r="C8840" s="1003"/>
      <c r="D8840" s="1003"/>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1003" t="s">
        <v>4415</v>
      </c>
      <c r="C8859" s="1003"/>
      <c r="D8859" s="1003"/>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1003" t="s">
        <v>3444</v>
      </c>
      <c r="C8866" s="1003"/>
      <c r="D8866" s="1003"/>
      <c r="E8866" s="43">
        <v>100000</v>
      </c>
      <c r="F8866" s="48">
        <f t="shared" si="145"/>
        <v>102511</v>
      </c>
    </row>
    <row r="8867" spans="1:6" x14ac:dyDescent="0.3">
      <c r="A8867" s="45">
        <v>43839</v>
      </c>
      <c r="B8867" s="1003" t="s">
        <v>3444</v>
      </c>
      <c r="C8867" s="1003"/>
      <c r="D8867" s="1003"/>
      <c r="E8867" s="43">
        <v>35000</v>
      </c>
      <c r="F8867" s="48">
        <f t="shared" si="145"/>
        <v>137511</v>
      </c>
    </row>
    <row r="8868" spans="1:6" x14ac:dyDescent="0.3">
      <c r="A8868" s="45">
        <v>43839</v>
      </c>
      <c r="B8868" s="1003" t="s">
        <v>4415</v>
      </c>
      <c r="C8868" s="1003"/>
      <c r="D8868" s="1003"/>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1003" t="s">
        <v>3444</v>
      </c>
      <c r="C8884" s="1003"/>
      <c r="D8884" s="1003"/>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1003" t="s">
        <v>3444</v>
      </c>
      <c r="C8894" s="1003"/>
      <c r="D8894" s="1003"/>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1003" t="s">
        <v>3444</v>
      </c>
      <c r="C8901" s="1003"/>
      <c r="D8901" s="1003"/>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1003" t="s">
        <v>3444</v>
      </c>
      <c r="C8907" s="1003"/>
      <c r="D8907" s="1003"/>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1003" t="s">
        <v>5379</v>
      </c>
      <c r="C8930" s="1003"/>
      <c r="D8930" s="1003"/>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1013" t="s">
        <v>5431</v>
      </c>
      <c r="C8940" s="1014"/>
      <c r="D8940" s="1015"/>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1013" t="s">
        <v>5379</v>
      </c>
      <c r="C8947" s="1014"/>
      <c r="D8947" s="1015"/>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1013" t="s">
        <v>7048</v>
      </c>
      <c r="C8975" s="1014"/>
      <c r="D8975" s="1015"/>
      <c r="E8975" s="43">
        <v>100000</v>
      </c>
      <c r="F8975" s="48">
        <f t="shared" si="146"/>
        <v>109464</v>
      </c>
    </row>
    <row r="8976" spans="1:6" x14ac:dyDescent="0.3">
      <c r="A8976" s="45">
        <v>44256</v>
      </c>
      <c r="B8976" s="1013" t="s">
        <v>7048</v>
      </c>
      <c r="C8976" s="1014"/>
      <c r="D8976" s="1015"/>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1013" t="s">
        <v>7088</v>
      </c>
      <c r="C8992" s="1014"/>
      <c r="D8992" s="1015"/>
      <c r="E8992" s="43">
        <v>100000</v>
      </c>
      <c r="F8992" s="48">
        <f>F8991+E8992-D8992</f>
        <v>108416</v>
      </c>
    </row>
    <row r="8993" spans="1:6" x14ac:dyDescent="0.3">
      <c r="A8993" s="45">
        <v>44258</v>
      </c>
      <c r="B8993" s="1013" t="s">
        <v>7088</v>
      </c>
      <c r="C8993" s="1014"/>
      <c r="D8993" s="1015"/>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1013" t="s">
        <v>7100</v>
      </c>
      <c r="C9003" s="1014"/>
      <c r="D9003" s="1015"/>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1013" t="s">
        <v>4415</v>
      </c>
      <c r="C9013" s="1014"/>
      <c r="D9013" s="1015"/>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1013" t="s">
        <v>7048</v>
      </c>
      <c r="C9019" s="1014"/>
      <c r="D9019" s="1015"/>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1013" t="s">
        <v>7106</v>
      </c>
      <c r="C9021" s="1014"/>
      <c r="D9021" s="1015"/>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1013" t="s">
        <v>7048</v>
      </c>
      <c r="C9036" s="1014"/>
      <c r="D9036" s="1015"/>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1013" t="s">
        <v>4415</v>
      </c>
      <c r="C9044" s="1014"/>
      <c r="D9044" s="1015"/>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1013" t="s">
        <v>7048</v>
      </c>
      <c r="C9061" s="1014"/>
      <c r="D9061" s="1015"/>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1013" t="s">
        <v>7048</v>
      </c>
      <c r="C9063" s="1014"/>
      <c r="D9063" s="1015"/>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1013" t="s">
        <v>4415</v>
      </c>
      <c r="C9065" s="1014"/>
      <c r="D9065" s="1015"/>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1013" t="s">
        <v>4415</v>
      </c>
      <c r="C9073" s="1014"/>
      <c r="D9073" s="1015"/>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1013" t="s">
        <v>7161</v>
      </c>
      <c r="C9080" s="1014"/>
      <c r="D9080" s="1015"/>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1013" t="s">
        <v>861</v>
      </c>
      <c r="C9094" s="1014"/>
      <c r="D9094" s="1015"/>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1013" t="s">
        <v>7195</v>
      </c>
      <c r="C9102" s="1014"/>
      <c r="D9102" s="1015"/>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1013" t="s">
        <v>7196</v>
      </c>
      <c r="C9109" s="1014"/>
      <c r="D9109" s="1015"/>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1013" t="s">
        <v>7088</v>
      </c>
      <c r="C9119" s="1014"/>
      <c r="D9119" s="1015"/>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1013" t="s">
        <v>3444</v>
      </c>
      <c r="C9135" s="1014"/>
      <c r="D9135" s="1015"/>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1013" t="s">
        <v>3444</v>
      </c>
      <c r="C9148" s="1014"/>
      <c r="D9148" s="1015"/>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1013" t="s">
        <v>861</v>
      </c>
      <c r="C9166" s="1014"/>
      <c r="D9166" s="1015"/>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1013" t="s">
        <v>5431</v>
      </c>
      <c r="C9179" s="1014"/>
      <c r="D9179" s="1015"/>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1013" t="s">
        <v>5431</v>
      </c>
      <c r="C9183" s="1014"/>
      <c r="D9183" s="1015"/>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1013" t="s">
        <v>7261</v>
      </c>
      <c r="C9197" s="1014"/>
      <c r="D9197" s="1015"/>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1013" t="s">
        <v>4415</v>
      </c>
      <c r="C9204" s="1014"/>
      <c r="D9204" s="1015"/>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1013" t="s">
        <v>4415</v>
      </c>
      <c r="C9211" s="1014"/>
      <c r="D9211" s="1015"/>
      <c r="E9211" s="43">
        <v>250000</v>
      </c>
      <c r="F9211" s="48">
        <f t="shared" si="150"/>
        <v>616934</v>
      </c>
    </row>
    <row r="9212" spans="1:6" ht="150"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1013" t="s">
        <v>4329</v>
      </c>
      <c r="C9226" s="1014"/>
      <c r="D9226" s="1015"/>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1013" t="s">
        <v>5431</v>
      </c>
      <c r="C9235" s="1014"/>
      <c r="D9235" s="1015"/>
      <c r="E9235" s="43">
        <v>70000</v>
      </c>
      <c r="F9235" s="48">
        <f t="shared" si="151"/>
        <v>76563</v>
      </c>
    </row>
    <row r="9236" spans="1:6" x14ac:dyDescent="0.3">
      <c r="A9236" s="45">
        <v>44298</v>
      </c>
      <c r="B9236" s="1013" t="s">
        <v>5431</v>
      </c>
      <c r="C9236" s="1014"/>
      <c r="D9236" s="1015"/>
      <c r="E9236" s="43">
        <v>45000</v>
      </c>
      <c r="F9236" s="48">
        <f t="shared" si="151"/>
        <v>121563</v>
      </c>
    </row>
    <row r="9237" spans="1:6" x14ac:dyDescent="0.3">
      <c r="A9237" s="45">
        <v>44298</v>
      </c>
      <c r="B9237" s="1013" t="s">
        <v>5431</v>
      </c>
      <c r="C9237" s="1014"/>
      <c r="D9237" s="1015"/>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1013" t="s">
        <v>7310</v>
      </c>
      <c r="C9242" s="1014"/>
      <c r="D9242" s="1015"/>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1013" t="s">
        <v>5431</v>
      </c>
      <c r="C9249" s="1014"/>
      <c r="D9249" s="1015"/>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1013" t="s">
        <v>3444</v>
      </c>
      <c r="C9258" s="1014"/>
      <c r="D9258" s="1015"/>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1003" t="s">
        <v>5431</v>
      </c>
      <c r="C9263" s="1003"/>
      <c r="D9263" s="1003"/>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1003" t="s">
        <v>5431</v>
      </c>
      <c r="C9274" s="1003"/>
      <c r="D9274" s="1003"/>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1003" t="s">
        <v>7343</v>
      </c>
      <c r="C9283" s="1003"/>
      <c r="D9283" s="1003"/>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1003" t="s">
        <v>7348</v>
      </c>
      <c r="C9287" s="1003"/>
      <c r="D9287" s="1003"/>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1003" t="s">
        <v>5431</v>
      </c>
      <c r="C9289" s="1003"/>
      <c r="D9289" s="1003"/>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1003" t="s">
        <v>5431</v>
      </c>
      <c r="C9300" s="1003"/>
      <c r="D9300" s="1003"/>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1003" t="s">
        <v>5431</v>
      </c>
      <c r="C9306" s="1003"/>
      <c r="D9306" s="1003"/>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1003" t="s">
        <v>5431</v>
      </c>
      <c r="C9310" s="1003"/>
      <c r="D9310" s="1003"/>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1003" t="s">
        <v>7374</v>
      </c>
      <c r="C9314" s="1003"/>
      <c r="D9314" s="1003"/>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1003" t="s">
        <v>4329</v>
      </c>
      <c r="C9340" s="1003"/>
      <c r="D9340" s="1003"/>
      <c r="E9340" s="43">
        <v>500000</v>
      </c>
      <c r="F9340" s="48">
        <f>F9339+E9340-D9340</f>
        <v>503165</v>
      </c>
    </row>
    <row r="9341" spans="1:13" x14ac:dyDescent="0.3">
      <c r="A9341" s="45">
        <v>44321</v>
      </c>
      <c r="B9341" s="1003" t="s">
        <v>861</v>
      </c>
      <c r="C9341" s="1003"/>
      <c r="D9341" s="1003"/>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1003" t="s">
        <v>7422</v>
      </c>
      <c r="C9353" s="1003"/>
      <c r="D9353" s="1003"/>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1003" t="s">
        <v>4415</v>
      </c>
      <c r="C9365" s="1003"/>
      <c r="D9365" s="1003"/>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1003" t="s">
        <v>4415</v>
      </c>
      <c r="C9368" s="1003"/>
      <c r="D9368" s="1003"/>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1003" t="s">
        <v>861</v>
      </c>
      <c r="C9380" s="1003"/>
      <c r="D9380" s="1003"/>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1003" t="s">
        <v>7440</v>
      </c>
      <c r="C9387" s="1003"/>
      <c r="D9387" s="1003"/>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1012" t="s">
        <v>7448</v>
      </c>
      <c r="I9396" s="1012"/>
      <c r="J9396" s="1012"/>
    </row>
    <row r="9397" spans="1:12" x14ac:dyDescent="0.3">
      <c r="A9397" s="45">
        <v>44336</v>
      </c>
      <c r="B9397" s="1003" t="s">
        <v>7440</v>
      </c>
      <c r="C9397" s="1003"/>
      <c r="D9397" s="1003"/>
      <c r="E9397" s="43">
        <v>50000</v>
      </c>
      <c r="F9397" s="48">
        <f t="shared" si="153"/>
        <v>68195</v>
      </c>
      <c r="H9397" s="1011" t="s">
        <v>7527</v>
      </c>
      <c r="I9397" s="1011"/>
      <c r="J9397" s="43">
        <v>25000</v>
      </c>
    </row>
    <row r="9398" spans="1:12" x14ac:dyDescent="0.3">
      <c r="A9398" s="45">
        <v>44336</v>
      </c>
      <c r="B9398" s="5" t="s">
        <v>4055</v>
      </c>
      <c r="C9398" s="5" t="s">
        <v>7456</v>
      </c>
      <c r="D9398" s="43">
        <v>40000</v>
      </c>
      <c r="E9398" s="43"/>
      <c r="F9398" s="48">
        <f t="shared" si="153"/>
        <v>28195</v>
      </c>
      <c r="H9398" s="1011" t="s">
        <v>7449</v>
      </c>
      <c r="I9398" s="1011"/>
      <c r="J9398" s="43">
        <v>201000</v>
      </c>
    </row>
    <row r="9399" spans="1:12" x14ac:dyDescent="0.3">
      <c r="A9399" s="45">
        <v>44336</v>
      </c>
      <c r="B9399" s="5" t="s">
        <v>7457</v>
      </c>
      <c r="C9399" s="5" t="s">
        <v>7458</v>
      </c>
      <c r="D9399" s="43">
        <v>16000</v>
      </c>
      <c r="E9399" s="43"/>
      <c r="F9399" s="48">
        <f t="shared" si="153"/>
        <v>12195</v>
      </c>
      <c r="H9399" s="1011" t="s">
        <v>7450</v>
      </c>
      <c r="I9399" s="1011"/>
      <c r="J9399" s="43">
        <v>201000</v>
      </c>
    </row>
    <row r="9400" spans="1:12" x14ac:dyDescent="0.3">
      <c r="A9400" s="45">
        <v>44336</v>
      </c>
      <c r="B9400" s="5" t="s">
        <v>7214</v>
      </c>
      <c r="C9400" s="5" t="s">
        <v>7460</v>
      </c>
      <c r="D9400" s="43">
        <v>2500</v>
      </c>
      <c r="E9400" s="43"/>
      <c r="F9400" s="48">
        <f t="shared" si="153"/>
        <v>9695</v>
      </c>
      <c r="H9400" s="1011" t="s">
        <v>7452</v>
      </c>
      <c r="I9400" s="1011"/>
      <c r="J9400" s="43">
        <v>4000</v>
      </c>
    </row>
    <row r="9401" spans="1:12" x14ac:dyDescent="0.3">
      <c r="A9401" s="45">
        <v>44336</v>
      </c>
      <c r="B9401" s="1003" t="s">
        <v>7440</v>
      </c>
      <c r="C9401" s="1003"/>
      <c r="D9401" s="1003"/>
      <c r="E9401" s="43">
        <v>50000</v>
      </c>
      <c r="F9401" s="48">
        <f t="shared" si="153"/>
        <v>59695</v>
      </c>
      <c r="H9401" s="1011" t="s">
        <v>7464</v>
      </c>
      <c r="I9401" s="1011"/>
      <c r="J9401" s="43">
        <f>SUM(J9397:J9400)</f>
        <v>431000</v>
      </c>
    </row>
    <row r="9402" spans="1:12" x14ac:dyDescent="0.3">
      <c r="A9402" s="45">
        <v>44336</v>
      </c>
      <c r="B9402" s="5" t="s">
        <v>4550</v>
      </c>
      <c r="C9402" s="5" t="s">
        <v>7462</v>
      </c>
      <c r="D9402" s="43">
        <v>20000</v>
      </c>
      <c r="E9402" s="43"/>
      <c r="F9402" s="48">
        <f t="shared" si="153"/>
        <v>39695</v>
      </c>
      <c r="H9402" s="1011" t="s">
        <v>7463</v>
      </c>
      <c r="I9402" s="1011"/>
      <c r="J9402" s="43">
        <v>67000</v>
      </c>
    </row>
    <row r="9403" spans="1:12" x14ac:dyDescent="0.3">
      <c r="A9403" s="45">
        <v>44337</v>
      </c>
      <c r="B9403" s="5" t="s">
        <v>5156</v>
      </c>
      <c r="C9403" s="5" t="s">
        <v>7466</v>
      </c>
      <c r="D9403" s="43">
        <v>7260</v>
      </c>
      <c r="E9403" s="43"/>
      <c r="F9403" s="48">
        <f t="shared" si="153"/>
        <v>32435</v>
      </c>
      <c r="H9403" s="1011" t="s">
        <v>7465</v>
      </c>
      <c r="I9403" s="1011"/>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1003" t="s">
        <v>7440</v>
      </c>
      <c r="C9405" s="1003"/>
      <c r="D9405" s="1003"/>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1003" t="s">
        <v>7440</v>
      </c>
      <c r="C9410" s="1003"/>
      <c r="D9410" s="1003"/>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1003" t="s">
        <v>7440</v>
      </c>
      <c r="C9419" s="1003"/>
      <c r="D9419" s="1003"/>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1003" t="s">
        <v>7440</v>
      </c>
      <c r="C9439" s="1003"/>
      <c r="D9439" s="1003"/>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1003" t="s">
        <v>7440</v>
      </c>
      <c r="C9448" s="1003"/>
      <c r="D9448" s="1003"/>
      <c r="E9448" s="43">
        <v>720000</v>
      </c>
      <c r="F9448" s="48">
        <f t="shared" si="154"/>
        <v>743869</v>
      </c>
    </row>
    <row r="9449" spans="1:10" x14ac:dyDescent="0.3">
      <c r="A9449" s="45">
        <v>44349</v>
      </c>
      <c r="B9449" s="1003" t="s">
        <v>7048</v>
      </c>
      <c r="C9449" s="1003"/>
      <c r="D9449" s="1003"/>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1003" t="s">
        <v>7088</v>
      </c>
      <c r="C9469" s="1003"/>
      <c r="D9469" s="1003"/>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1003" t="s">
        <v>7088</v>
      </c>
      <c r="C9475" s="1003"/>
      <c r="D9475" s="1003"/>
      <c r="E9475" s="43">
        <v>250000</v>
      </c>
      <c r="F9475" s="48">
        <f t="shared" si="155"/>
        <v>373893</v>
      </c>
      <c r="H9475" s="254"/>
    </row>
    <row r="9476" spans="1:12" x14ac:dyDescent="0.3">
      <c r="A9476" s="45">
        <v>44356</v>
      </c>
      <c r="B9476" s="1003" t="s">
        <v>7088</v>
      </c>
      <c r="C9476" s="1003"/>
      <c r="D9476" s="1003"/>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1003" t="s">
        <v>7536</v>
      </c>
      <c r="C9483" s="1003"/>
      <c r="D9483" s="1003"/>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1003" t="s">
        <v>861</v>
      </c>
      <c r="C9486" s="1003"/>
      <c r="D9486" s="1003"/>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1003" t="s">
        <v>861</v>
      </c>
      <c r="C9496" s="1003"/>
      <c r="D9496" s="1003"/>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1003" t="s">
        <v>4362</v>
      </c>
      <c r="C9520" s="1003"/>
      <c r="D9520" s="1003"/>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1003" t="s">
        <v>7348</v>
      </c>
      <c r="C9523" s="1003"/>
      <c r="D9523" s="1003"/>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1003" t="s">
        <v>861</v>
      </c>
      <c r="C9525" s="1003"/>
      <c r="D9525" s="1003"/>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1003" t="s">
        <v>7577</v>
      </c>
      <c r="C9534" s="1003"/>
      <c r="D9534" s="1003"/>
      <c r="E9534" s="43">
        <v>700</v>
      </c>
      <c r="F9534" s="48">
        <f t="shared" si="156"/>
        <v>14488</v>
      </c>
      <c r="L9534" s="93"/>
    </row>
    <row r="9535" spans="1:12" x14ac:dyDescent="0.3">
      <c r="A9535" s="45">
        <v>44364</v>
      </c>
      <c r="B9535" s="5" t="s">
        <v>6341</v>
      </c>
      <c r="C9535" s="5" t="s">
        <v>6555</v>
      </c>
      <c r="D9535" s="43">
        <v>2500</v>
      </c>
      <c r="E9535" s="43"/>
      <c r="F9535" s="48">
        <f t="shared" si="156"/>
        <v>11988</v>
      </c>
      <c r="H9535" s="1010"/>
      <c r="I9535" s="1010"/>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1003" t="s">
        <v>7440</v>
      </c>
      <c r="C9538" s="1003"/>
      <c r="D9538" s="1003"/>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1003" t="s">
        <v>7048</v>
      </c>
      <c r="C9544" s="1003"/>
      <c r="D9544" s="1003"/>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1003" t="s">
        <v>4106</v>
      </c>
      <c r="C9556" s="1003"/>
      <c r="D9556" s="1003"/>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1003" t="s">
        <v>4106</v>
      </c>
      <c r="C9566" s="1003"/>
      <c r="D9566" s="1003"/>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1003" t="s">
        <v>7048</v>
      </c>
      <c r="C9579" s="1003"/>
      <c r="D9579" s="1003"/>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1003" t="s">
        <v>7617</v>
      </c>
      <c r="C9587" s="1003"/>
      <c r="D9587" s="1003"/>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1003" t="s">
        <v>7048</v>
      </c>
      <c r="C9591" s="1003"/>
      <c r="D9591" s="1003"/>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1003" t="s">
        <v>7440</v>
      </c>
      <c r="C9598" s="1003"/>
      <c r="D9598" s="1003"/>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1003" t="s">
        <v>7440</v>
      </c>
      <c r="C9606" s="1003"/>
      <c r="D9606" s="1003"/>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1003" t="s">
        <v>7650</v>
      </c>
      <c r="C9609" s="1003"/>
      <c r="D9609" s="1003"/>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1003" t="s">
        <v>861</v>
      </c>
      <c r="C9620" s="1003"/>
      <c r="D9620" s="1003"/>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1003" t="s">
        <v>7440</v>
      </c>
      <c r="C9657" s="1003"/>
      <c r="D9657" s="1003"/>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1003" t="s">
        <v>7440</v>
      </c>
      <c r="C9670" s="1003"/>
      <c r="D9670" s="1003"/>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1003" t="s">
        <v>7440</v>
      </c>
      <c r="C9680" s="1003"/>
      <c r="D9680" s="1003"/>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1003" t="s">
        <v>7440</v>
      </c>
      <c r="C9690" s="1003"/>
      <c r="D9690" s="1003"/>
      <c r="E9690" s="43">
        <v>10100</v>
      </c>
      <c r="F9690" s="48">
        <f t="shared" si="159"/>
        <v>33807</v>
      </c>
      <c r="J9690" s="52">
        <v>45249</v>
      </c>
      <c r="L9690" s="93"/>
    </row>
    <row r="9691" spans="1:12" x14ac:dyDescent="0.3">
      <c r="A9691" s="45">
        <v>44385</v>
      </c>
      <c r="B9691" s="1003" t="s">
        <v>7440</v>
      </c>
      <c r="C9691" s="1003"/>
      <c r="D9691" s="1003"/>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1003" t="s">
        <v>7734</v>
      </c>
      <c r="C9709" s="1003"/>
      <c r="D9709" s="1003"/>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1003" t="s">
        <v>4106</v>
      </c>
      <c r="C9713" s="1003"/>
      <c r="D9713" s="1003"/>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1003" t="s">
        <v>7440</v>
      </c>
      <c r="C9725" s="1003"/>
      <c r="D9725" s="1003"/>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1003" t="s">
        <v>7793</v>
      </c>
      <c r="C9756" s="1003"/>
      <c r="D9756" s="1003"/>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1003" t="s">
        <v>4106</v>
      </c>
      <c r="C9778" s="1003"/>
      <c r="D9778" s="1003"/>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1003" t="s">
        <v>4106</v>
      </c>
      <c r="C9792" s="1003"/>
      <c r="D9792" s="1003"/>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1003" t="s">
        <v>7440</v>
      </c>
      <c r="C9811" s="1003"/>
      <c r="D9811" s="1003"/>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1003" t="s">
        <v>7440</v>
      </c>
      <c r="C9834" s="1003"/>
      <c r="D9834" s="1003"/>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1003" t="s">
        <v>7440</v>
      </c>
      <c r="C9837" s="1003"/>
      <c r="D9837" s="1003"/>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1003" t="s">
        <v>4106</v>
      </c>
      <c r="C9841" s="1003"/>
      <c r="D9841" s="1003"/>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1003" t="s">
        <v>7877</v>
      </c>
      <c r="C9850" s="1003"/>
      <c r="D9850" s="1003"/>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1003" t="s">
        <v>4406</v>
      </c>
      <c r="C9855" s="1003"/>
      <c r="D9855" s="1003"/>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1003" t="s">
        <v>7734</v>
      </c>
      <c r="C9866" s="1003"/>
      <c r="D9866" s="1003"/>
      <c r="E9866" s="43">
        <v>46210</v>
      </c>
      <c r="F9866" s="48">
        <f t="shared" si="162"/>
        <v>157181.66129032261</v>
      </c>
      <c r="H9866" s="52">
        <f>SUM(H9862:H9862)</f>
        <v>0</v>
      </c>
      <c r="J9866" s="52">
        <v>45249</v>
      </c>
      <c r="L9866" s="93"/>
    </row>
    <row r="9867" spans="1:12" x14ac:dyDescent="0.3">
      <c r="A9867" s="45">
        <v>44418</v>
      </c>
      <c r="B9867" s="1003" t="s">
        <v>7891</v>
      </c>
      <c r="C9867" s="1003"/>
      <c r="D9867" s="1003"/>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1003" t="s">
        <v>7734</v>
      </c>
      <c r="C9874" s="1003"/>
      <c r="D9874" s="1003"/>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1003" t="s">
        <v>7891</v>
      </c>
      <c r="C9881" s="1003"/>
      <c r="D9881" s="1003"/>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1003" t="s">
        <v>7891</v>
      </c>
      <c r="C9896" s="1003"/>
      <c r="D9896" s="1003"/>
      <c r="E9896" s="43">
        <v>100000</v>
      </c>
      <c r="F9896" s="48">
        <f>F9895+E9896-D9896</f>
        <v>107262.66129032261</v>
      </c>
      <c r="I9896" s="52">
        <f>SUM(I9894:I9895)</f>
        <v>1160</v>
      </c>
      <c r="L9896" s="93"/>
    </row>
    <row r="9897" spans="1:12" x14ac:dyDescent="0.3">
      <c r="A9897" s="45">
        <v>44425</v>
      </c>
      <c r="B9897" s="1003" t="s">
        <v>7891</v>
      </c>
      <c r="C9897" s="1003"/>
      <c r="D9897" s="1003"/>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1003" t="s">
        <v>7891</v>
      </c>
      <c r="C9904" s="1003"/>
      <c r="D9904" s="1003"/>
      <c r="E9904" s="43">
        <v>100000</v>
      </c>
      <c r="F9904" s="48">
        <f t="shared" si="163"/>
        <v>116924.66129032261</v>
      </c>
      <c r="I9904" s="52">
        <f>SUM(I9902:I9903)</f>
        <v>0</v>
      </c>
      <c r="L9904" s="93"/>
    </row>
    <row r="9905" spans="1:12" x14ac:dyDescent="0.3">
      <c r="A9905" s="45">
        <v>44428</v>
      </c>
      <c r="B9905" s="1003" t="s">
        <v>7891</v>
      </c>
      <c r="C9905" s="1003"/>
      <c r="D9905" s="1003"/>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1003" t="s">
        <v>7891</v>
      </c>
      <c r="C9916" s="1003"/>
      <c r="D9916" s="1003"/>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1003" t="s">
        <v>7951</v>
      </c>
      <c r="C9940" s="1003"/>
      <c r="D9940" s="1003"/>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1003" t="s">
        <v>7953</v>
      </c>
      <c r="C9942" s="1003"/>
      <c r="D9942" s="1003"/>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1003" t="s">
        <v>4106</v>
      </c>
      <c r="C9944" s="1003"/>
      <c r="D9944" s="1003"/>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1003" t="s">
        <v>5431</v>
      </c>
      <c r="C9952" s="1003"/>
      <c r="D9952" s="1003"/>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1003" t="s">
        <v>7977</v>
      </c>
      <c r="C9973" s="1003"/>
      <c r="D9973" s="1003"/>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1003" t="s">
        <v>861</v>
      </c>
      <c r="C9984" s="1003"/>
      <c r="D9984" s="1003"/>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1003" t="s">
        <v>4329</v>
      </c>
      <c r="C9999" s="1003"/>
      <c r="D9999" s="1003"/>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1003" t="s">
        <v>8034</v>
      </c>
      <c r="C10015" s="1003"/>
      <c r="D10015" s="1003"/>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1003" t="s">
        <v>8035</v>
      </c>
      <c r="C10017" s="1003"/>
      <c r="D10017" s="1003"/>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1003" t="s">
        <v>4415</v>
      </c>
      <c r="C10024" s="1003"/>
      <c r="D10024" s="1003"/>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1003" t="s">
        <v>8049</v>
      </c>
      <c r="C10029" s="1003"/>
      <c r="D10029" s="1003"/>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1003" t="s">
        <v>861</v>
      </c>
      <c r="C10037" s="1003"/>
      <c r="D10037" s="1003"/>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1003" t="s">
        <v>4415</v>
      </c>
      <c r="C10049" s="1003"/>
      <c r="D10049" s="1003"/>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1003" t="s">
        <v>4106</v>
      </c>
      <c r="C10061" s="1003"/>
      <c r="D10061" s="1003"/>
      <c r="E10061" s="43">
        <v>100000</v>
      </c>
      <c r="F10061" s="48">
        <f t="shared" si="166"/>
        <v>111049.66129032266</v>
      </c>
      <c r="L10061" s="93"/>
    </row>
    <row r="10062" spans="1:12" x14ac:dyDescent="0.3">
      <c r="A10062" s="45">
        <v>44473</v>
      </c>
      <c r="B10062" s="1003" t="s">
        <v>4106</v>
      </c>
      <c r="C10062" s="1003"/>
      <c r="D10062" s="1003"/>
      <c r="E10062" s="43">
        <v>100000</v>
      </c>
      <c r="F10062" s="48">
        <f t="shared" si="166"/>
        <v>211049.66129032266</v>
      </c>
      <c r="L10062" s="93"/>
    </row>
    <row r="10063" spans="1:12" x14ac:dyDescent="0.3">
      <c r="A10063" s="45">
        <v>44473</v>
      </c>
      <c r="B10063" s="1003" t="s">
        <v>4106</v>
      </c>
      <c r="C10063" s="1003"/>
      <c r="D10063" s="1003"/>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1003" t="s">
        <v>8072</v>
      </c>
      <c r="C10066" s="1003"/>
      <c r="D10066" s="1003"/>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1003" t="s">
        <v>4106</v>
      </c>
      <c r="C10085" s="1003"/>
      <c r="D10085" s="1003"/>
      <c r="E10085" s="43">
        <v>150000</v>
      </c>
      <c r="F10085" s="48">
        <f t="shared" ref="F10085:F10148" si="167">F10084+E10085-D10085</f>
        <v>156347.66129032266</v>
      </c>
      <c r="L10085" s="93"/>
    </row>
    <row r="10086" spans="1:12" x14ac:dyDescent="0.3">
      <c r="A10086" s="45">
        <v>44474</v>
      </c>
      <c r="B10086" s="1003" t="s">
        <v>4415</v>
      </c>
      <c r="C10086" s="1003"/>
      <c r="D10086" s="1003"/>
      <c r="E10086" s="43">
        <v>350000</v>
      </c>
      <c r="F10086" s="48">
        <f t="shared" si="167"/>
        <v>506347.66129032266</v>
      </c>
      <c r="L10086" s="93"/>
    </row>
    <row r="10087" spans="1:12" x14ac:dyDescent="0.3">
      <c r="A10087" s="45">
        <v>44474</v>
      </c>
      <c r="B10087" s="1003" t="s">
        <v>4415</v>
      </c>
      <c r="C10087" s="1003"/>
      <c r="D10087" s="1003"/>
      <c r="E10087" s="43">
        <v>300000</v>
      </c>
      <c r="F10087" s="48">
        <f t="shared" si="167"/>
        <v>806347.66129032266</v>
      </c>
      <c r="L10087" s="93"/>
    </row>
    <row r="10088" spans="1:12" x14ac:dyDescent="0.3">
      <c r="A10088" s="45">
        <v>44474</v>
      </c>
      <c r="B10088" s="1003" t="s">
        <v>4415</v>
      </c>
      <c r="C10088" s="1003"/>
      <c r="D10088" s="1003"/>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1003" t="s">
        <v>8093</v>
      </c>
      <c r="C10100" s="1003"/>
      <c r="D10100" s="1003"/>
      <c r="E10100" s="43">
        <v>62000</v>
      </c>
      <c r="F10100" s="48">
        <f t="shared" si="167"/>
        <v>93572.661290322663</v>
      </c>
    </row>
    <row r="10101" spans="1:6" x14ac:dyDescent="0.3">
      <c r="A10101" s="45">
        <v>44474</v>
      </c>
      <c r="B10101" s="1003" t="s">
        <v>8094</v>
      </c>
      <c r="C10101" s="1003"/>
      <c r="D10101" s="1003"/>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1003" t="s">
        <v>4415</v>
      </c>
      <c r="C10114" s="1003"/>
      <c r="D10114" s="1003"/>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1003" t="s">
        <v>8112</v>
      </c>
      <c r="C10121" s="1003"/>
      <c r="D10121" s="1003"/>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1003" t="s">
        <v>4106</v>
      </c>
      <c r="C10127" s="1003"/>
      <c r="D10127" s="1003"/>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1003" t="s">
        <v>4106</v>
      </c>
      <c r="C10135" s="1003"/>
      <c r="D10135" s="1003"/>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1003" t="s">
        <v>8134</v>
      </c>
      <c r="C10150" s="1003"/>
      <c r="D10150" s="1003"/>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1003" t="s">
        <v>8034</v>
      </c>
      <c r="C10161" s="1003"/>
      <c r="D10161" s="1003"/>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1003" t="s">
        <v>3444</v>
      </c>
      <c r="C10169" s="1003"/>
      <c r="D10169" s="1003"/>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1003" t="s">
        <v>4106</v>
      </c>
      <c r="C10178" s="1003"/>
      <c r="D10178" s="1003"/>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1003" t="s">
        <v>4364</v>
      </c>
      <c r="C10186" s="1003"/>
      <c r="D10186" s="1003"/>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1003" t="s">
        <v>4364</v>
      </c>
      <c r="C10194" s="1003"/>
      <c r="D10194" s="1003"/>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1003" t="s">
        <v>4106</v>
      </c>
      <c r="C10201" s="1003"/>
      <c r="D10201" s="1003"/>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1003" t="s">
        <v>4106</v>
      </c>
      <c r="C10211" s="1003"/>
      <c r="D10211" s="1003"/>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1003" t="s">
        <v>7440</v>
      </c>
      <c r="C10237" s="1003"/>
      <c r="D10237" s="1003"/>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1003" t="s">
        <v>4106</v>
      </c>
      <c r="C10245" s="1003"/>
      <c r="D10245" s="1003"/>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1003" t="s">
        <v>3444</v>
      </c>
      <c r="C10247" s="1003"/>
      <c r="D10247" s="1003"/>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1003" t="s">
        <v>4106</v>
      </c>
      <c r="C10262" s="1003"/>
      <c r="D10262" s="1003"/>
      <c r="E10262" s="43">
        <v>250000</v>
      </c>
      <c r="F10262" s="48">
        <f t="shared" si="169"/>
        <v>250502.66129032266</v>
      </c>
      <c r="I10262" s="52">
        <v>24000</v>
      </c>
      <c r="L10262" s="93"/>
    </row>
    <row r="10263" spans="1:12" x14ac:dyDescent="0.3">
      <c r="A10263" s="45">
        <v>44508</v>
      </c>
      <c r="B10263" s="1003" t="s">
        <v>4106</v>
      </c>
      <c r="C10263" s="1003"/>
      <c r="D10263" s="1003"/>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1003" t="s">
        <v>7440</v>
      </c>
      <c r="C10275" s="1003"/>
      <c r="D10275" s="1003"/>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1003" t="s">
        <v>7440</v>
      </c>
      <c r="C10277" s="1003"/>
      <c r="D10277" s="1003"/>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1003" t="s">
        <v>7440</v>
      </c>
      <c r="C10287" s="1003"/>
      <c r="D10287" s="1003"/>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1003" t="s">
        <v>8272</v>
      </c>
      <c r="C10293" s="1003"/>
      <c r="D10293" s="1003"/>
      <c r="E10293" s="43">
        <v>4000</v>
      </c>
      <c r="F10293" s="48">
        <f t="shared" si="170"/>
        <v>121667.66129032266</v>
      </c>
      <c r="I10293" s="52">
        <v>24000</v>
      </c>
      <c r="L10293" s="93"/>
    </row>
    <row r="10294" spans="1:12" x14ac:dyDescent="0.3">
      <c r="A10294" s="45">
        <v>44513</v>
      </c>
      <c r="B10294" s="1003" t="s">
        <v>8260</v>
      </c>
      <c r="C10294" s="1003"/>
      <c r="D10294" s="1003"/>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1003" t="s">
        <v>7440</v>
      </c>
      <c r="C10307" s="1003"/>
      <c r="D10307" s="1003"/>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1003" t="s">
        <v>8290</v>
      </c>
      <c r="C10312" s="1003"/>
      <c r="D10312" s="1003"/>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1003" t="s">
        <v>7440</v>
      </c>
      <c r="C10317" s="1003"/>
      <c r="D10317" s="1003"/>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1003" t="s">
        <v>7440</v>
      </c>
      <c r="C10327" s="1003"/>
      <c r="D10327" s="1003"/>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1003" t="s">
        <v>7440</v>
      </c>
      <c r="C10339" s="1003"/>
      <c r="D10339" s="1003"/>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1003" t="s">
        <v>8290</v>
      </c>
      <c r="C10341" s="1003"/>
      <c r="D10341" s="1003"/>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1003" t="s">
        <v>4106</v>
      </c>
      <c r="C10344" s="1003"/>
      <c r="D10344" s="1003"/>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1003" t="s">
        <v>7440</v>
      </c>
      <c r="C10369" s="1003"/>
      <c r="D10369" s="1003"/>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1003" t="s">
        <v>4406</v>
      </c>
      <c r="C10378" s="1003"/>
      <c r="D10378" s="1003"/>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1003" t="s">
        <v>8290</v>
      </c>
      <c r="C10392" s="1003"/>
      <c r="D10392" s="1003"/>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1003" t="s">
        <v>7440</v>
      </c>
      <c r="C10404" s="1003"/>
      <c r="D10404" s="1003"/>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1003" t="s">
        <v>8626</v>
      </c>
      <c r="C10412" s="1003"/>
      <c r="D10412" s="1003"/>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1003" t="s">
        <v>4106</v>
      </c>
      <c r="C10416" s="1003"/>
      <c r="D10416" s="1003"/>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1003" t="s">
        <v>4106</v>
      </c>
      <c r="C10433" s="1003"/>
      <c r="D10433" s="1003"/>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1003" t="s">
        <v>7440</v>
      </c>
      <c r="C10443" s="1003"/>
      <c r="D10443" s="1003"/>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1003" t="s">
        <v>8290</v>
      </c>
      <c r="C10461" s="1003"/>
      <c r="D10461" s="1003"/>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1003" t="s">
        <v>4106</v>
      </c>
      <c r="C10467" s="1003"/>
      <c r="D10467" s="1003"/>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1003" t="s">
        <v>4106</v>
      </c>
      <c r="C10485" s="1003"/>
      <c r="D10485" s="1003"/>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1003" t="s">
        <v>4106</v>
      </c>
      <c r="C10515" s="1003"/>
      <c r="D10515" s="1003"/>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1003" t="s">
        <v>8290</v>
      </c>
      <c r="C10528" s="1003"/>
      <c r="D10528" s="1003"/>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1003" t="s">
        <v>4106</v>
      </c>
      <c r="C10540" s="1003"/>
      <c r="D10540" s="1003"/>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1003" t="s">
        <v>4106</v>
      </c>
      <c r="C10561" s="1003"/>
      <c r="D10561" s="1003"/>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1003" t="s">
        <v>4106</v>
      </c>
      <c r="C10586" s="1003"/>
      <c r="D10586" s="1003"/>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1003" t="s">
        <v>8801</v>
      </c>
      <c r="C10601" s="1003"/>
      <c r="D10601" s="1003"/>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1003" t="s">
        <v>7440</v>
      </c>
      <c r="C10609" s="1003"/>
      <c r="D10609" s="1003"/>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1003" t="s">
        <v>7440</v>
      </c>
      <c r="C10620" s="1003"/>
      <c r="D10620" s="1003"/>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1007" t="s">
        <v>4106</v>
      </c>
      <c r="C10637" s="1008"/>
      <c r="D10637" s="1009"/>
      <c r="E10637" s="249">
        <v>250000</v>
      </c>
      <c r="F10637" s="48">
        <f t="shared" si="175"/>
        <v>265979.66129032266</v>
      </c>
      <c r="I10637" s="52">
        <v>24000</v>
      </c>
      <c r="L10637" s="93"/>
    </row>
    <row r="10638" spans="1:12" x14ac:dyDescent="0.3">
      <c r="A10638" s="330">
        <v>44599</v>
      </c>
      <c r="B10638" s="1007" t="s">
        <v>4106</v>
      </c>
      <c r="C10638" s="1008"/>
      <c r="D10638" s="1009"/>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1007" t="s">
        <v>8837</v>
      </c>
      <c r="C10647" s="1008"/>
      <c r="D10647" s="1009"/>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1007" t="s">
        <v>8839</v>
      </c>
      <c r="C10650" s="1008"/>
      <c r="D10650" s="1009"/>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1007" t="s">
        <v>4106</v>
      </c>
      <c r="C10653" s="1008"/>
      <c r="D10653" s="1009"/>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1007" t="s">
        <v>7440</v>
      </c>
      <c r="C10664" s="1008"/>
      <c r="D10664" s="1009"/>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1007" t="s">
        <v>8856</v>
      </c>
      <c r="C10672" s="1008"/>
      <c r="D10672" s="1009"/>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1007" t="s">
        <v>8290</v>
      </c>
      <c r="C10677" s="1008"/>
      <c r="D10677" s="1009"/>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1007" t="s">
        <v>7440</v>
      </c>
      <c r="C10679" s="1008"/>
      <c r="D10679" s="1009"/>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1007" t="s">
        <v>8290</v>
      </c>
      <c r="C10684" s="1008"/>
      <c r="D10684" s="1009"/>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1007" t="s">
        <v>3444</v>
      </c>
      <c r="C10687" s="1008"/>
      <c r="D10687" s="1009"/>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1007" t="s">
        <v>8290</v>
      </c>
      <c r="C10703" s="1008"/>
      <c r="D10703" s="1009"/>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1007" t="s">
        <v>4106</v>
      </c>
      <c r="C10709" s="1008"/>
      <c r="D10709" s="1009"/>
      <c r="E10709" s="249">
        <v>300000</v>
      </c>
      <c r="F10709" s="48">
        <f t="shared" si="176"/>
        <v>301863.66129032266</v>
      </c>
      <c r="G10709" s="4"/>
    </row>
    <row r="10710" spans="1:8" x14ac:dyDescent="0.3">
      <c r="A10710" s="45">
        <v>44620</v>
      </c>
      <c r="B10710" s="1007" t="s">
        <v>4106</v>
      </c>
      <c r="C10710" s="1008"/>
      <c r="D10710" s="1009"/>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1004" t="s">
        <v>7440</v>
      </c>
      <c r="C10744" s="1005"/>
      <c r="D10744" s="1006"/>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1007" t="s">
        <v>4106</v>
      </c>
      <c r="C10754" s="1008"/>
      <c r="D10754" s="1009"/>
      <c r="E10754" s="43">
        <v>250000</v>
      </c>
      <c r="F10754" s="48">
        <f t="shared" si="177"/>
        <v>263832.66129032266</v>
      </c>
      <c r="G10754" s="4"/>
    </row>
    <row r="10755" spans="1:8" x14ac:dyDescent="0.3">
      <c r="A10755" s="45">
        <v>44628</v>
      </c>
      <c r="B10755" s="1007" t="s">
        <v>4106</v>
      </c>
      <c r="C10755" s="1008"/>
      <c r="D10755" s="1009"/>
      <c r="E10755" s="43">
        <v>250000</v>
      </c>
      <c r="F10755" s="48">
        <f t="shared" si="177"/>
        <v>513832.66129032266</v>
      </c>
      <c r="G10755" s="4"/>
    </row>
    <row r="10756" spans="1:8" x14ac:dyDescent="0.3">
      <c r="A10756" s="45">
        <v>44628</v>
      </c>
      <c r="B10756" s="1004" t="s">
        <v>7440</v>
      </c>
      <c r="C10756" s="1005"/>
      <c r="D10756" s="1006"/>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1004" t="s">
        <v>8938</v>
      </c>
      <c r="C10769" s="1005"/>
      <c r="D10769" s="1006"/>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1004" t="s">
        <v>8941</v>
      </c>
      <c r="C10771" s="1005"/>
      <c r="D10771" s="1006"/>
      <c r="E10771" s="335">
        <v>500</v>
      </c>
      <c r="F10771" s="48">
        <f t="shared" si="177"/>
        <v>28826.661290322663</v>
      </c>
      <c r="G10771" s="4"/>
    </row>
    <row r="10772" spans="1:8" x14ac:dyDescent="0.3">
      <c r="A10772" s="45">
        <v>44630</v>
      </c>
      <c r="B10772" s="1007" t="s">
        <v>4106</v>
      </c>
      <c r="C10772" s="1008"/>
      <c r="D10772" s="1009"/>
      <c r="E10772" s="43">
        <v>250000</v>
      </c>
      <c r="F10772" s="48">
        <f t="shared" si="177"/>
        <v>278826.66129032266</v>
      </c>
      <c r="G10772" s="4"/>
    </row>
    <row r="10773" spans="1:8" x14ac:dyDescent="0.3">
      <c r="A10773" s="45">
        <v>44630</v>
      </c>
      <c r="B10773" s="1007" t="s">
        <v>4106</v>
      </c>
      <c r="C10773" s="1008"/>
      <c r="D10773" s="1009"/>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1004" t="s">
        <v>8974</v>
      </c>
      <c r="C10794" s="1005"/>
      <c r="D10794" s="1006"/>
      <c r="E10794" s="335">
        <v>10000</v>
      </c>
      <c r="F10794" s="48">
        <f t="shared" si="178"/>
        <v>10247.661290322663</v>
      </c>
      <c r="G10794" s="4"/>
    </row>
    <row r="10795" spans="1:9" x14ac:dyDescent="0.3">
      <c r="A10795" s="45">
        <v>44638</v>
      </c>
      <c r="B10795" s="1004" t="s">
        <v>8974</v>
      </c>
      <c r="C10795" s="1005"/>
      <c r="D10795" s="1006"/>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1004" t="s">
        <v>7440</v>
      </c>
      <c r="C10806" s="1005"/>
      <c r="D10806" s="1006"/>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1004" t="s">
        <v>7440</v>
      </c>
      <c r="C10811" s="1005"/>
      <c r="D10811" s="1006"/>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1003" t="s">
        <v>8974</v>
      </c>
      <c r="C10821" s="1003"/>
      <c r="D10821" s="1003"/>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1003" t="s">
        <v>7440</v>
      </c>
      <c r="C10825" s="1003"/>
      <c r="D10825" s="1003"/>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1003" t="s">
        <v>7440</v>
      </c>
      <c r="C10835" s="1003"/>
      <c r="D10835" s="1003"/>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1003" t="s">
        <v>7440</v>
      </c>
      <c r="C10847" s="1003"/>
      <c r="D10847" s="1003"/>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1003" t="s">
        <v>4106</v>
      </c>
      <c r="C10861" s="1003"/>
      <c r="D10861" s="1003"/>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1003" t="s">
        <v>7440</v>
      </c>
      <c r="C10875" s="1003"/>
      <c r="D10875" s="1003"/>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1003" t="s">
        <v>7440</v>
      </c>
      <c r="C10880" s="1003"/>
      <c r="D10880" s="1003"/>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1003" t="s">
        <v>7440</v>
      </c>
      <c r="C10888" s="1003"/>
      <c r="D10888" s="1003"/>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10</vt:i4>
      </vt:variant>
    </vt:vector>
  </HeadingPairs>
  <TitlesOfParts>
    <vt:vector size="27" baseType="lpstr">
      <vt:lpstr>RA</vt:lpstr>
      <vt:lpstr>staff</vt:lpstr>
      <vt:lpstr>Cash</vt:lpstr>
      <vt:lpstr>Nadeem bhai</vt:lpstr>
      <vt:lpstr>Bilal bhai</vt:lpstr>
      <vt:lpstr>cb</vt:lpstr>
      <vt:lpstr>Rehan</vt:lpstr>
      <vt:lpstr>Charity</vt:lpstr>
      <vt:lpstr>Fuel</vt:lpstr>
      <vt:lpstr>Mohsin t</vt:lpstr>
      <vt:lpstr>Attnd</vt:lpstr>
      <vt:lpstr>DIB</vt:lpstr>
      <vt:lpstr>MCB</vt:lpstr>
      <vt:lpstr>Meezan</vt:lpstr>
      <vt:lpstr>BAHL</vt:lpstr>
      <vt:lpstr>PES MCB</vt:lpstr>
      <vt:lpstr>Petty cash (old)</vt:lpstr>
      <vt:lpstr>Attnd!Print_Area</vt:lpstr>
      <vt:lpstr>'Bilal bhai'!Print_Area</vt:lpstr>
      <vt:lpstr>Cash!Print_Area</vt:lpstr>
      <vt:lpstr>'Nadeem bhai'!Print_Area</vt:lpstr>
      <vt:lpstr>'Petty cash (old)'!Print_Area</vt:lpstr>
      <vt:lpstr>RA!Print_Area</vt:lpstr>
      <vt:lpstr>Rehan!Print_Area</vt:lpstr>
      <vt:lpstr>Cash!Print_Titles</vt:lpstr>
      <vt:lpstr>'Petty cash (old)'!Print_Titles</vt:lpstr>
      <vt:lpstr>Rehan!Print_Titles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2025-05-20T11:21:46Z</cp:lastPrinted>
  <dcterms:created xsi:type="dcterms:W3CDTF">2016-01-07T05:07:25Z</dcterms:created>
  <dcterms:modified xsi:type="dcterms:W3CDTF">2025-05-27T14:07:56Z</dcterms:modified>
  <cp:contentStatus/>
</cp:coreProperties>
</file>