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0" windowHeight="11160"/>
  </bookViews>
  <sheets>
    <sheet name="Information" sheetId="11" r:id="rId1"/>
    <sheet name="Assumption" sheetId="1" r:id="rId2"/>
    <sheet name="COGS" sheetId="9" r:id="rId3"/>
    <sheet name="Sales" sheetId="10" r:id="rId4"/>
    <sheet name="Regression" sheetId="6" r:id="rId5"/>
    <sheet name="Profit and Loss" sheetId="2" r:id="rId6"/>
    <sheet name="Statement of Financial Position" sheetId="3" r:id="rId7"/>
    <sheet name="Statement of cash flow" sheetId="4" r:id="rId8"/>
    <sheet name="Valuation" sheetId="5" r:id="rId9"/>
    <sheet name="Share price" sheetId="7" r:id="rId10"/>
    <sheet name="Ratios" sheetId="8" r:id="rId11"/>
  </sheets>
  <calcPr calcId="125725" iterate="1" iterateCount="1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9"/>
  <c r="H19"/>
  <c r="I19" s="1"/>
  <c r="H17"/>
  <c r="H52"/>
  <c r="I52" s="1"/>
  <c r="H49"/>
  <c r="I49" s="1"/>
  <c r="H57"/>
  <c r="I57" s="1"/>
  <c r="H54"/>
  <c r="I54" s="1"/>
  <c r="L55"/>
  <c r="K55"/>
  <c r="J55"/>
  <c r="I55"/>
  <c r="H55"/>
  <c r="M6" i="10"/>
  <c r="O3" i="1" s="1"/>
  <c r="I43" i="9"/>
  <c r="H43"/>
  <c r="H35"/>
  <c r="I35" s="1"/>
  <c r="H34"/>
  <c r="I34" s="1"/>
  <c r="H60"/>
  <c r="I60" s="1"/>
  <c r="I15"/>
  <c r="H15"/>
  <c r="H14"/>
  <c r="I10"/>
  <c r="H10"/>
  <c r="L5"/>
  <c r="K5"/>
  <c r="J5"/>
  <c r="I5"/>
  <c r="H5"/>
  <c r="G115"/>
  <c r="H115" s="1"/>
  <c r="I115" s="1"/>
  <c r="J115" s="1"/>
  <c r="K115" s="1"/>
  <c r="K119"/>
  <c r="H119"/>
  <c r="G119"/>
  <c r="B136"/>
  <c r="B135"/>
  <c r="J119" s="1"/>
  <c r="B134"/>
  <c r="I119" s="1"/>
  <c r="B133"/>
  <c r="B132"/>
  <c r="A128"/>
  <c r="A129" s="1"/>
  <c r="A130" s="1"/>
  <c r="A131" s="1"/>
  <c r="A132" s="1"/>
  <c r="A133" s="1"/>
  <c r="A134" s="1"/>
  <c r="A135" s="1"/>
  <c r="A136" s="1"/>
  <c r="C123"/>
  <c r="D122"/>
  <c r="C122"/>
  <c r="E121"/>
  <c r="D121"/>
  <c r="C121"/>
  <c r="F119"/>
  <c r="F121" s="1"/>
  <c r="E119"/>
  <c r="E122" s="1"/>
  <c r="D119"/>
  <c r="D123" s="1"/>
  <c r="C119"/>
  <c r="B119"/>
  <c r="B121" s="1"/>
  <c r="G121" s="1"/>
  <c r="E115"/>
  <c r="F115" s="1"/>
  <c r="D115"/>
  <c r="C115"/>
  <c r="L21"/>
  <c r="H21"/>
  <c r="D106"/>
  <c r="D105"/>
  <c r="K21" s="1"/>
  <c r="D104"/>
  <c r="J21" s="1"/>
  <c r="D103"/>
  <c r="I21" s="1"/>
  <c r="D102"/>
  <c r="B98"/>
  <c r="B99" s="1"/>
  <c r="B100" s="1"/>
  <c r="B101" s="1"/>
  <c r="B102" s="1"/>
  <c r="B103" s="1"/>
  <c r="B104" s="1"/>
  <c r="B105" s="1"/>
  <c r="B106" s="1"/>
  <c r="H13"/>
  <c r="I13" s="1"/>
  <c r="H12"/>
  <c r="I12" s="1"/>
  <c r="H11"/>
  <c r="I11" s="1"/>
  <c r="D86"/>
  <c r="L74" s="1"/>
  <c r="L3" s="1"/>
  <c r="D85"/>
  <c r="K74" s="1"/>
  <c r="K3" s="1"/>
  <c r="D84"/>
  <c r="J74" s="1"/>
  <c r="J3" s="1"/>
  <c r="D83"/>
  <c r="I74" s="1"/>
  <c r="I3" s="1"/>
  <c r="D82"/>
  <c r="H74" s="1"/>
  <c r="H3" s="1"/>
  <c r="H121" l="1"/>
  <c r="I121" s="1"/>
  <c r="I116" s="1"/>
  <c r="J4" s="1"/>
  <c r="G116"/>
  <c r="H4" s="1"/>
  <c r="B122"/>
  <c r="H116"/>
  <c r="I4" s="1"/>
  <c r="B123"/>
  <c r="F123"/>
  <c r="F122"/>
  <c r="E123"/>
  <c r="J17"/>
  <c r="J19"/>
  <c r="K19" s="1"/>
  <c r="L19" s="1"/>
  <c r="K52"/>
  <c r="J52"/>
  <c r="J49"/>
  <c r="K57"/>
  <c r="J57"/>
  <c r="J54"/>
  <c r="J43"/>
  <c r="J35"/>
  <c r="K35" s="1"/>
  <c r="J34"/>
  <c r="K60"/>
  <c r="J60"/>
  <c r="I14"/>
  <c r="J15"/>
  <c r="K10"/>
  <c r="J10"/>
  <c r="J11"/>
  <c r="K11" s="1"/>
  <c r="L11" s="1"/>
  <c r="J12"/>
  <c r="J13"/>
  <c r="B78"/>
  <c r="B79" s="1"/>
  <c r="B80" s="1"/>
  <c r="B81" s="1"/>
  <c r="B82" s="1"/>
  <c r="B83" s="1"/>
  <c r="B84" s="1"/>
  <c r="B85" s="1"/>
  <c r="B86" s="1"/>
  <c r="G73"/>
  <c r="F73"/>
  <c r="E73"/>
  <c r="D73"/>
  <c r="C73"/>
  <c r="L51"/>
  <c r="K51"/>
  <c r="J51"/>
  <c r="I51"/>
  <c r="H51"/>
  <c r="L31"/>
  <c r="K31"/>
  <c r="J31"/>
  <c r="I31"/>
  <c r="H31"/>
  <c r="H9"/>
  <c r="L9"/>
  <c r="K9"/>
  <c r="J9"/>
  <c r="I9"/>
  <c r="H72"/>
  <c r="I72" s="1"/>
  <c r="H71"/>
  <c r="H73" s="1"/>
  <c r="H67"/>
  <c r="I67" s="1"/>
  <c r="H66"/>
  <c r="I66" s="1"/>
  <c r="H123" l="1"/>
  <c r="H118" s="1"/>
  <c r="I47" s="1"/>
  <c r="I61" s="1"/>
  <c r="K8" i="1" s="1"/>
  <c r="L10" i="9"/>
  <c r="L57"/>
  <c r="L52"/>
  <c r="L60"/>
  <c r="H61"/>
  <c r="J8" i="1" s="1"/>
  <c r="K49" i="9"/>
  <c r="L49" s="1"/>
  <c r="G123"/>
  <c r="G118" s="1"/>
  <c r="H47" s="1"/>
  <c r="G122"/>
  <c r="L35"/>
  <c r="K17"/>
  <c r="L17" s="1"/>
  <c r="K54"/>
  <c r="L43"/>
  <c r="K43"/>
  <c r="K34"/>
  <c r="J14"/>
  <c r="K15"/>
  <c r="L15" s="1"/>
  <c r="J121"/>
  <c r="J116" s="1"/>
  <c r="K4" s="1"/>
  <c r="I71"/>
  <c r="I73" s="1"/>
  <c r="K13"/>
  <c r="L13" s="1"/>
  <c r="K12"/>
  <c r="L12" s="1"/>
  <c r="J66"/>
  <c r="K66" s="1"/>
  <c r="J67"/>
  <c r="J72"/>
  <c r="I8" i="10"/>
  <c r="H8"/>
  <c r="J123" i="9" l="1"/>
  <c r="G117"/>
  <c r="H26" s="1"/>
  <c r="H122"/>
  <c r="L54"/>
  <c r="I123"/>
  <c r="I118" s="1"/>
  <c r="J47" s="1"/>
  <c r="J61" s="1"/>
  <c r="L8" i="1" s="1"/>
  <c r="K121" i="9"/>
  <c r="K116" s="1"/>
  <c r="L4" s="1"/>
  <c r="L34"/>
  <c r="K14"/>
  <c r="L14" s="1"/>
  <c r="J71"/>
  <c r="J73" s="1"/>
  <c r="K72"/>
  <c r="L72" s="1"/>
  <c r="K67"/>
  <c r="L67" s="1"/>
  <c r="L66"/>
  <c r="J8" i="10"/>
  <c r="G27"/>
  <c r="A27"/>
  <c r="F22"/>
  <c r="E22"/>
  <c r="D22"/>
  <c r="K123" i="9" l="1"/>
  <c r="K118" s="1"/>
  <c r="L47" s="1"/>
  <c r="L61" s="1"/>
  <c r="N8" i="1" s="1"/>
  <c r="J118" i="9"/>
  <c r="K47" s="1"/>
  <c r="K61" s="1"/>
  <c r="M8" i="1" s="1"/>
  <c r="H117" i="9"/>
  <c r="I26" s="1"/>
  <c r="I122"/>
  <c r="I117" s="1"/>
  <c r="J26" s="1"/>
  <c r="K71"/>
  <c r="K73" s="1"/>
  <c r="K8" i="10"/>
  <c r="L8" s="1"/>
  <c r="C22"/>
  <c r="B22"/>
  <c r="D23"/>
  <c r="F23"/>
  <c r="D24"/>
  <c r="D25" s="1"/>
  <c r="D26" s="1"/>
  <c r="F24"/>
  <c r="F25" s="1"/>
  <c r="F26" s="1"/>
  <c r="E23"/>
  <c r="E24" s="1"/>
  <c r="E25" s="1"/>
  <c r="K122" i="9" l="1"/>
  <c r="K117" s="1"/>
  <c r="L26" s="1"/>
  <c r="L71"/>
  <c r="L73" s="1"/>
  <c r="J122"/>
  <c r="J117" s="1"/>
  <c r="K26" s="1"/>
  <c r="F27" i="10"/>
  <c r="C25"/>
  <c r="B25"/>
  <c r="C24"/>
  <c r="B24"/>
  <c r="C23"/>
  <c r="B23"/>
  <c r="E26"/>
  <c r="B26" s="1"/>
  <c r="D27"/>
  <c r="C26" l="1"/>
  <c r="E27"/>
  <c r="B27" s="1"/>
  <c r="C27" l="1"/>
  <c r="L6" l="1"/>
  <c r="K6"/>
  <c r="J6"/>
  <c r="I6"/>
  <c r="H6"/>
  <c r="G6"/>
  <c r="G12" s="1"/>
  <c r="F6"/>
  <c r="F12" s="1"/>
  <c r="E6"/>
  <c r="E12" s="1"/>
  <c r="D6"/>
  <c r="D12" s="1"/>
  <c r="C6"/>
  <c r="F44" i="9"/>
  <c r="E44"/>
  <c r="G20"/>
  <c r="G22" s="1"/>
  <c r="I4" i="1" s="1"/>
  <c r="F20" i="9"/>
  <c r="E20"/>
  <c r="E22" s="1"/>
  <c r="G4" i="1" s="1"/>
  <c r="F22" i="9"/>
  <c r="H4" i="1" s="1"/>
  <c r="G16" i="9"/>
  <c r="G18" s="1"/>
  <c r="F16"/>
  <c r="F18" s="1"/>
  <c r="E16"/>
  <c r="E18" s="1"/>
  <c r="D16"/>
  <c r="D18" s="1"/>
  <c r="D20" s="1"/>
  <c r="D22" s="1"/>
  <c r="F4" i="1" s="1"/>
  <c r="C16" i="9"/>
  <c r="G61"/>
  <c r="F61"/>
  <c r="D61"/>
  <c r="C61"/>
  <c r="E61"/>
  <c r="G44"/>
  <c r="D44"/>
  <c r="C44"/>
  <c r="D3" i="10"/>
  <c r="E3" s="1"/>
  <c r="F3" s="1"/>
  <c r="G3" s="1"/>
  <c r="H3" s="1"/>
  <c r="I3" s="1"/>
  <c r="J3" s="1"/>
  <c r="K3" s="1"/>
  <c r="L3" s="1"/>
  <c r="D2" i="9"/>
  <c r="E2" s="1"/>
  <c r="F2" s="1"/>
  <c r="G2" s="1"/>
  <c r="H2" s="1"/>
  <c r="I2" s="1"/>
  <c r="J2" s="1"/>
  <c r="K2" s="1"/>
  <c r="L2" s="1"/>
  <c r="N3" i="1" l="1"/>
  <c r="C20" i="9"/>
  <c r="C22" s="1"/>
  <c r="E4" i="1" s="1"/>
  <c r="C7" i="2" s="1"/>
  <c r="C18" i="9"/>
  <c r="M3" i="1"/>
  <c r="L3"/>
  <c r="J3"/>
  <c r="C12" i="10"/>
  <c r="B10"/>
  <c r="L10" s="1"/>
  <c r="L12" s="1"/>
  <c r="B11"/>
  <c r="L11" s="1"/>
  <c r="I10"/>
  <c r="K3" i="1"/>
  <c r="D2" i="8"/>
  <c r="E2" s="1"/>
  <c r="F2" s="1"/>
  <c r="G2" s="1"/>
  <c r="H2" s="1"/>
  <c r="I2" s="1"/>
  <c r="J2" s="1"/>
  <c r="K2" s="1"/>
  <c r="L2" s="1"/>
  <c r="J15" i="1"/>
  <c r="K15" s="1"/>
  <c r="I18" i="2" s="1"/>
  <c r="J75" i="1"/>
  <c r="J74"/>
  <c r="K74" s="1"/>
  <c r="I52" i="3" s="1"/>
  <c r="J73" i="1"/>
  <c r="J52"/>
  <c r="K52" s="1"/>
  <c r="I30" i="3" s="1"/>
  <c r="J50" i="1"/>
  <c r="K50" s="1"/>
  <c r="J49"/>
  <c r="K48"/>
  <c r="I26" i="3" s="1"/>
  <c r="J48" i="1"/>
  <c r="J55"/>
  <c r="K55" s="1"/>
  <c r="I33" i="3" s="1"/>
  <c r="J54" i="1"/>
  <c r="H32" i="3" s="1"/>
  <c r="J43" i="1"/>
  <c r="K43" s="1"/>
  <c r="I21" i="3" s="1"/>
  <c r="J42" i="1"/>
  <c r="K42" s="1"/>
  <c r="I20" i="3" s="1"/>
  <c r="J41" i="1"/>
  <c r="K41" s="1"/>
  <c r="I19" i="3" s="1"/>
  <c r="J40" i="1"/>
  <c r="J47" s="1"/>
  <c r="H25" i="3" s="1"/>
  <c r="J119" i="1"/>
  <c r="K119" s="1"/>
  <c r="K121" s="1"/>
  <c r="K106" s="1"/>
  <c r="G32" i="4"/>
  <c r="F32"/>
  <c r="E32"/>
  <c r="D32"/>
  <c r="C32"/>
  <c r="G31"/>
  <c r="F31"/>
  <c r="E31"/>
  <c r="D31"/>
  <c r="C31"/>
  <c r="G28"/>
  <c r="F28"/>
  <c r="E28"/>
  <c r="D28"/>
  <c r="C28"/>
  <c r="G27"/>
  <c r="F27"/>
  <c r="E27"/>
  <c r="D27"/>
  <c r="C27"/>
  <c r="G26"/>
  <c r="F26"/>
  <c r="E26"/>
  <c r="D26"/>
  <c r="C26"/>
  <c r="G25"/>
  <c r="F25"/>
  <c r="E25"/>
  <c r="D25"/>
  <c r="C25"/>
  <c r="G24"/>
  <c r="F24"/>
  <c r="E24"/>
  <c r="D24"/>
  <c r="C24"/>
  <c r="L20"/>
  <c r="I20"/>
  <c r="H20"/>
  <c r="G20"/>
  <c r="F20"/>
  <c r="E20"/>
  <c r="D20"/>
  <c r="C20"/>
  <c r="K19"/>
  <c r="J19"/>
  <c r="G19"/>
  <c r="F19"/>
  <c r="E19"/>
  <c r="D19"/>
  <c r="C19"/>
  <c r="G15"/>
  <c r="F15"/>
  <c r="E15"/>
  <c r="D15"/>
  <c r="C15"/>
  <c r="G14"/>
  <c r="F14"/>
  <c r="E14"/>
  <c r="D14"/>
  <c r="C14"/>
  <c r="I13"/>
  <c r="G13"/>
  <c r="F13"/>
  <c r="E13"/>
  <c r="D13"/>
  <c r="C13"/>
  <c r="G12"/>
  <c r="F12"/>
  <c r="E12"/>
  <c r="D12"/>
  <c r="C12"/>
  <c r="L11"/>
  <c r="K11"/>
  <c r="J11"/>
  <c r="I11"/>
  <c r="H11"/>
  <c r="G11"/>
  <c r="F11"/>
  <c r="E11"/>
  <c r="D11"/>
  <c r="C11"/>
  <c r="L10"/>
  <c r="K10"/>
  <c r="J10"/>
  <c r="I10"/>
  <c r="H10"/>
  <c r="G10"/>
  <c r="F10"/>
  <c r="E10"/>
  <c r="D10"/>
  <c r="C10"/>
  <c r="G9"/>
  <c r="F9"/>
  <c r="E9"/>
  <c r="D9"/>
  <c r="C9"/>
  <c r="G8"/>
  <c r="F8"/>
  <c r="E8"/>
  <c r="D8"/>
  <c r="C8"/>
  <c r="K7"/>
  <c r="G7"/>
  <c r="F7"/>
  <c r="E7"/>
  <c r="D7"/>
  <c r="C7"/>
  <c r="G6"/>
  <c r="F6"/>
  <c r="E6"/>
  <c r="D6"/>
  <c r="C6"/>
  <c r="D4"/>
  <c r="E4" s="1"/>
  <c r="F4" s="1"/>
  <c r="G4" s="1"/>
  <c r="H4" s="1"/>
  <c r="I4" s="1"/>
  <c r="J4" s="1"/>
  <c r="K4" s="1"/>
  <c r="L4" s="1"/>
  <c r="G54" i="3"/>
  <c r="F54"/>
  <c r="E54"/>
  <c r="D54"/>
  <c r="C54"/>
  <c r="H53"/>
  <c r="G53"/>
  <c r="F53"/>
  <c r="E53"/>
  <c r="D53"/>
  <c r="C53"/>
  <c r="G52"/>
  <c r="F52"/>
  <c r="E52"/>
  <c r="D52"/>
  <c r="C52"/>
  <c r="H51"/>
  <c r="G51"/>
  <c r="F51"/>
  <c r="E51"/>
  <c r="D51"/>
  <c r="C51"/>
  <c r="G50"/>
  <c r="F50"/>
  <c r="E50"/>
  <c r="D50"/>
  <c r="C50"/>
  <c r="G49"/>
  <c r="F49"/>
  <c r="E49"/>
  <c r="D49"/>
  <c r="C49"/>
  <c r="G48"/>
  <c r="F48"/>
  <c r="E48"/>
  <c r="D48"/>
  <c r="C48"/>
  <c r="L44"/>
  <c r="K44"/>
  <c r="J44"/>
  <c r="I44"/>
  <c r="H44"/>
  <c r="G44"/>
  <c r="F44"/>
  <c r="E44"/>
  <c r="D44"/>
  <c r="C44"/>
  <c r="H43"/>
  <c r="G43"/>
  <c r="F43"/>
  <c r="E43"/>
  <c r="D43"/>
  <c r="C43"/>
  <c r="L42"/>
  <c r="K42"/>
  <c r="J42"/>
  <c r="I42"/>
  <c r="H42"/>
  <c r="G42"/>
  <c r="F42"/>
  <c r="E42"/>
  <c r="D42"/>
  <c r="C42"/>
  <c r="K41"/>
  <c r="G41"/>
  <c r="F41"/>
  <c r="E41"/>
  <c r="D41"/>
  <c r="C41"/>
  <c r="L40"/>
  <c r="K40"/>
  <c r="J40"/>
  <c r="I40"/>
  <c r="H40"/>
  <c r="G40"/>
  <c r="F40"/>
  <c r="E40"/>
  <c r="D40"/>
  <c r="C40"/>
  <c r="H33"/>
  <c r="G33"/>
  <c r="F33"/>
  <c r="E33"/>
  <c r="D33"/>
  <c r="C33"/>
  <c r="G32"/>
  <c r="F32"/>
  <c r="E32"/>
  <c r="D32"/>
  <c r="C32"/>
  <c r="G31"/>
  <c r="F31"/>
  <c r="E31"/>
  <c r="D31"/>
  <c r="C31"/>
  <c r="G30"/>
  <c r="F30"/>
  <c r="E30"/>
  <c r="D30"/>
  <c r="C30"/>
  <c r="L29"/>
  <c r="K29"/>
  <c r="J29"/>
  <c r="I29"/>
  <c r="H29"/>
  <c r="G29"/>
  <c r="F29"/>
  <c r="E29"/>
  <c r="D29"/>
  <c r="C29"/>
  <c r="H28"/>
  <c r="G28"/>
  <c r="F28"/>
  <c r="E28"/>
  <c r="D28"/>
  <c r="C28"/>
  <c r="H27"/>
  <c r="G27"/>
  <c r="F27"/>
  <c r="E27"/>
  <c r="D27"/>
  <c r="C27"/>
  <c r="H26"/>
  <c r="G26"/>
  <c r="F26"/>
  <c r="E26"/>
  <c r="D26"/>
  <c r="C26"/>
  <c r="G25"/>
  <c r="F25"/>
  <c r="E25"/>
  <c r="D25"/>
  <c r="C25"/>
  <c r="G21"/>
  <c r="F21"/>
  <c r="E21"/>
  <c r="D21"/>
  <c r="C21"/>
  <c r="H20"/>
  <c r="G20"/>
  <c r="F20"/>
  <c r="E20"/>
  <c r="D20"/>
  <c r="C20"/>
  <c r="H19"/>
  <c r="G19"/>
  <c r="F19"/>
  <c r="E19"/>
  <c r="D19"/>
  <c r="C19"/>
  <c r="H18"/>
  <c r="G18"/>
  <c r="F18"/>
  <c r="E18"/>
  <c r="D18"/>
  <c r="C18"/>
  <c r="G15"/>
  <c r="F15"/>
  <c r="E15"/>
  <c r="D15"/>
  <c r="C15"/>
  <c r="L14"/>
  <c r="K14"/>
  <c r="J14"/>
  <c r="I14"/>
  <c r="H14"/>
  <c r="G14"/>
  <c r="F14"/>
  <c r="E14"/>
  <c r="D14"/>
  <c r="C14"/>
  <c r="L13"/>
  <c r="K13"/>
  <c r="J13"/>
  <c r="I13"/>
  <c r="H13"/>
  <c r="G13"/>
  <c r="F13"/>
  <c r="E13"/>
  <c r="D13"/>
  <c r="C13"/>
  <c r="L12"/>
  <c r="K12"/>
  <c r="J12"/>
  <c r="I12"/>
  <c r="H12"/>
  <c r="G12"/>
  <c r="F12"/>
  <c r="E12"/>
  <c r="D12"/>
  <c r="C12"/>
  <c r="L11"/>
  <c r="K11"/>
  <c r="J11"/>
  <c r="I11"/>
  <c r="H11"/>
  <c r="G11"/>
  <c r="F11"/>
  <c r="E11"/>
  <c r="D11"/>
  <c r="C11"/>
  <c r="L9"/>
  <c r="K9"/>
  <c r="J9"/>
  <c r="I9"/>
  <c r="H9"/>
  <c r="G9"/>
  <c r="F9"/>
  <c r="E9"/>
  <c r="D9"/>
  <c r="C9"/>
  <c r="D4"/>
  <c r="E4" s="1"/>
  <c r="F4" s="1"/>
  <c r="G4" s="1"/>
  <c r="H4" s="1"/>
  <c r="I4" s="1"/>
  <c r="J4" s="1"/>
  <c r="K4" s="1"/>
  <c r="L4" s="1"/>
  <c r="G25" i="2"/>
  <c r="F25"/>
  <c r="E25"/>
  <c r="D25"/>
  <c r="C25"/>
  <c r="G21"/>
  <c r="F21"/>
  <c r="E21"/>
  <c r="D21"/>
  <c r="C21"/>
  <c r="H18"/>
  <c r="G18"/>
  <c r="F18"/>
  <c r="E18"/>
  <c r="D18"/>
  <c r="C18"/>
  <c r="G15"/>
  <c r="F15"/>
  <c r="E15"/>
  <c r="D15"/>
  <c r="C15"/>
  <c r="G14"/>
  <c r="F14"/>
  <c r="E14"/>
  <c r="D14"/>
  <c r="C14"/>
  <c r="G11"/>
  <c r="F11"/>
  <c r="E11"/>
  <c r="D11"/>
  <c r="C11"/>
  <c r="G10"/>
  <c r="F10"/>
  <c r="E10"/>
  <c r="D10"/>
  <c r="C10"/>
  <c r="G7"/>
  <c r="F7"/>
  <c r="E7"/>
  <c r="D7"/>
  <c r="L6"/>
  <c r="K6"/>
  <c r="J6"/>
  <c r="I6"/>
  <c r="H6"/>
  <c r="G6"/>
  <c r="F6"/>
  <c r="E6"/>
  <c r="D6"/>
  <c r="C6"/>
  <c r="D4"/>
  <c r="E4" s="1"/>
  <c r="F4" s="1"/>
  <c r="G4" s="1"/>
  <c r="H4" s="1"/>
  <c r="I4" s="1"/>
  <c r="J4" s="1"/>
  <c r="K4" s="1"/>
  <c r="L4" s="1"/>
  <c r="N72" i="1"/>
  <c r="L50" i="3" s="1"/>
  <c r="L72" i="1"/>
  <c r="J50" i="3" s="1"/>
  <c r="K72" i="1"/>
  <c r="I50" i="3" s="1"/>
  <c r="J72" i="1"/>
  <c r="H50" i="3" s="1"/>
  <c r="D72" i="1"/>
  <c r="M72" s="1"/>
  <c r="K50" i="3" s="1"/>
  <c r="J70" i="1"/>
  <c r="K70" s="1"/>
  <c r="I48" i="3" s="1"/>
  <c r="I121" i="1"/>
  <c r="H121"/>
  <c r="G121"/>
  <c r="F121"/>
  <c r="E121"/>
  <c r="K105"/>
  <c r="I27" i="4" s="1"/>
  <c r="J105" i="1"/>
  <c r="H27" i="4" s="1"/>
  <c r="J104" i="1"/>
  <c r="H26" i="4" s="1"/>
  <c r="J103" i="1"/>
  <c r="H25" i="4" s="1"/>
  <c r="N97" i="1"/>
  <c r="L19" i="4" s="1"/>
  <c r="M98" i="1"/>
  <c r="K20" i="4" s="1"/>
  <c r="L98" i="1"/>
  <c r="J20" i="4" s="1"/>
  <c r="K97" i="1"/>
  <c r="I19" i="4" s="1"/>
  <c r="J97" i="1"/>
  <c r="H19" i="4" s="1"/>
  <c r="N85" i="1"/>
  <c r="L7" i="4" s="1"/>
  <c r="M85" i="1"/>
  <c r="L85"/>
  <c r="J7" i="4" s="1"/>
  <c r="K85" i="1"/>
  <c r="I7" i="4" s="1"/>
  <c r="J92" i="1"/>
  <c r="K92" s="1"/>
  <c r="I14" i="4" s="1"/>
  <c r="J91" i="1"/>
  <c r="K91" s="1"/>
  <c r="J90"/>
  <c r="H12" i="4" s="1"/>
  <c r="J87" i="1"/>
  <c r="H9" i="4" s="1"/>
  <c r="J85" i="1"/>
  <c r="H7" i="4" s="1"/>
  <c r="D71" i="1"/>
  <c r="M71" s="1"/>
  <c r="K49" i="3" s="1"/>
  <c r="K65" i="1"/>
  <c r="K86" s="1"/>
  <c r="I8" i="4" s="1"/>
  <c r="J65" i="1"/>
  <c r="J86" s="1"/>
  <c r="H8" i="4" s="1"/>
  <c r="N63" i="1"/>
  <c r="L41" i="3" s="1"/>
  <c r="L63" i="1"/>
  <c r="J41" i="3" s="1"/>
  <c r="J63" i="1"/>
  <c r="H41" i="3" s="1"/>
  <c r="D63" i="1"/>
  <c r="M63" s="1"/>
  <c r="C32" i="6"/>
  <c r="C31"/>
  <c r="C30"/>
  <c r="C29"/>
  <c r="C28"/>
  <c r="C27"/>
  <c r="I28" i="3" l="1"/>
  <c r="K87" i="1"/>
  <c r="I9" i="4" s="1"/>
  <c r="L39" i="9"/>
  <c r="L37"/>
  <c r="L30"/>
  <c r="L36"/>
  <c r="L28"/>
  <c r="L33"/>
  <c r="J11" i="10"/>
  <c r="K11"/>
  <c r="H21" i="3"/>
  <c r="H48"/>
  <c r="H7" i="9" s="1"/>
  <c r="H16" s="1"/>
  <c r="H18" s="1"/>
  <c r="H20" s="1"/>
  <c r="H22" s="1"/>
  <c r="J4" i="1" s="1"/>
  <c r="H7" i="2" s="1"/>
  <c r="H52" i="3"/>
  <c r="H13" i="4"/>
  <c r="H11" i="10"/>
  <c r="J10"/>
  <c r="J12" s="1"/>
  <c r="K10"/>
  <c r="H30" i="3"/>
  <c r="I43"/>
  <c r="J121" i="1"/>
  <c r="K40"/>
  <c r="I11" i="10"/>
  <c r="I12" s="1"/>
  <c r="D53" i="1"/>
  <c r="J53" s="1"/>
  <c r="H31" i="3" s="1"/>
  <c r="H14" i="4"/>
  <c r="H10" i="10"/>
  <c r="I32" i="9"/>
  <c r="I7"/>
  <c r="I16" s="1"/>
  <c r="I18" s="1"/>
  <c r="I20" s="1"/>
  <c r="I22" s="1"/>
  <c r="K4" i="1" s="1"/>
  <c r="I7" i="2" s="1"/>
  <c r="L32" i="9"/>
  <c r="K32"/>
  <c r="H32"/>
  <c r="J32"/>
  <c r="L71" i="1"/>
  <c r="J49" i="3" s="1"/>
  <c r="J71" i="1"/>
  <c r="H49" i="3" s="1"/>
  <c r="N71" i="1"/>
  <c r="L49" i="3" s="1"/>
  <c r="M15" i="1"/>
  <c r="K18" i="2" s="1"/>
  <c r="L15" i="1"/>
  <c r="J18" i="2" s="1"/>
  <c r="K73" i="1"/>
  <c r="I51" i="3" s="1"/>
  <c r="L74" i="1"/>
  <c r="J52" i="3" s="1"/>
  <c r="K75" i="1"/>
  <c r="I53" i="3" s="1"/>
  <c r="L70" i="1"/>
  <c r="J48" i="3" s="1"/>
  <c r="J7" i="9" s="1"/>
  <c r="J16" s="1"/>
  <c r="J18" s="1"/>
  <c r="J20" s="1"/>
  <c r="J22" s="1"/>
  <c r="L4" i="1" s="1"/>
  <c r="J7" i="2" s="1"/>
  <c r="M52" i="1"/>
  <c r="K30" i="3" s="1"/>
  <c r="L52" i="1"/>
  <c r="J30" i="3" s="1"/>
  <c r="L48" i="1"/>
  <c r="K49"/>
  <c r="I27" i="3" s="1"/>
  <c r="L50" i="1"/>
  <c r="K54"/>
  <c r="I32" i="3" s="1"/>
  <c r="L55" i="1"/>
  <c r="J33" i="3" s="1"/>
  <c r="K90" i="1"/>
  <c r="I12" i="4" s="1"/>
  <c r="K103" i="1"/>
  <c r="I25" i="4" s="1"/>
  <c r="K104" i="1"/>
  <c r="I26" i="4" s="1"/>
  <c r="L40" i="1"/>
  <c r="L41"/>
  <c r="M41" s="1"/>
  <c r="L42"/>
  <c r="J20" i="3" s="1"/>
  <c r="L43" i="1"/>
  <c r="M43" s="1"/>
  <c r="L119"/>
  <c r="K63"/>
  <c r="I41" i="3" s="1"/>
  <c r="K71" i="1"/>
  <c r="I49" i="3" s="1"/>
  <c r="L91" i="1"/>
  <c r="J13" i="4" s="1"/>
  <c r="L92" i="1"/>
  <c r="J14" i="4" s="1"/>
  <c r="M65" i="1"/>
  <c r="L65"/>
  <c r="J43" i="3" s="1"/>
  <c r="I33" i="9" l="1"/>
  <c r="I36"/>
  <c r="I28"/>
  <c r="I37"/>
  <c r="I30"/>
  <c r="I39"/>
  <c r="N119" i="1"/>
  <c r="N121" s="1"/>
  <c r="L121"/>
  <c r="M86"/>
  <c r="K8" i="4" s="1"/>
  <c r="K43" i="3"/>
  <c r="J37" i="9"/>
  <c r="J30"/>
  <c r="J44" s="1"/>
  <c r="L7" i="1" s="1"/>
  <c r="J36" i="9"/>
  <c r="J28"/>
  <c r="J33"/>
  <c r="J39"/>
  <c r="K47" i="1"/>
  <c r="I18" i="3"/>
  <c r="I44" i="9"/>
  <c r="K7" i="1" s="1"/>
  <c r="L53"/>
  <c r="J31" i="3" s="1"/>
  <c r="L44" i="9"/>
  <c r="N7" i="1" s="1"/>
  <c r="M119"/>
  <c r="M121" s="1"/>
  <c r="L73"/>
  <c r="J51" i="3" s="1"/>
  <c r="M74" i="1"/>
  <c r="K52" i="3" s="1"/>
  <c r="H12" i="10"/>
  <c r="K12"/>
  <c r="K53" i="1"/>
  <c r="I31" i="3" s="1"/>
  <c r="N15" i="1"/>
  <c r="L18" i="2" s="1"/>
  <c r="L75" i="1"/>
  <c r="J53" i="3" s="1"/>
  <c r="N74" i="1"/>
  <c r="L52" i="3" s="1"/>
  <c r="M70" i="1"/>
  <c r="K48" i="3" s="1"/>
  <c r="K7" i="9" s="1"/>
  <c r="K16" s="1"/>
  <c r="K18" s="1"/>
  <c r="K20" s="1"/>
  <c r="K22" s="1"/>
  <c r="M4" i="1" s="1"/>
  <c r="N52"/>
  <c r="L30" i="3" s="1"/>
  <c r="L87" i="1"/>
  <c r="J9" i="4" s="1"/>
  <c r="J28" i="3"/>
  <c r="L105" i="1"/>
  <c r="J27" i="4" s="1"/>
  <c r="J26" i="3"/>
  <c r="M48" i="1"/>
  <c r="N48" s="1"/>
  <c r="M50"/>
  <c r="L49"/>
  <c r="N50"/>
  <c r="M55"/>
  <c r="K33" i="3" s="1"/>
  <c r="L54" i="1"/>
  <c r="J32" i="3" s="1"/>
  <c r="J18"/>
  <c r="L103" i="1"/>
  <c r="J25" i="4" s="1"/>
  <c r="M90" i="1"/>
  <c r="K12" i="4" s="1"/>
  <c r="K21" i="3"/>
  <c r="M104" i="1"/>
  <c r="K26" i="4" s="1"/>
  <c r="K19" i="3"/>
  <c r="N43" i="1"/>
  <c r="N42"/>
  <c r="L20" i="3" s="1"/>
  <c r="J21"/>
  <c r="L90" i="1"/>
  <c r="J12" i="4" s="1"/>
  <c r="J19" i="3"/>
  <c r="L104" i="1"/>
  <c r="J26" i="4" s="1"/>
  <c r="M42" i="1"/>
  <c r="K20" i="3" s="1"/>
  <c r="M40" i="1"/>
  <c r="N41"/>
  <c r="N40"/>
  <c r="N65"/>
  <c r="L86"/>
  <c r="J8" i="4" s="1"/>
  <c r="M92" i="1"/>
  <c r="M91"/>
  <c r="N91" l="1"/>
  <c r="L13" i="4" s="1"/>
  <c r="K13"/>
  <c r="K36" i="9"/>
  <c r="K28"/>
  <c r="K33"/>
  <c r="K39"/>
  <c r="K37"/>
  <c r="K30"/>
  <c r="N86" i="1"/>
  <c r="L8" i="4" s="1"/>
  <c r="L43" i="3"/>
  <c r="I25"/>
  <c r="L47" i="1"/>
  <c r="J25" i="3" s="1"/>
  <c r="N92" i="1"/>
  <c r="L14" i="4" s="1"/>
  <c r="K14"/>
  <c r="H39" i="9"/>
  <c r="H33"/>
  <c r="H36"/>
  <c r="H28"/>
  <c r="H37"/>
  <c r="H30"/>
  <c r="L10" i="5"/>
  <c r="M73" i="1"/>
  <c r="K51" i="3" s="1"/>
  <c r="M47" i="1"/>
  <c r="K25" i="3" s="1"/>
  <c r="N55" i="1"/>
  <c r="L33" i="3" s="1"/>
  <c r="M75" i="1"/>
  <c r="K53" i="3" s="1"/>
  <c r="K7" i="2"/>
  <c r="M53" i="1"/>
  <c r="K31" i="3" s="1"/>
  <c r="N70" i="1"/>
  <c r="L48" i="3" s="1"/>
  <c r="L7" i="9" s="1"/>
  <c r="L16" s="1"/>
  <c r="L18" s="1"/>
  <c r="L20" s="1"/>
  <c r="L22" s="1"/>
  <c r="N4" i="1" s="1"/>
  <c r="N87"/>
  <c r="L9" i="4" s="1"/>
  <c r="L28" i="3"/>
  <c r="J27"/>
  <c r="N49" i="1"/>
  <c r="L27" i="3" s="1"/>
  <c r="N105" i="1"/>
  <c r="L27" i="4" s="1"/>
  <c r="L26" i="3"/>
  <c r="M49" i="1"/>
  <c r="K27" i="3" s="1"/>
  <c r="K28"/>
  <c r="M87" i="1"/>
  <c r="K9" i="4" s="1"/>
  <c r="K26" i="3"/>
  <c r="M105" i="1"/>
  <c r="K27" i="4" s="1"/>
  <c r="M54" i="1"/>
  <c r="K32" i="3" s="1"/>
  <c r="N54" i="1"/>
  <c r="L32" i="3" s="1"/>
  <c r="L18"/>
  <c r="N103" i="1"/>
  <c r="L25" i="4" s="1"/>
  <c r="M103" i="1"/>
  <c r="K25" i="4" s="1"/>
  <c r="K18" i="3"/>
  <c r="L19"/>
  <c r="N104" i="1"/>
  <c r="L26" i="4" s="1"/>
  <c r="L21" i="3"/>
  <c r="N90" i="1"/>
  <c r="L12" i="4" s="1"/>
  <c r="C18" i="5"/>
  <c r="M116" i="1"/>
  <c r="L116"/>
  <c r="K116"/>
  <c r="J116"/>
  <c r="I116"/>
  <c r="H116"/>
  <c r="G116"/>
  <c r="F116"/>
  <c r="I115"/>
  <c r="I117" s="1"/>
  <c r="H115"/>
  <c r="G115"/>
  <c r="G117" s="1"/>
  <c r="F115"/>
  <c r="E116"/>
  <c r="E115"/>
  <c r="E117" s="1"/>
  <c r="H31" i="5"/>
  <c r="H30"/>
  <c r="H29"/>
  <c r="H28"/>
  <c r="C26"/>
  <c r="J11" i="1" l="1"/>
  <c r="H14" i="2" s="1"/>
  <c r="N75" i="1"/>
  <c r="L53" i="3" s="1"/>
  <c r="N47" i="1"/>
  <c r="L25" i="3" s="1"/>
  <c r="H44" i="9"/>
  <c r="J7" i="1" s="1"/>
  <c r="D11"/>
  <c r="M11" s="1"/>
  <c r="L11"/>
  <c r="J14" i="2" s="1"/>
  <c r="N73" i="1"/>
  <c r="L51" i="3" s="1"/>
  <c r="K11" i="1"/>
  <c r="I14" i="2" s="1"/>
  <c r="K44" i="9"/>
  <c r="M7" i="1" s="1"/>
  <c r="L7" i="2"/>
  <c r="N53" i="1"/>
  <c r="L31" i="3" s="1"/>
  <c r="K115" i="1"/>
  <c r="N116"/>
  <c r="N11" s="1"/>
  <c r="L14" i="2" s="1"/>
  <c r="K117" i="1"/>
  <c r="K102"/>
  <c r="I24" i="4" s="1"/>
  <c r="F117" i="1"/>
  <c r="H117"/>
  <c r="K14" i="2" l="1"/>
  <c r="M115" i="1"/>
  <c r="L115"/>
  <c r="N115"/>
  <c r="J115"/>
  <c r="K10" i="5"/>
  <c r="J10"/>
  <c r="I10"/>
  <c r="H10"/>
  <c r="G10"/>
  <c r="F10"/>
  <c r="E10"/>
  <c r="D10"/>
  <c r="L7"/>
  <c r="K7"/>
  <c r="J7"/>
  <c r="I7"/>
  <c r="H7"/>
  <c r="G7"/>
  <c r="F7"/>
  <c r="E7"/>
  <c r="D7"/>
  <c r="C10"/>
  <c r="C7"/>
  <c r="J12" i="1"/>
  <c r="K10" i="2"/>
  <c r="I10"/>
  <c r="L11"/>
  <c r="H10"/>
  <c r="C12" i="6"/>
  <c r="C11"/>
  <c r="C10"/>
  <c r="C9"/>
  <c r="C8"/>
  <c r="L102" i="1" l="1"/>
  <c r="J24" i="4" s="1"/>
  <c r="L117" i="1"/>
  <c r="N102"/>
  <c r="L24" i="4" s="1"/>
  <c r="N117" i="1"/>
  <c r="K12"/>
  <c r="I15" i="2" s="1"/>
  <c r="H15"/>
  <c r="J102" i="1"/>
  <c r="H24" i="4" s="1"/>
  <c r="J117" i="1"/>
  <c r="C32" i="5" s="1"/>
  <c r="M102" i="1"/>
  <c r="K24" i="4" s="1"/>
  <c r="M117" i="1"/>
  <c r="I11" i="2"/>
  <c r="K11"/>
  <c r="H11"/>
  <c r="J10"/>
  <c r="L10"/>
  <c r="J11"/>
  <c r="L12" i="1"/>
  <c r="J15" i="2" s="1"/>
  <c r="M12" i="1" l="1"/>
  <c r="N37" i="5"/>
  <c r="K28"/>
  <c r="K29" s="1"/>
  <c r="K30" s="1"/>
  <c r="K31" s="1"/>
  <c r="K32" s="1"/>
  <c r="K33" s="1"/>
  <c r="K34" s="1"/>
  <c r="K35" s="1"/>
  <c r="K36" s="1"/>
  <c r="I31"/>
  <c r="C28"/>
  <c r="E3"/>
  <c r="F3" s="1"/>
  <c r="G3" s="1"/>
  <c r="H3" s="1"/>
  <c r="I3" s="1"/>
  <c r="J3" s="1"/>
  <c r="K3" s="1"/>
  <c r="L3" s="1"/>
  <c r="D3"/>
  <c r="S8" i="7"/>
  <c r="S16"/>
  <c r="S20"/>
  <c r="S24"/>
  <c r="S28"/>
  <c r="S32"/>
  <c r="S36"/>
  <c r="S40"/>
  <c r="S44"/>
  <c r="S52"/>
  <c r="S56"/>
  <c r="S60"/>
  <c r="S64"/>
  <c r="S68"/>
  <c r="S72"/>
  <c r="S76"/>
  <c r="S80"/>
  <c r="S84"/>
  <c r="S88"/>
  <c r="S92"/>
  <c r="S96"/>
  <c r="S100"/>
  <c r="S104"/>
  <c r="S108"/>
  <c r="S112"/>
  <c r="S116"/>
  <c r="S120"/>
  <c r="S124"/>
  <c r="S128"/>
  <c r="S132"/>
  <c r="S136"/>
  <c r="S140"/>
  <c r="S144"/>
  <c r="S148"/>
  <c r="S152"/>
  <c r="S160"/>
  <c r="S168"/>
  <c r="S172"/>
  <c r="S176"/>
  <c r="S180"/>
  <c r="S184"/>
  <c r="S192"/>
  <c r="S196"/>
  <c r="S200"/>
  <c r="S204"/>
  <c r="S208"/>
  <c r="S212"/>
  <c r="S216"/>
  <c r="S220"/>
  <c r="S224"/>
  <c r="S228"/>
  <c r="S232"/>
  <c r="S236"/>
  <c r="S240"/>
  <c r="S244"/>
  <c r="S248"/>
  <c r="S252"/>
  <c r="S260"/>
  <c r="S264"/>
  <c r="S272"/>
  <c r="S276"/>
  <c r="S284"/>
  <c r="S288"/>
  <c r="S292"/>
  <c r="S296"/>
  <c r="S304"/>
  <c r="S308"/>
  <c r="S316"/>
  <c r="S320"/>
  <c r="S324"/>
  <c r="S328"/>
  <c r="S336"/>
  <c r="S337"/>
  <c r="S340"/>
  <c r="S348"/>
  <c r="S352"/>
  <c r="S356"/>
  <c r="S357"/>
  <c r="S360"/>
  <c r="S361"/>
  <c r="S364"/>
  <c r="S368"/>
  <c r="S372"/>
  <c r="S380"/>
  <c r="S381"/>
  <c r="S384"/>
  <c r="S385"/>
  <c r="S388"/>
  <c r="S389"/>
  <c r="S392"/>
  <c r="S396"/>
  <c r="S400"/>
  <c r="S404"/>
  <c r="S408"/>
  <c r="S424"/>
  <c r="S428"/>
  <c r="S429"/>
  <c r="S432"/>
  <c r="S433"/>
  <c r="S436"/>
  <c r="S437"/>
  <c r="S440"/>
  <c r="S441"/>
  <c r="S444"/>
  <c r="S448"/>
  <c r="S449"/>
  <c r="S452"/>
  <c r="S453"/>
  <c r="S456"/>
  <c r="S464"/>
  <c r="S465"/>
  <c r="S468"/>
  <c r="S472"/>
  <c r="S480"/>
  <c r="S481"/>
  <c r="S484"/>
  <c r="S488"/>
  <c r="S489"/>
  <c r="S496"/>
  <c r="S500"/>
  <c r="S504"/>
  <c r="S505"/>
  <c r="S508"/>
  <c r="S512"/>
  <c r="S513"/>
  <c r="S516"/>
  <c r="S524"/>
  <c r="S525"/>
  <c r="S532"/>
  <c r="S533"/>
  <c r="S536"/>
  <c r="S540"/>
  <c r="S545"/>
  <c r="S548"/>
  <c r="S549"/>
  <c r="S552"/>
  <c r="S556"/>
  <c r="S557"/>
  <c r="S559"/>
  <c r="S560"/>
  <c r="S563"/>
  <c r="S564"/>
  <c r="S567"/>
  <c r="S568"/>
  <c r="S572"/>
  <c r="S575"/>
  <c r="S576"/>
  <c r="S584"/>
  <c r="S589"/>
  <c r="R590"/>
  <c r="R589"/>
  <c r="R588"/>
  <c r="R587"/>
  <c r="R586"/>
  <c r="R585"/>
  <c r="R584"/>
  <c r="R583"/>
  <c r="R582"/>
  <c r="R581"/>
  <c r="R580"/>
  <c r="R579"/>
  <c r="R578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9"/>
  <c r="R548"/>
  <c r="R547"/>
  <c r="R546"/>
  <c r="R545"/>
  <c r="R544"/>
  <c r="R543"/>
  <c r="R542"/>
  <c r="R541"/>
  <c r="R540"/>
  <c r="R539"/>
  <c r="R538"/>
  <c r="R537"/>
  <c r="R536"/>
  <c r="R535"/>
  <c r="R534"/>
  <c r="R533"/>
  <c r="R532"/>
  <c r="R531"/>
  <c r="R530"/>
  <c r="R529"/>
  <c r="R528"/>
  <c r="R527"/>
  <c r="R526"/>
  <c r="R525"/>
  <c r="R524"/>
  <c r="R523"/>
  <c r="R522"/>
  <c r="R521"/>
  <c r="R520"/>
  <c r="R519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90"/>
  <c r="R489"/>
  <c r="R488"/>
  <c r="R487"/>
  <c r="R486"/>
  <c r="R485"/>
  <c r="R484"/>
  <c r="R483"/>
  <c r="R482"/>
  <c r="R481"/>
  <c r="R480"/>
  <c r="R479"/>
  <c r="R478"/>
  <c r="R477"/>
  <c r="R476"/>
  <c r="R475"/>
  <c r="R474"/>
  <c r="R473"/>
  <c r="R472"/>
  <c r="R471"/>
  <c r="R470"/>
  <c r="R469"/>
  <c r="R468"/>
  <c r="R467"/>
  <c r="R466"/>
  <c r="R465"/>
  <c r="R464"/>
  <c r="R463"/>
  <c r="R462"/>
  <c r="R461"/>
  <c r="R460"/>
  <c r="R459"/>
  <c r="R458"/>
  <c r="R457"/>
  <c r="R456"/>
  <c r="R455"/>
  <c r="R454"/>
  <c r="R453"/>
  <c r="R452"/>
  <c r="R451"/>
  <c r="R450"/>
  <c r="R449"/>
  <c r="R448"/>
  <c r="R447"/>
  <c r="R446"/>
  <c r="R445"/>
  <c r="R444"/>
  <c r="R443"/>
  <c r="R442"/>
  <c r="R441"/>
  <c r="R440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404"/>
  <c r="R403"/>
  <c r="R402"/>
  <c r="R401"/>
  <c r="R400"/>
  <c r="R399"/>
  <c r="R398"/>
  <c r="R397"/>
  <c r="R396"/>
  <c r="R395"/>
  <c r="R394"/>
  <c r="R393"/>
  <c r="R392"/>
  <c r="R391"/>
  <c r="R390"/>
  <c r="R389"/>
  <c r="R388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F989"/>
  <c r="F988"/>
  <c r="F987"/>
  <c r="F986"/>
  <c r="S6" s="1"/>
  <c r="F985"/>
  <c r="S7" s="1"/>
  <c r="F984"/>
  <c r="F983"/>
  <c r="S9" s="1"/>
  <c r="F982"/>
  <c r="F981"/>
  <c r="S10" s="1"/>
  <c r="F980"/>
  <c r="S11" s="1"/>
  <c r="F979"/>
  <c r="S12" s="1"/>
  <c r="F978"/>
  <c r="F977"/>
  <c r="S13" s="1"/>
  <c r="F976"/>
  <c r="S14" s="1"/>
  <c r="F975"/>
  <c r="S15" s="1"/>
  <c r="F974"/>
  <c r="F973"/>
  <c r="S17" s="1"/>
  <c r="F972"/>
  <c r="F971"/>
  <c r="S18" s="1"/>
  <c r="F970"/>
  <c r="S19" s="1"/>
  <c r="F969"/>
  <c r="F968"/>
  <c r="S21" s="1"/>
  <c r="F967"/>
  <c r="S22" s="1"/>
  <c r="F966"/>
  <c r="S23" s="1"/>
  <c r="F965"/>
  <c r="F964"/>
  <c r="F963"/>
  <c r="S25" s="1"/>
  <c r="F962"/>
  <c r="S26" s="1"/>
  <c r="F961"/>
  <c r="S27" s="1"/>
  <c r="F960"/>
  <c r="F959"/>
  <c r="S29" s="1"/>
  <c r="F958"/>
  <c r="F957"/>
  <c r="F956"/>
  <c r="S30" s="1"/>
  <c r="F955"/>
  <c r="S31" s="1"/>
  <c r="F954"/>
  <c r="F953"/>
  <c r="S33" s="1"/>
  <c r="F952"/>
  <c r="S34" s="1"/>
  <c r="F951"/>
  <c r="S35" s="1"/>
  <c r="F950"/>
  <c r="F949"/>
  <c r="S37" s="1"/>
  <c r="F948"/>
  <c r="S38" s="1"/>
  <c r="F947"/>
  <c r="F946"/>
  <c r="S39" s="1"/>
  <c r="F945"/>
  <c r="F944"/>
  <c r="S41" s="1"/>
  <c r="F943"/>
  <c r="S42" s="1"/>
  <c r="F942"/>
  <c r="S43" s="1"/>
  <c r="F941"/>
  <c r="F940"/>
  <c r="S45" s="1"/>
  <c r="F939"/>
  <c r="S46" s="1"/>
  <c r="F938"/>
  <c r="S47" s="1"/>
  <c r="F937"/>
  <c r="F936"/>
  <c r="F935"/>
  <c r="S48" s="1"/>
  <c r="F934"/>
  <c r="F933"/>
  <c r="F932"/>
  <c r="F931"/>
  <c r="S49" s="1"/>
  <c r="F930"/>
  <c r="S50" s="1"/>
  <c r="F929"/>
  <c r="S51" s="1"/>
  <c r="F928"/>
  <c r="F927"/>
  <c r="F926"/>
  <c r="F925"/>
  <c r="F924"/>
  <c r="F923"/>
  <c r="F922"/>
  <c r="F921"/>
  <c r="F920"/>
  <c r="F919"/>
  <c r="S53" s="1"/>
  <c r="F918"/>
  <c r="F917"/>
  <c r="F916"/>
  <c r="F915"/>
  <c r="F914"/>
  <c r="S54" s="1"/>
  <c r="F913"/>
  <c r="S55" s="1"/>
  <c r="F912"/>
  <c r="F911"/>
  <c r="F910"/>
  <c r="F909"/>
  <c r="F908"/>
  <c r="F907"/>
  <c r="S57" s="1"/>
  <c r="F906"/>
  <c r="F905"/>
  <c r="S58" s="1"/>
  <c r="F904"/>
  <c r="S59" s="1"/>
  <c r="F903"/>
  <c r="F902"/>
  <c r="F901"/>
  <c r="F900"/>
  <c r="F899"/>
  <c r="F898"/>
  <c r="F897"/>
  <c r="F896"/>
  <c r="S61" s="1"/>
  <c r="F895"/>
  <c r="F894"/>
  <c r="S62" s="1"/>
  <c r="F893"/>
  <c r="S63" s="1"/>
  <c r="F892"/>
  <c r="F891"/>
  <c r="F890"/>
  <c r="F889"/>
  <c r="F888"/>
  <c r="F887"/>
  <c r="F886"/>
  <c r="F885"/>
  <c r="F884"/>
  <c r="F883"/>
  <c r="S65" s="1"/>
  <c r="F882"/>
  <c r="F881"/>
  <c r="F880"/>
  <c r="F879"/>
  <c r="F878"/>
  <c r="F877"/>
  <c r="F876"/>
  <c r="S66" s="1"/>
  <c r="F875"/>
  <c r="S67" s="1"/>
  <c r="F874"/>
  <c r="F873"/>
  <c r="F872"/>
  <c r="F871"/>
  <c r="S69" s="1"/>
  <c r="F870"/>
  <c r="F869"/>
  <c r="S70" s="1"/>
  <c r="F868"/>
  <c r="S71" s="1"/>
  <c r="F867"/>
  <c r="F866"/>
  <c r="F865"/>
  <c r="S73" s="1"/>
  <c r="F864"/>
  <c r="F863"/>
  <c r="S74" s="1"/>
  <c r="F862"/>
  <c r="S75" s="1"/>
  <c r="F861"/>
  <c r="F860"/>
  <c r="S77" s="1"/>
  <c r="F859"/>
  <c r="S78" s="1"/>
  <c r="F858"/>
  <c r="S79" s="1"/>
  <c r="F857"/>
  <c r="F856"/>
  <c r="S81" s="1"/>
  <c r="F855"/>
  <c r="S82" s="1"/>
  <c r="F854"/>
  <c r="S83" s="1"/>
  <c r="F853"/>
  <c r="F852"/>
  <c r="S85" s="1"/>
  <c r="F851"/>
  <c r="S86" s="1"/>
  <c r="F850"/>
  <c r="S87" s="1"/>
  <c r="F849"/>
  <c r="F848"/>
  <c r="S89" s="1"/>
  <c r="F847"/>
  <c r="S90" s="1"/>
  <c r="F846"/>
  <c r="S91" s="1"/>
  <c r="F845"/>
  <c r="F844"/>
  <c r="S93" s="1"/>
  <c r="F843"/>
  <c r="S94" s="1"/>
  <c r="F842"/>
  <c r="S95" s="1"/>
  <c r="F841"/>
  <c r="F840"/>
  <c r="S97" s="1"/>
  <c r="F839"/>
  <c r="S98" s="1"/>
  <c r="F838"/>
  <c r="S99" s="1"/>
  <c r="F837"/>
  <c r="F836"/>
  <c r="S101" s="1"/>
  <c r="F835"/>
  <c r="S102" s="1"/>
  <c r="F834"/>
  <c r="S103" s="1"/>
  <c r="F833"/>
  <c r="F832"/>
  <c r="F831"/>
  <c r="S105" s="1"/>
  <c r="F830"/>
  <c r="S106" s="1"/>
  <c r="F829"/>
  <c r="S107" s="1"/>
  <c r="F828"/>
  <c r="F827"/>
  <c r="S109" s="1"/>
  <c r="F826"/>
  <c r="S110" s="1"/>
  <c r="F825"/>
  <c r="S111" s="1"/>
  <c r="F824"/>
  <c r="F823"/>
  <c r="S113" s="1"/>
  <c r="F822"/>
  <c r="F821"/>
  <c r="F820"/>
  <c r="S114" s="1"/>
  <c r="F819"/>
  <c r="S115" s="1"/>
  <c r="F818"/>
  <c r="F817"/>
  <c r="S117" s="1"/>
  <c r="F816"/>
  <c r="S118" s="1"/>
  <c r="F815"/>
  <c r="S119" s="1"/>
  <c r="F814"/>
  <c r="F813"/>
  <c r="S121" s="1"/>
  <c r="F812"/>
  <c r="F811"/>
  <c r="F810"/>
  <c r="S122" s="1"/>
  <c r="F809"/>
  <c r="S123" s="1"/>
  <c r="F808"/>
  <c r="F807"/>
  <c r="S125" s="1"/>
  <c r="F806"/>
  <c r="S126" s="1"/>
  <c r="F805"/>
  <c r="F804"/>
  <c r="S127" s="1"/>
  <c r="F803"/>
  <c r="F802"/>
  <c r="F801"/>
  <c r="F800"/>
  <c r="F799"/>
  <c r="F798"/>
  <c r="F797"/>
  <c r="S129" s="1"/>
  <c r="F796"/>
  <c r="F795"/>
  <c r="F794"/>
  <c r="F793"/>
  <c r="F792"/>
  <c r="S130" s="1"/>
  <c r="F791"/>
  <c r="S131" s="1"/>
  <c r="F790"/>
  <c r="F789"/>
  <c r="S133" s="1"/>
  <c r="F788"/>
  <c r="S134" s="1"/>
  <c r="F787"/>
  <c r="S135" s="1"/>
  <c r="F786"/>
  <c r="F785"/>
  <c r="F784"/>
  <c r="S137" s="1"/>
  <c r="F783"/>
  <c r="F782"/>
  <c r="S138" s="1"/>
  <c r="F781"/>
  <c r="S139" s="1"/>
  <c r="F780"/>
  <c r="F779"/>
  <c r="S141" s="1"/>
  <c r="F778"/>
  <c r="S142" s="1"/>
  <c r="F777"/>
  <c r="F776"/>
  <c r="S143" s="1"/>
  <c r="F775"/>
  <c r="F774"/>
  <c r="F773"/>
  <c r="S145" s="1"/>
  <c r="F772"/>
  <c r="S146" s="1"/>
  <c r="F771"/>
  <c r="S147" s="1"/>
  <c r="F770"/>
  <c r="F769"/>
  <c r="F768"/>
  <c r="F767"/>
  <c r="S149" s="1"/>
  <c r="F766"/>
  <c r="S150" s="1"/>
  <c r="F765"/>
  <c r="S151" s="1"/>
  <c r="F764"/>
  <c r="F763"/>
  <c r="S153" s="1"/>
  <c r="F762"/>
  <c r="F761"/>
  <c r="S154" s="1"/>
  <c r="F760"/>
  <c r="S155" s="1"/>
  <c r="F759"/>
  <c r="S156" s="1"/>
  <c r="F758"/>
  <c r="S157" s="1"/>
  <c r="F757"/>
  <c r="F756"/>
  <c r="S158" s="1"/>
  <c r="F755"/>
  <c r="S159" s="1"/>
  <c r="F754"/>
  <c r="F753"/>
  <c r="S161" s="1"/>
  <c r="F752"/>
  <c r="F751"/>
  <c r="F750"/>
  <c r="F749"/>
  <c r="S162" s="1"/>
  <c r="F748"/>
  <c r="S163" s="1"/>
  <c r="F747"/>
  <c r="S164" s="1"/>
  <c r="F746"/>
  <c r="S165" s="1"/>
  <c r="F745"/>
  <c r="F744"/>
  <c r="S166" s="1"/>
  <c r="F743"/>
  <c r="S167" s="1"/>
  <c r="F742"/>
  <c r="F741"/>
  <c r="F740"/>
  <c r="S169" s="1"/>
  <c r="F739"/>
  <c r="S170" s="1"/>
  <c r="F738"/>
  <c r="S171" s="1"/>
  <c r="F737"/>
  <c r="F736"/>
  <c r="S173" s="1"/>
  <c r="F735"/>
  <c r="S174" s="1"/>
  <c r="F734"/>
  <c r="S175" s="1"/>
  <c r="F733"/>
  <c r="F732"/>
  <c r="S177" s="1"/>
  <c r="F731"/>
  <c r="S178" s="1"/>
  <c r="F730"/>
  <c r="F729"/>
  <c r="F728"/>
  <c r="F727"/>
  <c r="S179" s="1"/>
  <c r="F726"/>
  <c r="F725"/>
  <c r="F724"/>
  <c r="S181" s="1"/>
  <c r="F723"/>
  <c r="S182" s="1"/>
  <c r="F722"/>
  <c r="F721"/>
  <c r="S183" s="1"/>
  <c r="F720"/>
  <c r="F719"/>
  <c r="F718"/>
  <c r="S185" s="1"/>
  <c r="F717"/>
  <c r="S186" s="1"/>
  <c r="F716"/>
  <c r="S187" s="1"/>
  <c r="F715"/>
  <c r="S188" s="1"/>
  <c r="F714"/>
  <c r="S189" s="1"/>
  <c r="F713"/>
  <c r="F712"/>
  <c r="F711"/>
  <c r="S190" s="1"/>
  <c r="F710"/>
  <c r="S191" s="1"/>
  <c r="F709"/>
  <c r="F708"/>
  <c r="S193" s="1"/>
  <c r="F707"/>
  <c r="F706"/>
  <c r="S194" s="1"/>
  <c r="F705"/>
  <c r="S195" s="1"/>
  <c r="F704"/>
  <c r="F703"/>
  <c r="S197" s="1"/>
  <c r="F702"/>
  <c r="S198" s="1"/>
  <c r="F701"/>
  <c r="S199" s="1"/>
  <c r="F700"/>
  <c r="F699"/>
  <c r="S201" s="1"/>
  <c r="F698"/>
  <c r="S202" s="1"/>
  <c r="F697"/>
  <c r="S203" s="1"/>
  <c r="F696"/>
  <c r="F695"/>
  <c r="S205" s="1"/>
  <c r="F694"/>
  <c r="S206" s="1"/>
  <c r="F693"/>
  <c r="S207" s="1"/>
  <c r="F692"/>
  <c r="F691"/>
  <c r="S209" s="1"/>
  <c r="F690"/>
  <c r="S210" s="1"/>
  <c r="F689"/>
  <c r="S211" s="1"/>
  <c r="F688"/>
  <c r="F687"/>
  <c r="S213" s="1"/>
  <c r="F686"/>
  <c r="S214" s="1"/>
  <c r="F685"/>
  <c r="S215" s="1"/>
  <c r="F684"/>
  <c r="F683"/>
  <c r="S217" s="1"/>
  <c r="F682"/>
  <c r="S218" s="1"/>
  <c r="F681"/>
  <c r="S219" s="1"/>
  <c r="F680"/>
  <c r="F679"/>
  <c r="S221" s="1"/>
  <c r="F678"/>
  <c r="S222" s="1"/>
  <c r="F677"/>
  <c r="S223" s="1"/>
  <c r="F676"/>
  <c r="F675"/>
  <c r="F674"/>
  <c r="F673"/>
  <c r="F672"/>
  <c r="F671"/>
  <c r="F670"/>
  <c r="F669"/>
  <c r="S225" s="1"/>
  <c r="F668"/>
  <c r="F667"/>
  <c r="F666"/>
  <c r="S226" s="1"/>
  <c r="F665"/>
  <c r="F664"/>
  <c r="F663"/>
  <c r="S227" s="1"/>
  <c r="F662"/>
  <c r="F661"/>
  <c r="S229" s="1"/>
  <c r="F660"/>
  <c r="F659"/>
  <c r="S230" s="1"/>
  <c r="F658"/>
  <c r="S231" s="1"/>
  <c r="F657"/>
  <c r="F656"/>
  <c r="F655"/>
  <c r="F654"/>
  <c r="F653"/>
  <c r="F652"/>
  <c r="F651"/>
  <c r="S233" s="1"/>
  <c r="F650"/>
  <c r="S234" s="1"/>
  <c r="F649"/>
  <c r="F648"/>
  <c r="F647"/>
  <c r="S235" s="1"/>
  <c r="F646"/>
  <c r="F645"/>
  <c r="S237" s="1"/>
  <c r="F644"/>
  <c r="S238" s="1"/>
  <c r="F643"/>
  <c r="S239" s="1"/>
  <c r="F642"/>
  <c r="F641"/>
  <c r="F640"/>
  <c r="S241" s="1"/>
  <c r="F639"/>
  <c r="F638"/>
  <c r="F637"/>
  <c r="S242" s="1"/>
  <c r="F636"/>
  <c r="F635"/>
  <c r="S243" s="1"/>
  <c r="F634"/>
  <c r="F633"/>
  <c r="S245" s="1"/>
  <c r="F632"/>
  <c r="F631"/>
  <c r="F630"/>
  <c r="S246" s="1"/>
  <c r="F629"/>
  <c r="F628"/>
  <c r="F627"/>
  <c r="F626"/>
  <c r="S247" s="1"/>
  <c r="F625"/>
  <c r="F624"/>
  <c r="F623"/>
  <c r="S249" s="1"/>
  <c r="F622"/>
  <c r="S250" s="1"/>
  <c r="F621"/>
  <c r="S251" s="1"/>
  <c r="F620"/>
  <c r="F619"/>
  <c r="F618"/>
  <c r="S253" s="1"/>
  <c r="F617"/>
  <c r="S254" s="1"/>
  <c r="F616"/>
  <c r="F615"/>
  <c r="F614"/>
  <c r="F613"/>
  <c r="F612"/>
  <c r="S255" s="1"/>
  <c r="F611"/>
  <c r="S256" s="1"/>
  <c r="F610"/>
  <c r="S257" s="1"/>
  <c r="F609"/>
  <c r="F608"/>
  <c r="F607"/>
  <c r="S258" s="1"/>
  <c r="F606"/>
  <c r="S259" s="1"/>
  <c r="F605"/>
  <c r="F604"/>
  <c r="F603"/>
  <c r="S261" s="1"/>
  <c r="F602"/>
  <c r="S262" s="1"/>
  <c r="F601"/>
  <c r="S263" s="1"/>
  <c r="F600"/>
  <c r="F599"/>
  <c r="S265" s="1"/>
  <c r="F598"/>
  <c r="F597"/>
  <c r="F596"/>
  <c r="F595"/>
  <c r="S266" s="1"/>
  <c r="F594"/>
  <c r="F593"/>
  <c r="S267" s="1"/>
  <c r="F592"/>
  <c r="F591"/>
  <c r="S268" s="1"/>
  <c r="F590"/>
  <c r="S269" s="1"/>
  <c r="F589"/>
  <c r="S270" s="1"/>
  <c r="F588"/>
  <c r="F587"/>
  <c r="F586"/>
  <c r="S271" s="1"/>
  <c r="F585"/>
  <c r="F584"/>
  <c r="F583"/>
  <c r="F582"/>
  <c r="F581"/>
  <c r="F580"/>
  <c r="F579"/>
  <c r="F578"/>
  <c r="F577"/>
  <c r="F576"/>
  <c r="S273" s="1"/>
  <c r="F575"/>
  <c r="S274" s="1"/>
  <c r="F574"/>
  <c r="F573"/>
  <c r="F572"/>
  <c r="F571"/>
  <c r="F570"/>
  <c r="F569"/>
  <c r="F568"/>
  <c r="F567"/>
  <c r="S275" s="1"/>
  <c r="F566"/>
  <c r="F565"/>
  <c r="F564"/>
  <c r="F563"/>
  <c r="F562"/>
  <c r="F561"/>
  <c r="F560"/>
  <c r="F559"/>
  <c r="F558"/>
  <c r="F557"/>
  <c r="S277" s="1"/>
  <c r="F556"/>
  <c r="F555"/>
  <c r="F554"/>
  <c r="S278" s="1"/>
  <c r="F553"/>
  <c r="F552"/>
  <c r="S279" s="1"/>
  <c r="F551"/>
  <c r="S280" s="1"/>
  <c r="F550"/>
  <c r="S281" s="1"/>
  <c r="F549"/>
  <c r="F548"/>
  <c r="F547"/>
  <c r="F546"/>
  <c r="F545"/>
  <c r="S282" s="1"/>
  <c r="F544"/>
  <c r="F543"/>
  <c r="F542"/>
  <c r="F541"/>
  <c r="S283" s="1"/>
  <c r="F540"/>
  <c r="F539"/>
  <c r="F538"/>
  <c r="F537"/>
  <c r="F536"/>
  <c r="F535"/>
  <c r="S285" s="1"/>
  <c r="F534"/>
  <c r="S286" s="1"/>
  <c r="F533"/>
  <c r="F532"/>
  <c r="F531"/>
  <c r="S287" s="1"/>
  <c r="F530"/>
  <c r="F529"/>
  <c r="F528"/>
  <c r="F527"/>
  <c r="F526"/>
  <c r="F525"/>
  <c r="S289" s="1"/>
  <c r="F524"/>
  <c r="S290" s="1"/>
  <c r="F523"/>
  <c r="S291" s="1"/>
  <c r="F522"/>
  <c r="F521"/>
  <c r="F520"/>
  <c r="S293" s="1"/>
  <c r="F519"/>
  <c r="S294" s="1"/>
  <c r="F518"/>
  <c r="S295" s="1"/>
  <c r="F517"/>
  <c r="F516"/>
  <c r="S297" s="1"/>
  <c r="F515"/>
  <c r="F514"/>
  <c r="S298" s="1"/>
  <c r="F513"/>
  <c r="S299" s="1"/>
  <c r="F512"/>
  <c r="F511"/>
  <c r="S300" s="1"/>
  <c r="F510"/>
  <c r="S301" s="1"/>
  <c r="F509"/>
  <c r="S302" s="1"/>
  <c r="F508"/>
  <c r="F507"/>
  <c r="F506"/>
  <c r="F505"/>
  <c r="S303" s="1"/>
  <c r="F504"/>
  <c r="F503"/>
  <c r="F502"/>
  <c r="F501"/>
  <c r="S305" s="1"/>
  <c r="F500"/>
  <c r="S306" s="1"/>
  <c r="F499"/>
  <c r="F498"/>
  <c r="F497"/>
  <c r="F496"/>
  <c r="F495"/>
  <c r="S307" s="1"/>
  <c r="F494"/>
  <c r="F493"/>
  <c r="F492"/>
  <c r="F491"/>
  <c r="F490"/>
  <c r="F489"/>
  <c r="F488"/>
  <c r="F487"/>
  <c r="F486"/>
  <c r="F485"/>
  <c r="F484"/>
  <c r="F483"/>
  <c r="F482"/>
  <c r="F481"/>
  <c r="S309" s="1"/>
  <c r="F480"/>
  <c r="S310" s="1"/>
  <c r="F479"/>
  <c r="F478"/>
  <c r="F477"/>
  <c r="F476"/>
  <c r="F475"/>
  <c r="F474"/>
  <c r="F473"/>
  <c r="F472"/>
  <c r="F471"/>
  <c r="F470"/>
  <c r="F469"/>
  <c r="F468"/>
  <c r="F467"/>
  <c r="S311" s="1"/>
  <c r="F466"/>
  <c r="F465"/>
  <c r="F464"/>
  <c r="F463"/>
  <c r="S312" s="1"/>
  <c r="F462"/>
  <c r="F461"/>
  <c r="F460"/>
  <c r="F459"/>
  <c r="F458"/>
  <c r="F457"/>
  <c r="F456"/>
  <c r="F455"/>
  <c r="S313" s="1"/>
  <c r="F454"/>
  <c r="F453"/>
  <c r="F452"/>
  <c r="F451"/>
  <c r="F450"/>
  <c r="S314" s="1"/>
  <c r="F449"/>
  <c r="S315" s="1"/>
  <c r="F448"/>
  <c r="F447"/>
  <c r="F446"/>
  <c r="F445"/>
  <c r="S317" s="1"/>
  <c r="F444"/>
  <c r="S318" s="1"/>
  <c r="F443"/>
  <c r="S319" s="1"/>
  <c r="F442"/>
  <c r="F441"/>
  <c r="S321" s="1"/>
  <c r="F440"/>
  <c r="S322" s="1"/>
  <c r="F439"/>
  <c r="S323" s="1"/>
  <c r="F438"/>
  <c r="F437"/>
  <c r="F436"/>
  <c r="F435"/>
  <c r="S325" s="1"/>
  <c r="F434"/>
  <c r="F433"/>
  <c r="S326" s="1"/>
  <c r="F432"/>
  <c r="F431"/>
  <c r="F430"/>
  <c r="F429"/>
  <c r="S327" s="1"/>
  <c r="F428"/>
  <c r="F427"/>
  <c r="S329" s="1"/>
  <c r="F426"/>
  <c r="S330" s="1"/>
  <c r="F425"/>
  <c r="F424"/>
  <c r="S331" s="1"/>
  <c r="F423"/>
  <c r="S332" s="1"/>
  <c r="F422"/>
  <c r="S333" s="1"/>
  <c r="F421"/>
  <c r="S334" s="1"/>
  <c r="F420"/>
  <c r="F419"/>
  <c r="S335" s="1"/>
  <c r="F418"/>
  <c r="F417"/>
  <c r="F416"/>
  <c r="F415"/>
  <c r="F414"/>
  <c r="S338" s="1"/>
  <c r="F413"/>
  <c r="S339" s="1"/>
  <c r="F412"/>
  <c r="F411"/>
  <c r="S341" s="1"/>
  <c r="F410"/>
  <c r="S342" s="1"/>
  <c r="F409"/>
  <c r="F408"/>
  <c r="S343" s="1"/>
  <c r="F407"/>
  <c r="S344" s="1"/>
  <c r="F406"/>
  <c r="S345" s="1"/>
  <c r="F405"/>
  <c r="F404"/>
  <c r="F403"/>
  <c r="S346" s="1"/>
  <c r="F402"/>
  <c r="F401"/>
  <c r="F400"/>
  <c r="F399"/>
  <c r="F398"/>
  <c r="S347" s="1"/>
  <c r="F397"/>
  <c r="F396"/>
  <c r="S349" s="1"/>
  <c r="F395"/>
  <c r="F394"/>
  <c r="S350" s="1"/>
  <c r="F393"/>
  <c r="S351" s="1"/>
  <c r="F392"/>
  <c r="F391"/>
  <c r="S353" s="1"/>
  <c r="F390"/>
  <c r="S354" s="1"/>
  <c r="F389"/>
  <c r="F388"/>
  <c r="S355" s="1"/>
  <c r="F387"/>
  <c r="F386"/>
  <c r="F385"/>
  <c r="F384"/>
  <c r="F383"/>
  <c r="S358" s="1"/>
  <c r="F382"/>
  <c r="F381"/>
  <c r="F380"/>
  <c r="F379"/>
  <c r="S359" s="1"/>
  <c r="F378"/>
  <c r="F377"/>
  <c r="F376"/>
  <c r="S362" s="1"/>
  <c r="F375"/>
  <c r="S363" s="1"/>
  <c r="F374"/>
  <c r="F373"/>
  <c r="F372"/>
  <c r="F371"/>
  <c r="F370"/>
  <c r="F369"/>
  <c r="F368"/>
  <c r="S365" s="1"/>
  <c r="F367"/>
  <c r="F366"/>
  <c r="F365"/>
  <c r="F364"/>
  <c r="S366" s="1"/>
  <c r="F363"/>
  <c r="F362"/>
  <c r="S367" s="1"/>
  <c r="F361"/>
  <c r="F360"/>
  <c r="S369" s="1"/>
  <c r="F359"/>
  <c r="S370" s="1"/>
  <c r="F358"/>
  <c r="F357"/>
  <c r="S371" s="1"/>
  <c r="F356"/>
  <c r="F355"/>
  <c r="F354"/>
  <c r="F353"/>
  <c r="F352"/>
  <c r="F351"/>
  <c r="S373" s="1"/>
  <c r="F350"/>
  <c r="S374" s="1"/>
  <c r="F349"/>
  <c r="S375" s="1"/>
  <c r="F348"/>
  <c r="F347"/>
  <c r="S376" s="1"/>
  <c r="F346"/>
  <c r="S377" s="1"/>
  <c r="F345"/>
  <c r="F344"/>
  <c r="F343"/>
  <c r="F342"/>
  <c r="S378" s="1"/>
  <c r="F341"/>
  <c r="S379" s="1"/>
  <c r="F340"/>
  <c r="F339"/>
  <c r="F338"/>
  <c r="F337"/>
  <c r="F336"/>
  <c r="S382" s="1"/>
  <c r="F335"/>
  <c r="F334"/>
  <c r="F333"/>
  <c r="F332"/>
  <c r="F331"/>
  <c r="S383" s="1"/>
  <c r="F330"/>
  <c r="F329"/>
  <c r="F328"/>
  <c r="S386" s="1"/>
  <c r="F327"/>
  <c r="S387" s="1"/>
  <c r="F326"/>
  <c r="F325"/>
  <c r="F324"/>
  <c r="S390" s="1"/>
  <c r="F323"/>
  <c r="S391" s="1"/>
  <c r="F322"/>
  <c r="F321"/>
  <c r="F320"/>
  <c r="S393" s="1"/>
  <c r="F319"/>
  <c r="S394" s="1"/>
  <c r="F318"/>
  <c r="F317"/>
  <c r="S395" s="1"/>
  <c r="F316"/>
  <c r="F315"/>
  <c r="S397" s="1"/>
  <c r="F314"/>
  <c r="S398" s="1"/>
  <c r="F313"/>
  <c r="S399" s="1"/>
  <c r="F312"/>
  <c r="F311"/>
  <c r="S401" s="1"/>
  <c r="F310"/>
  <c r="F309"/>
  <c r="S402" s="1"/>
  <c r="F308"/>
  <c r="S403" s="1"/>
  <c r="F307"/>
  <c r="F306"/>
  <c r="F305"/>
  <c r="F304"/>
  <c r="F303"/>
  <c r="S405" s="1"/>
  <c r="F302"/>
  <c r="S406" s="1"/>
  <c r="F301"/>
  <c r="S407" s="1"/>
  <c r="F300"/>
  <c r="F299"/>
  <c r="S409" s="1"/>
  <c r="F298"/>
  <c r="S410" s="1"/>
  <c r="F297"/>
  <c r="S411" s="1"/>
  <c r="F296"/>
  <c r="F295"/>
  <c r="S412" s="1"/>
  <c r="F294"/>
  <c r="F293"/>
  <c r="F292"/>
  <c r="F291"/>
  <c r="S413" s="1"/>
  <c r="F290"/>
  <c r="S414" s="1"/>
  <c r="F289"/>
  <c r="S415" s="1"/>
  <c r="F288"/>
  <c r="F287"/>
  <c r="S416" s="1"/>
  <c r="F286"/>
  <c r="S417" s="1"/>
  <c r="F285"/>
  <c r="F284"/>
  <c r="S418" s="1"/>
  <c r="F283"/>
  <c r="F282"/>
  <c r="S419" s="1"/>
  <c r="F281"/>
  <c r="F280"/>
  <c r="F279"/>
  <c r="S420" s="1"/>
  <c r="F278"/>
  <c r="S421" s="1"/>
  <c r="F277"/>
  <c r="F276"/>
  <c r="F275"/>
  <c r="F274"/>
  <c r="F273"/>
  <c r="F272"/>
  <c r="F271"/>
  <c r="F270"/>
  <c r="F269"/>
  <c r="F268"/>
  <c r="S422" s="1"/>
  <c r="F267"/>
  <c r="S423" s="1"/>
  <c r="F266"/>
  <c r="F265"/>
  <c r="F264"/>
  <c r="F263"/>
  <c r="F262"/>
  <c r="F261"/>
  <c r="F260"/>
  <c r="F259"/>
  <c r="S425" s="1"/>
  <c r="F258"/>
  <c r="F257"/>
  <c r="S426" s="1"/>
  <c r="F256"/>
  <c r="F255"/>
  <c r="S427" s="1"/>
  <c r="F254"/>
  <c r="F253"/>
  <c r="F252"/>
  <c r="F251"/>
  <c r="S430" s="1"/>
  <c r="F250"/>
  <c r="S431" s="1"/>
  <c r="F249"/>
  <c r="F248"/>
  <c r="F247"/>
  <c r="S434" s="1"/>
  <c r="F246"/>
  <c r="S435" s="1"/>
  <c r="F245"/>
  <c r="F244"/>
  <c r="F243"/>
  <c r="S438" s="1"/>
  <c r="F242"/>
  <c r="S439" s="1"/>
  <c r="F241"/>
  <c r="F240"/>
  <c r="F239"/>
  <c r="F238"/>
  <c r="F237"/>
  <c r="F236"/>
  <c r="S442" s="1"/>
  <c r="F235"/>
  <c r="S443" s="1"/>
  <c r="F234"/>
  <c r="F233"/>
  <c r="F232"/>
  <c r="F231"/>
  <c r="F230"/>
  <c r="S445" s="1"/>
  <c r="F229"/>
  <c r="F228"/>
  <c r="S446" s="1"/>
  <c r="F227"/>
  <c r="S447" s="1"/>
  <c r="F226"/>
  <c r="F225"/>
  <c r="F224"/>
  <c r="F223"/>
  <c r="F222"/>
  <c r="F221"/>
  <c r="F220"/>
  <c r="S450" s="1"/>
  <c r="F219"/>
  <c r="S451" s="1"/>
  <c r="F218"/>
  <c r="F217"/>
  <c r="F216"/>
  <c r="F215"/>
  <c r="S454" s="1"/>
  <c r="F214"/>
  <c r="S455" s="1"/>
  <c r="F213"/>
  <c r="F212"/>
  <c r="F211"/>
  <c r="S457" s="1"/>
  <c r="F210"/>
  <c r="F209"/>
  <c r="S458" s="1"/>
  <c r="F208"/>
  <c r="S459" s="1"/>
  <c r="F207"/>
  <c r="S460" s="1"/>
  <c r="F206"/>
  <c r="S461" s="1"/>
  <c r="F205"/>
  <c r="F204"/>
  <c r="F203"/>
  <c r="S462" s="1"/>
  <c r="F202"/>
  <c r="S463" s="1"/>
  <c r="F201"/>
  <c r="F200"/>
  <c r="F199"/>
  <c r="S466" s="1"/>
  <c r="F198"/>
  <c r="F197"/>
  <c r="F196"/>
  <c r="S467" s="1"/>
  <c r="F195"/>
  <c r="F194"/>
  <c r="F193"/>
  <c r="F192"/>
  <c r="F191"/>
  <c r="S469" s="1"/>
  <c r="F190"/>
  <c r="S470" s="1"/>
  <c r="F189"/>
  <c r="S471" s="1"/>
  <c r="F188"/>
  <c r="F187"/>
  <c r="S473" s="1"/>
  <c r="F186"/>
  <c r="S474" s="1"/>
  <c r="F185"/>
  <c r="F184"/>
  <c r="S475" s="1"/>
  <c r="F183"/>
  <c r="S476" s="1"/>
  <c r="F182"/>
  <c r="S477" s="1"/>
  <c r="F181"/>
  <c r="S478" s="1"/>
  <c r="F180"/>
  <c r="F179"/>
  <c r="F178"/>
  <c r="S479" s="1"/>
  <c r="F177"/>
  <c r="F176"/>
  <c r="F175"/>
  <c r="S482" s="1"/>
  <c r="F174"/>
  <c r="F173"/>
  <c r="S483" s="1"/>
  <c r="F172"/>
  <c r="F171"/>
  <c r="S485" s="1"/>
  <c r="F170"/>
  <c r="F169"/>
  <c r="S486" s="1"/>
  <c r="F168"/>
  <c r="F167"/>
  <c r="F166"/>
  <c r="S487" s="1"/>
  <c r="F165"/>
  <c r="F164"/>
  <c r="F163"/>
  <c r="F162"/>
  <c r="F161"/>
  <c r="F160"/>
  <c r="S490" s="1"/>
  <c r="F159"/>
  <c r="S491" s="1"/>
  <c r="F158"/>
  <c r="F157"/>
  <c r="F156"/>
  <c r="F155"/>
  <c r="S492" s="1"/>
  <c r="F154"/>
  <c r="S493" s="1"/>
  <c r="F153"/>
  <c r="S494" s="1"/>
  <c r="F152"/>
  <c r="S495" s="1"/>
  <c r="F151"/>
  <c r="F150"/>
  <c r="F149"/>
  <c r="F148"/>
  <c r="F147"/>
  <c r="S497" s="1"/>
  <c r="F146"/>
  <c r="S498" s="1"/>
  <c r="F145"/>
  <c r="S499" s="1"/>
  <c r="F144"/>
  <c r="F143"/>
  <c r="F142"/>
  <c r="S501" s="1"/>
  <c r="F141"/>
  <c r="S502" s="1"/>
  <c r="F140"/>
  <c r="S503" s="1"/>
  <c r="F139"/>
  <c r="F138"/>
  <c r="F137"/>
  <c r="F136"/>
  <c r="F135"/>
  <c r="F134"/>
  <c r="F133"/>
  <c r="F132"/>
  <c r="S506" s="1"/>
  <c r="F131"/>
  <c r="S507" s="1"/>
  <c r="F130"/>
  <c r="F129"/>
  <c r="F128"/>
  <c r="F127"/>
  <c r="F126"/>
  <c r="F125"/>
  <c r="F124"/>
  <c r="F123"/>
  <c r="S509" s="1"/>
  <c r="F122"/>
  <c r="S510" s="1"/>
  <c r="F121"/>
  <c r="F120"/>
  <c r="F119"/>
  <c r="S511" s="1"/>
  <c r="F118"/>
  <c r="F117"/>
  <c r="F116"/>
  <c r="F115"/>
  <c r="S514" s="1"/>
  <c r="F114"/>
  <c r="F113"/>
  <c r="S515" s="1"/>
  <c r="F112"/>
  <c r="F111"/>
  <c r="S517" s="1"/>
  <c r="F110"/>
  <c r="S518" s="1"/>
  <c r="F109"/>
  <c r="F108"/>
  <c r="S519" s="1"/>
  <c r="F107"/>
  <c r="F106"/>
  <c r="F105"/>
  <c r="F104"/>
  <c r="F103"/>
  <c r="S520" s="1"/>
  <c r="F102"/>
  <c r="S521" s="1"/>
  <c r="F101"/>
  <c r="F100"/>
  <c r="F99"/>
  <c r="S522" s="1"/>
  <c r="F98"/>
  <c r="S523" s="1"/>
  <c r="F97"/>
  <c r="F96"/>
  <c r="F95"/>
  <c r="S526" s="1"/>
  <c r="F94"/>
  <c r="S527" s="1"/>
  <c r="F93"/>
  <c r="F92"/>
  <c r="F91"/>
  <c r="S528" s="1"/>
  <c r="F90"/>
  <c r="S529" s="1"/>
  <c r="F89"/>
  <c r="S530" s="1"/>
  <c r="F88"/>
  <c r="F87"/>
  <c r="F86"/>
  <c r="S531" s="1"/>
  <c r="F85"/>
  <c r="F84"/>
  <c r="F83"/>
  <c r="S534" s="1"/>
  <c r="F82"/>
  <c r="S535" s="1"/>
  <c r="F81"/>
  <c r="F80"/>
  <c r="F79"/>
  <c r="S537" s="1"/>
  <c r="F78"/>
  <c r="S538" s="1"/>
  <c r="F77"/>
  <c r="S539" s="1"/>
  <c r="F76"/>
  <c r="F75"/>
  <c r="S541" s="1"/>
  <c r="F74"/>
  <c r="S542" s="1"/>
  <c r="F73"/>
  <c r="F72"/>
  <c r="S543" s="1"/>
  <c r="F71"/>
  <c r="S544" s="1"/>
  <c r="F70"/>
  <c r="F69"/>
  <c r="F68"/>
  <c r="S546" s="1"/>
  <c r="F67"/>
  <c r="F66"/>
  <c r="S547" s="1"/>
  <c r="F65"/>
  <c r="F64"/>
  <c r="F63"/>
  <c r="S550" s="1"/>
  <c r="F62"/>
  <c r="S551" s="1"/>
  <c r="F61"/>
  <c r="F60"/>
  <c r="F59"/>
  <c r="S553" s="1"/>
  <c r="F58"/>
  <c r="F57"/>
  <c r="F56"/>
  <c r="S554" s="1"/>
  <c r="F55"/>
  <c r="S555" s="1"/>
  <c r="F54"/>
  <c r="F53"/>
  <c r="F52"/>
  <c r="F51"/>
  <c r="F50"/>
  <c r="S558" s="1"/>
  <c r="F49"/>
  <c r="F48"/>
  <c r="F47"/>
  <c r="S561" s="1"/>
  <c r="F46"/>
  <c r="S562" s="1"/>
  <c r="F45"/>
  <c r="F44"/>
  <c r="F43"/>
  <c r="S565" s="1"/>
  <c r="F42"/>
  <c r="S566" s="1"/>
  <c r="F41"/>
  <c r="F40"/>
  <c r="F39"/>
  <c r="F38"/>
  <c r="S569" s="1"/>
  <c r="F37"/>
  <c r="S570" s="1"/>
  <c r="F36"/>
  <c r="S571" s="1"/>
  <c r="F35"/>
  <c r="F34"/>
  <c r="F33"/>
  <c r="F32"/>
  <c r="F31"/>
  <c r="S573" s="1"/>
  <c r="F30"/>
  <c r="S574" s="1"/>
  <c r="F29"/>
  <c r="F28"/>
  <c r="F27"/>
  <c r="S577" s="1"/>
  <c r="F26"/>
  <c r="F25"/>
  <c r="S578" s="1"/>
  <c r="F24"/>
  <c r="S579" s="1"/>
  <c r="F23"/>
  <c r="S580" s="1"/>
  <c r="F22"/>
  <c r="S581" s="1"/>
  <c r="F21"/>
  <c r="F20"/>
  <c r="S582" s="1"/>
  <c r="F19"/>
  <c r="S583" s="1"/>
  <c r="F18"/>
  <c r="F17"/>
  <c r="F16"/>
  <c r="F15"/>
  <c r="F14"/>
  <c r="S585" s="1"/>
  <c r="F13"/>
  <c r="S586" s="1"/>
  <c r="F12"/>
  <c r="S587" s="1"/>
  <c r="F11"/>
  <c r="S588" s="1"/>
  <c r="F10"/>
  <c r="F9"/>
  <c r="F8"/>
  <c r="F7"/>
  <c r="S590" s="1"/>
  <c r="F6"/>
  <c r="I112" i="1"/>
  <c r="H112"/>
  <c r="F34" i="4" s="1"/>
  <c r="G112" i="1"/>
  <c r="E34" i="4" s="1"/>
  <c r="F112" i="1"/>
  <c r="D34" i="4" s="1"/>
  <c r="E112" i="1"/>
  <c r="C34" i="4" s="1"/>
  <c r="I107" i="1"/>
  <c r="G29" i="4" s="1"/>
  <c r="H107" i="1"/>
  <c r="F29" i="4" s="1"/>
  <c r="G107" i="1"/>
  <c r="E29" i="4" s="1"/>
  <c r="F107" i="1"/>
  <c r="D29" i="4" s="1"/>
  <c r="E107" i="1"/>
  <c r="C29" i="4" s="1"/>
  <c r="N99" i="1"/>
  <c r="L21" i="4" s="1"/>
  <c r="M99" i="1"/>
  <c r="K21" i="4" s="1"/>
  <c r="L99" i="1"/>
  <c r="J21" i="4" s="1"/>
  <c r="K99" i="1"/>
  <c r="I21" i="4" s="1"/>
  <c r="J99" i="1"/>
  <c r="H21" i="4" s="1"/>
  <c r="I99" i="1"/>
  <c r="G21" i="4" s="1"/>
  <c r="H99" i="1"/>
  <c r="F21" i="4" s="1"/>
  <c r="G99" i="1"/>
  <c r="E21" i="4" s="1"/>
  <c r="F99" i="1"/>
  <c r="D21" i="4" s="1"/>
  <c r="E99" i="1"/>
  <c r="C21" i="4" s="1"/>
  <c r="I94" i="1"/>
  <c r="H94"/>
  <c r="G94"/>
  <c r="F94"/>
  <c r="E94"/>
  <c r="F82"/>
  <c r="G82" s="1"/>
  <c r="H82" s="1"/>
  <c r="I82" s="1"/>
  <c r="J82" s="1"/>
  <c r="K82" s="1"/>
  <c r="L82" s="1"/>
  <c r="M82" s="1"/>
  <c r="N82" s="1"/>
  <c r="I38"/>
  <c r="G16" i="3" s="1"/>
  <c r="H38" i="1"/>
  <c r="F16" i="3" s="1"/>
  <c r="G38" i="1"/>
  <c r="E16" i="3" s="1"/>
  <c r="F38" i="1"/>
  <c r="D16" i="3" s="1"/>
  <c r="E38" i="1"/>
  <c r="C16" i="3" s="1"/>
  <c r="N44" i="1"/>
  <c r="L22" i="3" s="1"/>
  <c r="M44" i="1"/>
  <c r="K22" i="3" s="1"/>
  <c r="L44" i="1"/>
  <c r="J22" i="3" s="1"/>
  <c r="K44" i="1"/>
  <c r="I22" i="3" s="1"/>
  <c r="J44" i="1"/>
  <c r="H22" i="3" s="1"/>
  <c r="I44" i="1"/>
  <c r="G22" i="3" s="1"/>
  <c r="H44" i="1"/>
  <c r="F22" i="3" s="1"/>
  <c r="G44" i="1"/>
  <c r="E22" i="3" s="1"/>
  <c r="F44" i="1"/>
  <c r="D22" i="3" s="1"/>
  <c r="E44" i="1"/>
  <c r="C22" i="3" s="1"/>
  <c r="N56" i="1"/>
  <c r="L34" i="3" s="1"/>
  <c r="M56" i="1"/>
  <c r="K34" i="3" s="1"/>
  <c r="L56" i="1"/>
  <c r="J34" i="3" s="1"/>
  <c r="K56" i="1"/>
  <c r="I34" i="3" s="1"/>
  <c r="J56" i="1"/>
  <c r="H34" i="3" s="1"/>
  <c r="I56" i="1"/>
  <c r="G34" i="3" s="1"/>
  <c r="H56" i="1"/>
  <c r="F34" i="3" s="1"/>
  <c r="G56" i="1"/>
  <c r="E34" i="3" s="1"/>
  <c r="F56" i="1"/>
  <c r="D34" i="3" s="1"/>
  <c r="E56" i="1"/>
  <c r="C34" i="3" s="1"/>
  <c r="F58" i="1"/>
  <c r="N67"/>
  <c r="L45" i="3" s="1"/>
  <c r="M67" i="1"/>
  <c r="K45" i="3" s="1"/>
  <c r="L67" i="1"/>
  <c r="J45" i="3" s="1"/>
  <c r="K67" i="1"/>
  <c r="I45" i="3" s="1"/>
  <c r="J67" i="1"/>
  <c r="H45" i="3" s="1"/>
  <c r="I67" i="1"/>
  <c r="G45" i="3" s="1"/>
  <c r="H67" i="1"/>
  <c r="F45" i="3" s="1"/>
  <c r="G67" i="1"/>
  <c r="E45" i="3" s="1"/>
  <c r="F67" i="1"/>
  <c r="D45" i="3" s="1"/>
  <c r="E67" i="1"/>
  <c r="C45" i="3" s="1"/>
  <c r="I77" i="1"/>
  <c r="H77"/>
  <c r="G77"/>
  <c r="F77"/>
  <c r="E77"/>
  <c r="F26"/>
  <c r="G26" s="1"/>
  <c r="H26" s="1"/>
  <c r="I26" s="1"/>
  <c r="J26" s="1"/>
  <c r="K26" s="1"/>
  <c r="L26" s="1"/>
  <c r="M26" s="1"/>
  <c r="N26" s="1"/>
  <c r="L13"/>
  <c r="K13"/>
  <c r="J13"/>
  <c r="I13"/>
  <c r="H13"/>
  <c r="G13"/>
  <c r="F13"/>
  <c r="E13"/>
  <c r="N5"/>
  <c r="L8" i="2" s="1"/>
  <c r="L3" i="8" s="1"/>
  <c r="M5" i="1"/>
  <c r="L5"/>
  <c r="K5"/>
  <c r="I5"/>
  <c r="H5"/>
  <c r="G5"/>
  <c r="F5"/>
  <c r="E5"/>
  <c r="J5"/>
  <c r="F2"/>
  <c r="G2" s="1"/>
  <c r="H2" s="1"/>
  <c r="I2" s="1"/>
  <c r="J2" s="1"/>
  <c r="K2" s="1"/>
  <c r="L2" s="1"/>
  <c r="M2" s="1"/>
  <c r="N2" s="1"/>
  <c r="I79" l="1"/>
  <c r="G57" i="3" s="1"/>
  <c r="G5" i="8" s="1"/>
  <c r="G55" i="3"/>
  <c r="E6" i="5"/>
  <c r="E8" s="1"/>
  <c r="E16" i="4"/>
  <c r="D6" i="5"/>
  <c r="D8" s="1"/>
  <c r="D16" i="4"/>
  <c r="G79" i="1"/>
  <c r="E57" i="3" s="1"/>
  <c r="E5" i="8" s="1"/>
  <c r="E55" i="3"/>
  <c r="C6" i="5"/>
  <c r="C8" s="1"/>
  <c r="C16" i="4"/>
  <c r="G6" i="5"/>
  <c r="G8" s="1"/>
  <c r="G16" i="4"/>
  <c r="J110" i="1"/>
  <c r="H32" i="4" s="1"/>
  <c r="G34"/>
  <c r="I58" i="1"/>
  <c r="H58"/>
  <c r="E79"/>
  <c r="C57" i="3" s="1"/>
  <c r="C5" i="8" s="1"/>
  <c r="C55" i="3"/>
  <c r="N12" i="1"/>
  <c r="K15" i="2"/>
  <c r="H79" i="1"/>
  <c r="F57" i="3" s="1"/>
  <c r="F5" i="8" s="1"/>
  <c r="F55" i="3"/>
  <c r="F79" i="1"/>
  <c r="D57" i="3" s="1"/>
  <c r="D5" i="8" s="1"/>
  <c r="D55" i="3"/>
  <c r="F6" i="5"/>
  <c r="F8" s="1"/>
  <c r="F16" i="4"/>
  <c r="E58" i="1"/>
  <c r="G58"/>
  <c r="G9"/>
  <c r="E12" i="2" s="1"/>
  <c r="E15" i="8" s="1"/>
  <c r="E8" i="2"/>
  <c r="E3" i="8" s="1"/>
  <c r="I9" i="1"/>
  <c r="G12" i="2" s="1"/>
  <c r="G15" i="8" s="1"/>
  <c r="G8" i="2"/>
  <c r="G3" i="8" s="1"/>
  <c r="N9" i="1"/>
  <c r="N84" s="1"/>
  <c r="L6" i="4" s="1"/>
  <c r="F9" i="1"/>
  <c r="D12" i="2" s="1"/>
  <c r="D15" i="8" s="1"/>
  <c r="D8" i="2"/>
  <c r="D3" i="8" s="1"/>
  <c r="H9" i="1"/>
  <c r="F12" i="2" s="1"/>
  <c r="F15" i="8" s="1"/>
  <c r="F8" i="2"/>
  <c r="F3" i="8" s="1"/>
  <c r="E9" i="1"/>
  <c r="C12" i="2" s="1"/>
  <c r="C15" i="8" s="1"/>
  <c r="C8" i="2"/>
  <c r="C3" i="8" s="1"/>
  <c r="M9" i="1"/>
  <c r="M16" s="1"/>
  <c r="K19" i="2" s="1"/>
  <c r="K8"/>
  <c r="K3" i="8" s="1"/>
  <c r="L9" i="1"/>
  <c r="J12" i="2" s="1"/>
  <c r="J15" i="8" s="1"/>
  <c r="J8" i="2"/>
  <c r="J3" i="8" s="1"/>
  <c r="K9" i="1"/>
  <c r="K16" s="1"/>
  <c r="I19" i="2" s="1"/>
  <c r="I8"/>
  <c r="I3" i="8" s="1"/>
  <c r="J9" i="1"/>
  <c r="J16" s="1"/>
  <c r="H19" i="2" s="1"/>
  <c r="H8"/>
  <c r="H3" i="8" s="1"/>
  <c r="L16" i="1"/>
  <c r="J19" i="2" s="1"/>
  <c r="M13" i="1"/>
  <c r="I29" i="5"/>
  <c r="I30"/>
  <c r="I28"/>
  <c r="H16" i="1"/>
  <c r="I16"/>
  <c r="F8" i="8" l="1"/>
  <c r="F9"/>
  <c r="C9"/>
  <c r="C8"/>
  <c r="G9"/>
  <c r="G8"/>
  <c r="N13" i="1"/>
  <c r="N16" s="1"/>
  <c r="L19" i="2" s="1"/>
  <c r="L15"/>
  <c r="D8" i="8"/>
  <c r="D9"/>
  <c r="E8"/>
  <c r="E9"/>
  <c r="G16" i="1"/>
  <c r="L12" i="2"/>
  <c r="L15" i="8" s="1"/>
  <c r="G20" i="1"/>
  <c r="E23" i="2" s="1"/>
  <c r="E19"/>
  <c r="H20" i="1"/>
  <c r="F23" i="2" s="1"/>
  <c r="F19"/>
  <c r="I20" i="1"/>
  <c r="G23" i="2" s="1"/>
  <c r="G19"/>
  <c r="E16" i="1"/>
  <c r="C19" i="2" s="1"/>
  <c r="F16" i="1"/>
  <c r="L84"/>
  <c r="J6" i="4" s="1"/>
  <c r="M84" i="1"/>
  <c r="K6" i="4" s="1"/>
  <c r="K12" i="2"/>
  <c r="K15" i="8" s="1"/>
  <c r="K84" i="1"/>
  <c r="I6" i="4" s="1"/>
  <c r="I12" i="2"/>
  <c r="I15" i="8" s="1"/>
  <c r="J84" i="1"/>
  <c r="H6" i="4" s="1"/>
  <c r="H12" i="2"/>
  <c r="H15" i="8" s="1"/>
  <c r="D18" i="1"/>
  <c r="H122"/>
  <c r="H124" s="1"/>
  <c r="H125" s="1"/>
  <c r="C27" i="5"/>
  <c r="C30" s="1"/>
  <c r="G122" i="1" l="1"/>
  <c r="G124" s="1"/>
  <c r="G125" s="1"/>
  <c r="E20"/>
  <c r="I122"/>
  <c r="I124" s="1"/>
  <c r="I125" s="1"/>
  <c r="F20"/>
  <c r="D19" i="2"/>
  <c r="G12" i="8"/>
  <c r="G4" i="5"/>
  <c r="G13" i="8"/>
  <c r="G4"/>
  <c r="F13"/>
  <c r="F4"/>
  <c r="F12"/>
  <c r="F4" i="5"/>
  <c r="E12" i="8"/>
  <c r="E4" i="5"/>
  <c r="E13" i="8"/>
  <c r="E4"/>
  <c r="E122" i="1"/>
  <c r="E124" s="1"/>
  <c r="E125" s="1"/>
  <c r="C23" i="2"/>
  <c r="C31" i="5"/>
  <c r="L9"/>
  <c r="J9"/>
  <c r="H9"/>
  <c r="F9"/>
  <c r="F11" s="1"/>
  <c r="D9"/>
  <c r="D11" s="1"/>
  <c r="N18" i="1"/>
  <c r="L21" i="2" s="1"/>
  <c r="L18" i="1"/>
  <c r="J21" i="2" s="1"/>
  <c r="J18" i="1"/>
  <c r="H21" i="2" s="1"/>
  <c r="K9" i="5"/>
  <c r="I9"/>
  <c r="G9"/>
  <c r="G11" s="1"/>
  <c r="E9"/>
  <c r="E11" s="1"/>
  <c r="C9"/>
  <c r="C11" s="1"/>
  <c r="M18" i="1"/>
  <c r="K21" i="2" s="1"/>
  <c r="K18" i="1"/>
  <c r="I21" i="2" s="1"/>
  <c r="D23" l="1"/>
  <c r="F122" i="1"/>
  <c r="F124" s="1"/>
  <c r="F125" s="1"/>
  <c r="C13" i="8"/>
  <c r="C4" i="5"/>
  <c r="C4" i="8"/>
  <c r="C12"/>
  <c r="K93" i="1"/>
  <c r="K20"/>
  <c r="L93"/>
  <c r="L20"/>
  <c r="M93"/>
  <c r="M20"/>
  <c r="J93"/>
  <c r="J20"/>
  <c r="N93"/>
  <c r="N20"/>
  <c r="D13" i="8" l="1"/>
  <c r="D4"/>
  <c r="D12"/>
  <c r="D4" i="5"/>
  <c r="N94" i="1"/>
  <c r="L15" i="4"/>
  <c r="M94" i="1"/>
  <c r="K15" i="4"/>
  <c r="L94" i="1"/>
  <c r="J15" i="4"/>
  <c r="K94" i="1"/>
  <c r="I15" i="4"/>
  <c r="L23" i="2"/>
  <c r="N22" i="1"/>
  <c r="L25" i="2" s="1"/>
  <c r="M22" i="1"/>
  <c r="K25" i="2" s="1"/>
  <c r="K23"/>
  <c r="J23"/>
  <c r="L22" i="1"/>
  <c r="J25" i="2" s="1"/>
  <c r="K22" i="1"/>
  <c r="I25" i="2" s="1"/>
  <c r="I23"/>
  <c r="H23"/>
  <c r="J22" i="1"/>
  <c r="H25" i="2" s="1"/>
  <c r="J94" i="1"/>
  <c r="H15" i="4"/>
  <c r="N122" i="1"/>
  <c r="J122"/>
  <c r="J37" s="1"/>
  <c r="M122"/>
  <c r="L122"/>
  <c r="K122"/>
  <c r="K124" s="1"/>
  <c r="K125" s="1"/>
  <c r="K37" l="1"/>
  <c r="H15" i="3"/>
  <c r="J38" i="1"/>
  <c r="I4" i="8"/>
  <c r="K4"/>
  <c r="H4"/>
  <c r="J4"/>
  <c r="L4"/>
  <c r="L106" i="1"/>
  <c r="J28" i="4" s="1"/>
  <c r="L124" i="1"/>
  <c r="L125" s="1"/>
  <c r="M106"/>
  <c r="M124"/>
  <c r="M125" s="1"/>
  <c r="I6" i="5"/>
  <c r="I8" s="1"/>
  <c r="I11" s="1"/>
  <c r="I16" i="4"/>
  <c r="J6" i="5"/>
  <c r="J8" s="1"/>
  <c r="J11" s="1"/>
  <c r="J16" i="4"/>
  <c r="L6" i="5"/>
  <c r="L8" s="1"/>
  <c r="L11" s="1"/>
  <c r="L16" i="4"/>
  <c r="N106" i="1"/>
  <c r="N124"/>
  <c r="N125" s="1"/>
  <c r="K6" i="5"/>
  <c r="K8" s="1"/>
  <c r="K11" s="1"/>
  <c r="K16" i="4"/>
  <c r="J106" i="1"/>
  <c r="J124"/>
  <c r="J125" s="1"/>
  <c r="H6" i="5"/>
  <c r="H8" s="1"/>
  <c r="H11" s="1"/>
  <c r="H16" i="4"/>
  <c r="K107" i="1"/>
  <c r="I28" i="4"/>
  <c r="J107" i="1"/>
  <c r="H28" i="4"/>
  <c r="M107" i="1"/>
  <c r="K28" i="4"/>
  <c r="N107" i="1"/>
  <c r="L28" i="4"/>
  <c r="L107" i="1" l="1"/>
  <c r="H16" i="3"/>
  <c r="J58" i="1"/>
  <c r="L37"/>
  <c r="I15" i="3"/>
  <c r="K38" i="1"/>
  <c r="N109"/>
  <c r="L31" i="4" s="1"/>
  <c r="L29"/>
  <c r="M109" i="1"/>
  <c r="K31" i="4" s="1"/>
  <c r="K29"/>
  <c r="L109" i="1"/>
  <c r="J31" i="4" s="1"/>
  <c r="J29"/>
  <c r="J109" i="1"/>
  <c r="H29" i="4"/>
  <c r="K109" i="1"/>
  <c r="I29" i="4"/>
  <c r="H12" i="8" l="1"/>
  <c r="I16" i="3"/>
  <c r="I12" i="8" s="1"/>
  <c r="K58" i="1"/>
  <c r="M37"/>
  <c r="J15" i="3"/>
  <c r="L38" i="1"/>
  <c r="I31" i="4"/>
  <c r="J112" i="1"/>
  <c r="J76" s="1"/>
  <c r="H31" i="4"/>
  <c r="J16" i="3" l="1"/>
  <c r="J12" i="8" s="1"/>
  <c r="L58" i="1"/>
  <c r="N37"/>
  <c r="K15" i="3"/>
  <c r="M38" i="1"/>
  <c r="H54" i="3"/>
  <c r="J77" i="1"/>
  <c r="K110"/>
  <c r="H34" i="4"/>
  <c r="K16" i="3" l="1"/>
  <c r="M58" i="1"/>
  <c r="L15" i="3"/>
  <c r="N38" i="1"/>
  <c r="J79"/>
  <c r="H57" i="3" s="1"/>
  <c r="H55"/>
  <c r="I32" i="4"/>
  <c r="K112" i="1"/>
  <c r="K76" s="1"/>
  <c r="K12" i="8" l="1"/>
  <c r="L16" i="3"/>
  <c r="L12" i="8" s="1"/>
  <c r="N58" i="1"/>
  <c r="H9" i="8"/>
  <c r="H8"/>
  <c r="H4" i="5"/>
  <c r="H5" i="8"/>
  <c r="H13"/>
  <c r="I54" i="3"/>
  <c r="K77" i="1"/>
  <c r="L110"/>
  <c r="I34" i="4"/>
  <c r="C33" i="5" l="1"/>
  <c r="C34" s="1"/>
  <c r="K79" i="1"/>
  <c r="I57" i="3" s="1"/>
  <c r="I55"/>
  <c r="L112" i="1"/>
  <c r="L76" s="1"/>
  <c r="J32" i="4"/>
  <c r="I8" i="8" l="1"/>
  <c r="I9"/>
  <c r="I4" i="5"/>
  <c r="I5" i="8"/>
  <c r="I13"/>
  <c r="J54" i="3"/>
  <c r="L77" i="1"/>
  <c r="M110"/>
  <c r="J34" i="4"/>
  <c r="L79" i="1" l="1"/>
  <c r="J57" i="3" s="1"/>
  <c r="J55"/>
  <c r="M112" i="1"/>
  <c r="M76" s="1"/>
  <c r="K32" i="4"/>
  <c r="J9" i="8" l="1"/>
  <c r="J8"/>
  <c r="J4" i="5"/>
  <c r="J5" i="8"/>
  <c r="J13"/>
  <c r="K54" i="3"/>
  <c r="M77" i="1"/>
  <c r="N110"/>
  <c r="K34" i="4"/>
  <c r="M79" i="1" l="1"/>
  <c r="K57" i="3" s="1"/>
  <c r="K55"/>
  <c r="N112" i="1"/>
  <c r="L32" i="4"/>
  <c r="K8" i="8" l="1"/>
  <c r="K9"/>
  <c r="K4" i="5"/>
  <c r="K5" i="8"/>
  <c r="K13"/>
  <c r="L34" i="4"/>
  <c r="N76" i="1"/>
  <c r="L54" i="3" l="1"/>
  <c r="N77" i="1"/>
  <c r="N79" l="1"/>
  <c r="L57" i="3" s="1"/>
  <c r="L55"/>
  <c r="L9" i="8" l="1"/>
  <c r="L8"/>
  <c r="L4" i="5"/>
  <c r="C29" s="1"/>
  <c r="C36" s="1"/>
  <c r="L5" i="8"/>
  <c r="L13"/>
  <c r="C37" i="5" l="1"/>
  <c r="L12" s="1"/>
  <c r="L14" s="1"/>
  <c r="C15" s="1"/>
  <c r="L13"/>
  <c r="I13"/>
  <c r="K13"/>
  <c r="G13"/>
  <c r="H13"/>
  <c r="J13"/>
  <c r="C16" l="1"/>
  <c r="C17" s="1"/>
  <c r="C19" s="1"/>
  <c r="C20" s="1"/>
  <c r="C21" s="1"/>
  <c r="C22" s="1"/>
</calcChain>
</file>

<file path=xl/sharedStrings.xml><?xml version="1.0" encoding="utf-8"?>
<sst xmlns="http://schemas.openxmlformats.org/spreadsheetml/2006/main" count="2729" uniqueCount="253">
  <si>
    <t>Gross profit</t>
  </si>
  <si>
    <t>Operating profit</t>
  </si>
  <si>
    <t>Profit before taxation</t>
  </si>
  <si>
    <t>Profit after taxation</t>
  </si>
  <si>
    <t>(Rupees in 000)</t>
  </si>
  <si>
    <t>Revenue from contracts with customers</t>
  </si>
  <si>
    <t>Cost of goods sold</t>
  </si>
  <si>
    <t>Distribution and selling expenses</t>
  </si>
  <si>
    <t>Administration expenses</t>
  </si>
  <si>
    <t>Finance cost</t>
  </si>
  <si>
    <t>Other expenses</t>
  </si>
  <si>
    <t>Other income</t>
  </si>
  <si>
    <t>Taxation</t>
  </si>
  <si>
    <t>Earnings per share basic and diluted (Rupees)</t>
  </si>
  <si>
    <t>EQUITY AND LIABILITIES</t>
  </si>
  <si>
    <t>Share capital and reserves</t>
  </si>
  <si>
    <t>Authorized capital</t>
  </si>
  <si>
    <t>75,000,000 (2016: 75,000,000) ordinary shares of Rs. 10 each</t>
  </si>
  <si>
    <t>Issued, subscribed and paid up capital</t>
  </si>
  <si>
    <t>Share premium</t>
  </si>
  <si>
    <t>General reserve</t>
  </si>
  <si>
    <t>Hedging reserve</t>
  </si>
  <si>
    <t>Accumulated profit</t>
  </si>
  <si>
    <t>Non-current liabilities</t>
  </si>
  <si>
    <t>Long term finances - secured</t>
  </si>
  <si>
    <t>Deferred taxation</t>
  </si>
  <si>
    <t>Retirement benefits</t>
  </si>
  <si>
    <t>Current liabilities</t>
  </si>
  <si>
    <t>Current portion of long term finances -secured</t>
  </si>
  <si>
    <t>Short term borrowings - secured</t>
  </si>
  <si>
    <t>Short term running finance under mark-up arrangements - secured</t>
  </si>
  <si>
    <t>Customer security deposits - interest free</t>
  </si>
  <si>
    <t>Income tax - net</t>
  </si>
  <si>
    <t>Trade and other payables</t>
  </si>
  <si>
    <t>Interest and mark-up accrued</t>
  </si>
  <si>
    <t>(Rupees in ‘000)</t>
  </si>
  <si>
    <t>ASSETS</t>
  </si>
  <si>
    <t>Non-current assets</t>
  </si>
  <si>
    <t>Property, plant and equipment</t>
  </si>
  <si>
    <t>Capital work-in-progress</t>
  </si>
  <si>
    <t>Intangible assets</t>
  </si>
  <si>
    <t>Long term loans and advances</t>
  </si>
  <si>
    <t>Long term deposits and prepayments</t>
  </si>
  <si>
    <t>Current assets</t>
  </si>
  <si>
    <t>Stores and spares</t>
  </si>
  <si>
    <t>Stock in trade</t>
  </si>
  <si>
    <t>Trade debts</t>
  </si>
  <si>
    <t>Current portion of long term loans and advances</t>
  </si>
  <si>
    <t>Sales tax refundable - net</t>
  </si>
  <si>
    <t>Advances, deposits, prepayments and other receivables</t>
  </si>
  <si>
    <t>Cash and bank balances</t>
  </si>
  <si>
    <t>Unclaimed dividend</t>
  </si>
  <si>
    <t>Contract liabilities</t>
  </si>
  <si>
    <t>Lease Liabilties</t>
  </si>
  <si>
    <t>Cash flow from operating activities</t>
  </si>
  <si>
    <t>Decrease in long term loans - net</t>
  </si>
  <si>
    <t>Increase / (decrease) in customer security deposits - interest free</t>
  </si>
  <si>
    <t>Defined benefits paid</t>
  </si>
  <si>
    <t>Workers’ profit participation fund paid</t>
  </si>
  <si>
    <t>Income taxes paid</t>
  </si>
  <si>
    <t>Net cash generated from operating activities</t>
  </si>
  <si>
    <t>Cash flow from investing activities</t>
  </si>
  <si>
    <t>Fixed capital expenditure</t>
  </si>
  <si>
    <t>Net cash used in investing activities</t>
  </si>
  <si>
    <t>Cash flow from financing activities</t>
  </si>
  <si>
    <t>Finance cost paid</t>
  </si>
  <si>
    <t>Long term finances - net</t>
  </si>
  <si>
    <t>Lease liabilities - net</t>
  </si>
  <si>
    <t>Short term borrowings - net</t>
  </si>
  <si>
    <t>Dividend paid</t>
  </si>
  <si>
    <t>Net cash used in financing activities</t>
  </si>
  <si>
    <t>Net increase / (decrease) in cash and cash equivalents</t>
  </si>
  <si>
    <t>Cash and cash equivalents at beginning of the year</t>
  </si>
  <si>
    <t>Cash generated from operations</t>
  </si>
  <si>
    <t>Sale proceeds from disposal of property, plant and equipment</t>
  </si>
  <si>
    <t xml:space="preserve">Cash and cash equivalents at end of the year </t>
  </si>
  <si>
    <t>(Increase) / decrease in long term deposits and prepayments</t>
  </si>
  <si>
    <t>Retirement benefits paid</t>
  </si>
  <si>
    <t>Workers’ welfare fund paid</t>
  </si>
  <si>
    <t>KSE100</t>
  </si>
  <si>
    <t>Date</t>
  </si>
  <si>
    <t>Price</t>
  </si>
  <si>
    <t>Code</t>
  </si>
  <si>
    <t>Return</t>
  </si>
  <si>
    <t>MLKP</t>
  </si>
  <si>
    <t>KSE</t>
  </si>
  <si>
    <t>Return on Capital Employed</t>
  </si>
  <si>
    <t>FCFF</t>
  </si>
  <si>
    <t>Interest after tax</t>
  </si>
  <si>
    <t>Net Borrowing</t>
  </si>
  <si>
    <t>FCFE</t>
  </si>
  <si>
    <t>Terminal Value</t>
  </si>
  <si>
    <t>PV of FCFE</t>
  </si>
  <si>
    <t>PV of constant growth</t>
  </si>
  <si>
    <t>VALUE OF EQUITY</t>
  </si>
  <si>
    <t>Value per share</t>
  </si>
  <si>
    <t>Capital Gains</t>
  </si>
  <si>
    <t>DECISION</t>
  </si>
  <si>
    <t>Valuation Basis</t>
  </si>
  <si>
    <t>Risk free rate</t>
  </si>
  <si>
    <t>PIB</t>
  </si>
  <si>
    <t>Annual Returns</t>
  </si>
  <si>
    <t>Beta</t>
  </si>
  <si>
    <t>Close</t>
  </si>
  <si>
    <t>market return</t>
  </si>
  <si>
    <t>kse100</t>
  </si>
  <si>
    <t>retention ratio</t>
  </si>
  <si>
    <t>Return on capital employed</t>
  </si>
  <si>
    <t>CAPM Ke</t>
  </si>
  <si>
    <t>Tax rate</t>
  </si>
  <si>
    <t>cost of debt</t>
  </si>
  <si>
    <t>Weight of equity</t>
  </si>
  <si>
    <t>Retention Ratio</t>
  </si>
  <si>
    <t>Weight of debt</t>
  </si>
  <si>
    <t>Year</t>
  </si>
  <si>
    <t>Profit</t>
  </si>
  <si>
    <t>Dividend</t>
  </si>
  <si>
    <t>Retention ratio</t>
  </si>
  <si>
    <t>Ordinary shares</t>
  </si>
  <si>
    <t>WACC</t>
  </si>
  <si>
    <t>Constant Growth Rate</t>
  </si>
  <si>
    <t>Sales</t>
  </si>
  <si>
    <t>Annual GDP Growth Rate</t>
  </si>
  <si>
    <t>Inflation Rate</t>
  </si>
  <si>
    <t>Population Growth rate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</si>
  <si>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</si>
  <si>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</si>
  <si>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</si>
  <si>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</si>
  <si>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</si>
  <si>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</si>
  <si>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</si>
  <si>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</si>
  <si>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</si>
  <si>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</si>
  <si>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</si>
  <si>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</si>
  <si>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</si>
  <si>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</si>
  <si>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</si>
  <si>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</si>
  <si>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</si>
  <si>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</si>
  <si>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</si>
  <si>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</si>
  <si>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</si>
  <si>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</si>
  <si>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</si>
  <si>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</si>
  <si>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</si>
  <si>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</si>
  <si>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</si>
  <si>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Cost of Sales</t>
  </si>
  <si>
    <t>Total debt</t>
  </si>
  <si>
    <t>PPE</t>
  </si>
  <si>
    <t>DPO</t>
  </si>
  <si>
    <t>Dividends</t>
  </si>
  <si>
    <t>Net profit</t>
  </si>
  <si>
    <t>% of PPE</t>
  </si>
  <si>
    <t>% of next years sales</t>
  </si>
  <si>
    <t>Avg Tax Rate</t>
  </si>
  <si>
    <t>% of Sales</t>
  </si>
  <si>
    <t>% of sales</t>
  </si>
  <si>
    <t>% of COGS</t>
  </si>
  <si>
    <t>Dividend per share</t>
  </si>
  <si>
    <t>RR</t>
  </si>
  <si>
    <t>% of long term finances</t>
  </si>
  <si>
    <t>% of Total Debt</t>
  </si>
  <si>
    <t xml:space="preserve">Profitability </t>
  </si>
  <si>
    <t>Gross Profit Margin</t>
  </si>
  <si>
    <t>Net Profit Margin</t>
  </si>
  <si>
    <t>Asset Turnover</t>
  </si>
  <si>
    <t>Liquidity Ratios</t>
  </si>
  <si>
    <t>Current Ratio</t>
  </si>
  <si>
    <t>Acid Test Ratio</t>
  </si>
  <si>
    <t xml:space="preserve">Valuation </t>
  </si>
  <si>
    <t>ROE</t>
  </si>
  <si>
    <t>ROA</t>
  </si>
  <si>
    <t>Leverage</t>
  </si>
  <si>
    <t>Interest Coverage Ratio</t>
  </si>
  <si>
    <t>Profit &amp; Loss</t>
  </si>
  <si>
    <t>Historical</t>
  </si>
  <si>
    <t>Forecasted</t>
  </si>
  <si>
    <t>Statement of Financial Position</t>
  </si>
  <si>
    <t>Statement of Cash Flow</t>
  </si>
  <si>
    <t>Forecast Basis</t>
  </si>
  <si>
    <t>Raw and packing materials consumed</t>
  </si>
  <si>
    <t>Fuel and power</t>
  </si>
  <si>
    <t>Insurance</t>
  </si>
  <si>
    <t>Repairs, maintenance and stores consumption</t>
  </si>
  <si>
    <t>Rent, rates and taxes</t>
  </si>
  <si>
    <t>Expenses on information technology</t>
  </si>
  <si>
    <t>Stationery expenses</t>
  </si>
  <si>
    <t>Communication</t>
  </si>
  <si>
    <t>Quality assurance</t>
  </si>
  <si>
    <t>Royalty and technical assistance fee - associated company</t>
  </si>
  <si>
    <t>Others</t>
  </si>
  <si>
    <t>Decrease / (increase) in work in process</t>
  </si>
  <si>
    <t>Cost of goods manufactured</t>
  </si>
  <si>
    <t>Decrease / (increase) in finished goods</t>
  </si>
  <si>
    <t>Cost of goods sold - own manufactured</t>
  </si>
  <si>
    <t>Cost of goods sold - purchased for resale</t>
  </si>
  <si>
    <t>26    Distribution and selling expenses</t>
  </si>
  <si>
    <t>Training</t>
  </si>
  <si>
    <t>Freight outward</t>
  </si>
  <si>
    <t>Sales promotion and advertisement</t>
  </si>
  <si>
    <t>Legal and professional charges</t>
  </si>
  <si>
    <t>Vehicle running and maintenance</t>
  </si>
  <si>
    <t>Utilities</t>
  </si>
  <si>
    <t>Repairs and maintenance</t>
  </si>
  <si>
    <t>Subscription, stationery, printing and publication</t>
  </si>
  <si>
    <t>Communications</t>
  </si>
  <si>
    <t>Travelling, conveyance and vehicle running</t>
  </si>
  <si>
    <t>Provision for doubtful advances/debts - net</t>
  </si>
  <si>
    <t>Salaries, wages and amenities</t>
  </si>
  <si>
    <t>Depreciation on property, plant and equipment</t>
  </si>
  <si>
    <t>Amortization of intangible assets</t>
  </si>
  <si>
    <t>25.1  Salaries, wages and amenities</t>
  </si>
  <si>
    <t>27    Administration expenses</t>
  </si>
  <si>
    <t>Vehicles running and maintenance</t>
  </si>
  <si>
    <t>Travelling and conveyance</t>
  </si>
  <si>
    <t>24    Sales- net</t>
  </si>
  <si>
    <t>Own manufactured</t>
  </si>
  <si>
    <t>Local</t>
  </si>
  <si>
    <t>Export</t>
  </si>
  <si>
    <t>Goods purchased for resale</t>
  </si>
  <si>
    <t>Less :</t>
  </si>
  <si>
    <t>Sales tax</t>
  </si>
  <si>
    <t>Trade discounts</t>
  </si>
  <si>
    <t>Exchange Rate</t>
  </si>
  <si>
    <t>Local Sales</t>
  </si>
  <si>
    <t>Export Sales</t>
  </si>
  <si>
    <t>Local sales regression</t>
  </si>
  <si>
    <t>X Variable 4</t>
  </si>
  <si>
    <t>Export Sales regression</t>
  </si>
  <si>
    <t>Capacity</t>
  </si>
  <si>
    <t>Production</t>
  </si>
  <si>
    <t>Non-liquid products -  in thousand</t>
  </si>
  <si>
    <t>Liquid products -  in thousand</t>
  </si>
  <si>
    <t>Basis of prodcution capacity</t>
  </si>
  <si>
    <t>COGS</t>
  </si>
  <si>
    <t>S&amp;D exp</t>
  </si>
  <si>
    <t>Admin exp</t>
  </si>
  <si>
    <t>Salaries and wages</t>
  </si>
  <si>
    <t>Regression on basis of sales to total salaries</t>
  </si>
  <si>
    <t>% of Stores and spares</t>
  </si>
  <si>
    <t>% of intangible assets</t>
  </si>
  <si>
    <t>NAME</t>
  </si>
  <si>
    <t>SNEHA IQBAL</t>
  </si>
  <si>
    <t>COURSE</t>
  </si>
  <si>
    <t>SECURITY ANALYSIS</t>
  </si>
  <si>
    <t>CODE</t>
  </si>
  <si>
    <t>ERP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</si>
</sst>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0000%"/>
    <numFmt numFmtId="166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22222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" fillId="0" borderId="0"/>
  </cellStyleXfs>
  <cellXfs count="73">
    <xf numFmtId="0" fontId="0" fillId="0" borderId="0" xfId="0"/>
    <xf numFmtId="3" fontId="0" fillId="0" borderId="0" xfId="0" applyNumberFormat="1"/>
    <xf numFmtId="37" fontId="0" fillId="0" borderId="0" xfId="0" applyNumberFormat="1"/>
    <xf numFmtId="2" fontId="0" fillId="0" borderId="0" xfId="0" applyNumberFormat="1"/>
    <xf numFmtId="0" fontId="2" fillId="0" borderId="0" xfId="0" applyFont="1"/>
    <xf numFmtId="164" fontId="2" fillId="0" borderId="0" xfId="1" applyFont="1"/>
    <xf numFmtId="164" fontId="0" fillId="0" borderId="0" xfId="0" applyNumberFormat="1"/>
    <xf numFmtId="0" fontId="0" fillId="0" borderId="0" xfId="0" applyFont="1"/>
    <xf numFmtId="0" fontId="2" fillId="0" borderId="0" xfId="0" applyFont="1" applyAlignment="1">
      <alignment horizontal="center"/>
    </xf>
    <xf numFmtId="15" fontId="0" fillId="0" borderId="0" xfId="0" applyNumberFormat="1" applyFont="1"/>
    <xf numFmtId="4" fontId="0" fillId="0" borderId="0" xfId="0" applyNumberFormat="1" applyFont="1"/>
    <xf numFmtId="0" fontId="0" fillId="0" borderId="0" xfId="0" applyFont="1" applyAlignment="1">
      <alignment horizontal="center"/>
    </xf>
    <xf numFmtId="9" fontId="0" fillId="0" borderId="0" xfId="2" applyFont="1" applyFill="1" applyAlignment="1">
      <alignment horizontal="center"/>
    </xf>
    <xf numFmtId="164" fontId="0" fillId="0" borderId="0" xfId="1" applyFont="1"/>
    <xf numFmtId="10" fontId="0" fillId="0" borderId="0" xfId="0" applyNumberFormat="1" applyFont="1" applyAlignment="1">
      <alignment horizontal="center"/>
    </xf>
    <xf numFmtId="164" fontId="4" fillId="0" borderId="0" xfId="1" applyFont="1" applyFill="1" applyAlignment="1">
      <alignment horizontal="center"/>
    </xf>
    <xf numFmtId="164" fontId="0" fillId="0" borderId="0" xfId="1" applyFont="1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164" fontId="0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9" fontId="6" fillId="0" borderId="0" xfId="2" applyFont="1" applyFill="1" applyBorder="1"/>
    <xf numFmtId="0" fontId="6" fillId="0" borderId="0" xfId="3" applyFont="1"/>
    <xf numFmtId="164" fontId="6" fillId="0" borderId="0" xfId="1" applyFont="1" applyFill="1" applyBorder="1"/>
    <xf numFmtId="0" fontId="8" fillId="0" borderId="0" xfId="0" applyFont="1"/>
    <xf numFmtId="164" fontId="7" fillId="0" borderId="0" xfId="1" applyFont="1" applyFill="1" applyBorder="1"/>
    <xf numFmtId="164" fontId="6" fillId="0" borderId="0" xfId="0" applyNumberFormat="1" applyFont="1"/>
    <xf numFmtId="0" fontId="9" fillId="0" borderId="0" xfId="0" applyFont="1"/>
    <xf numFmtId="0" fontId="10" fillId="0" borderId="0" xfId="0" applyFont="1"/>
    <xf numFmtId="1" fontId="11" fillId="0" borderId="0" xfId="0" applyNumberFormat="1" applyFont="1" applyAlignment="1">
      <alignment horizontal="center"/>
    </xf>
    <xf numFmtId="1" fontId="10" fillId="0" borderId="0" xfId="0" applyNumberFormat="1" applyFont="1"/>
    <xf numFmtId="10" fontId="6" fillId="0" borderId="0" xfId="0" applyNumberFormat="1" applyFont="1"/>
    <xf numFmtId="10" fontId="6" fillId="0" borderId="0" xfId="2" applyNumberFormat="1" applyFont="1" applyFill="1" applyBorder="1"/>
    <xf numFmtId="1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5" fontId="6" fillId="0" borderId="0" xfId="4" applyNumberFormat="1" applyFont="1" applyAlignment="1">
      <alignment horizontal="center"/>
    </xf>
    <xf numFmtId="9" fontId="6" fillId="0" borderId="0" xfId="2" applyFont="1" applyFill="1" applyBorder="1" applyAlignment="1">
      <alignment horizontal="center"/>
    </xf>
    <xf numFmtId="165" fontId="6" fillId="0" borderId="0" xfId="2" applyNumberFormat="1" applyFont="1" applyFill="1" applyBorder="1"/>
    <xf numFmtId="9" fontId="6" fillId="0" borderId="0" xfId="2" applyFont="1"/>
    <xf numFmtId="164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13" fillId="2" borderId="0" xfId="0" applyFont="1" applyFill="1"/>
    <xf numFmtId="9" fontId="13" fillId="2" borderId="0" xfId="2" applyFont="1" applyFill="1"/>
    <xf numFmtId="164" fontId="13" fillId="2" borderId="0" xfId="0" applyNumberFormat="1" applyFont="1" applyFill="1"/>
    <xf numFmtId="164" fontId="7" fillId="0" borderId="0" xfId="1" applyFont="1"/>
    <xf numFmtId="164" fontId="6" fillId="0" borderId="0" xfId="1" applyFont="1"/>
    <xf numFmtId="10" fontId="0" fillId="0" borderId="0" xfId="0" applyNumberFormat="1" applyFont="1"/>
    <xf numFmtId="2" fontId="0" fillId="0" borderId="0" xfId="0" applyNumberFormat="1" applyFont="1"/>
    <xf numFmtId="166" fontId="0" fillId="0" borderId="0" xfId="0" applyNumberFormat="1" applyFont="1"/>
    <xf numFmtId="3" fontId="2" fillId="0" borderId="0" xfId="0" applyNumberFormat="1" applyFont="1"/>
    <xf numFmtId="3" fontId="0" fillId="0" borderId="0" xfId="1" applyNumberFormat="1" applyFont="1"/>
    <xf numFmtId="9" fontId="15" fillId="0" borderId="0" xfId="2" applyFont="1"/>
    <xf numFmtId="0" fontId="0" fillId="0" borderId="0" xfId="0" applyAlignment="1">
      <alignment horizontal="center"/>
    </xf>
    <xf numFmtId="164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9" fontId="0" fillId="0" borderId="0" xfId="2" applyFont="1" applyAlignment="1">
      <alignment horizontal="center"/>
    </xf>
    <xf numFmtId="9" fontId="0" fillId="0" borderId="0" xfId="0" applyNumberFormat="1"/>
    <xf numFmtId="164" fontId="2" fillId="0" borderId="0" xfId="0" applyNumberFormat="1" applyFont="1"/>
    <xf numFmtId="0" fontId="16" fillId="6" borderId="3" xfId="0" applyFont="1" applyFill="1" applyBorder="1"/>
    <xf numFmtId="0" fontId="16" fillId="6" borderId="3" xfId="0" applyFont="1" applyFill="1" applyBorder="1" applyAlignment="1">
      <alignment horizontal="left"/>
    </xf>
    <xf numFmtId="0" fontId="12" fillId="2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5">
    <cellStyle name="Comma" xfId="1" builtinId="3"/>
    <cellStyle name="Normal" xfId="0" builtinId="0"/>
    <cellStyle name="Normal 2" xfId="3"/>
    <cellStyle name="Normal 4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D12" sqref="D12"/>
    </sheetView>
  </sheetViews>
  <sheetFormatPr defaultRowHeight="15"/>
  <cols>
    <col min="1" max="1" width="21.7109375" customWidth="1"/>
    <col min="2" max="2" width="27.28515625" customWidth="1"/>
  </cols>
  <sheetData>
    <row r="1" spans="1:2">
      <c r="A1" s="64" t="s">
        <v>247</v>
      </c>
      <c r="B1" s="64" t="s">
        <v>248</v>
      </c>
    </row>
    <row r="2" spans="1:2" ht="35.25" customHeight="1">
      <c r="A2" s="64" t="s">
        <v>249</v>
      </c>
      <c r="B2" s="64" t="s">
        <v>250</v>
      </c>
    </row>
    <row r="3" spans="1:2" ht="36" customHeight="1">
      <c r="A3" s="64" t="s">
        <v>251</v>
      </c>
      <c r="B3" s="65">
        <v>50351</v>
      </c>
    </row>
    <row r="4" spans="1:2" ht="52.5" customHeight="1">
      <c r="A4" s="64" t="s">
        <v>252</v>
      </c>
      <c r="B4" s="65">
        <v>17060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C3:S989"/>
  <sheetViews>
    <sheetView workbookViewId="0">
      <selection activeCell="I9" sqref="I9"/>
    </sheetView>
  </sheetViews>
  <sheetFormatPr defaultRowHeight="15"/>
  <cols>
    <col min="1" max="2" width="9.140625" style="7"/>
    <col min="3" max="3" width="10.140625" style="7" bestFit="1" customWidth="1"/>
    <col min="4" max="4" width="9.28515625" style="7" bestFit="1" customWidth="1"/>
    <col min="5" max="5" width="9.140625" style="7"/>
    <col min="6" max="6" width="9.28515625" style="7" bestFit="1" customWidth="1"/>
    <col min="7" max="8" width="9.140625" style="7"/>
    <col min="9" max="9" width="10.140625" style="7" bestFit="1" customWidth="1"/>
    <col min="10" max="10" width="9.28515625" style="7" bestFit="1" customWidth="1"/>
    <col min="11" max="11" width="9.140625" style="7"/>
    <col min="12" max="12" width="9.28515625" style="7" bestFit="1" customWidth="1"/>
    <col min="13" max="14" width="9.140625" style="7"/>
    <col min="15" max="15" width="10.140625" style="7" bestFit="1" customWidth="1"/>
    <col min="16" max="16" width="9.28515625" style="7" bestFit="1" customWidth="1"/>
    <col min="17" max="17" width="9.140625" style="7"/>
    <col min="18" max="19" width="9.28515625" style="7" bestFit="1" customWidth="1"/>
    <col min="20" max="16384" width="9.140625" style="7"/>
  </cols>
  <sheetData>
    <row r="3" spans="3:19">
      <c r="C3" s="72" t="s">
        <v>79</v>
      </c>
      <c r="D3" s="72"/>
      <c r="E3" s="72"/>
      <c r="F3" s="72"/>
      <c r="I3" s="72" t="s">
        <v>84</v>
      </c>
      <c r="J3" s="72"/>
      <c r="K3" s="72"/>
      <c r="L3" s="72"/>
      <c r="R3" s="7" t="s">
        <v>84</v>
      </c>
      <c r="S3" s="7" t="s">
        <v>85</v>
      </c>
    </row>
    <row r="4" spans="3:19">
      <c r="C4" s="8" t="s">
        <v>80</v>
      </c>
      <c r="D4" s="8" t="s">
        <v>81</v>
      </c>
      <c r="E4" s="8" t="s">
        <v>82</v>
      </c>
      <c r="F4" s="8" t="s">
        <v>83</v>
      </c>
      <c r="I4" s="8" t="s">
        <v>80</v>
      </c>
      <c r="J4" s="8" t="s">
        <v>81</v>
      </c>
      <c r="K4" s="8" t="s">
        <v>82</v>
      </c>
      <c r="L4" s="8" t="s">
        <v>83</v>
      </c>
      <c r="O4" s="8" t="s">
        <v>80</v>
      </c>
      <c r="P4" s="8" t="s">
        <v>81</v>
      </c>
      <c r="Q4" s="8" t="s">
        <v>82</v>
      </c>
      <c r="R4" s="8" t="s">
        <v>83</v>
      </c>
      <c r="S4" s="8" t="s">
        <v>83</v>
      </c>
    </row>
    <row r="5" spans="3:19">
      <c r="C5" s="9">
        <v>42555</v>
      </c>
      <c r="D5" s="10">
        <v>37966.76</v>
      </c>
      <c r="E5" s="11" t="s">
        <v>79</v>
      </c>
      <c r="I5" s="9">
        <v>44012</v>
      </c>
      <c r="J5" s="10">
        <v>6735</v>
      </c>
      <c r="K5" s="11" t="s">
        <v>84</v>
      </c>
      <c r="O5" s="9">
        <v>44012</v>
      </c>
      <c r="P5" s="10">
        <v>6735</v>
      </c>
      <c r="Q5" s="11" t="s">
        <v>84</v>
      </c>
    </row>
    <row r="6" spans="3:19">
      <c r="C6" s="9">
        <v>42562</v>
      </c>
      <c r="D6" s="10">
        <v>38367.96</v>
      </c>
      <c r="E6" s="11" t="s">
        <v>79</v>
      </c>
      <c r="F6" s="12">
        <f>D6/D5-1</f>
        <v>1.0567138201942994E-2</v>
      </c>
      <c r="I6" s="9">
        <v>44007</v>
      </c>
      <c r="J6" s="10">
        <v>6500</v>
      </c>
      <c r="K6" s="11" t="s">
        <v>84</v>
      </c>
      <c r="L6" s="12">
        <f>J6/J5-1</f>
        <v>-3.4892353377876772E-2</v>
      </c>
      <c r="O6" s="9">
        <v>44007</v>
      </c>
      <c r="P6" s="10">
        <v>6500</v>
      </c>
      <c r="Q6" s="11" t="s">
        <v>84</v>
      </c>
      <c r="R6" s="12">
        <f>P6/P5-1</f>
        <v>-3.4892353377876772E-2</v>
      </c>
      <c r="S6" s="12">
        <f>VLOOKUP(O6,$C$5:$F$989,4,)</f>
        <v>-9.5496795177856253E-3</v>
      </c>
    </row>
    <row r="7" spans="3:19">
      <c r="C7" s="9">
        <v>42563</v>
      </c>
      <c r="D7" s="10">
        <v>39031.620000000003</v>
      </c>
      <c r="E7" s="11" t="s">
        <v>79</v>
      </c>
      <c r="F7" s="12">
        <f t="shared" ref="F7:F70" si="0">D7/D6-1</f>
        <v>1.72972448887041E-2</v>
      </c>
      <c r="I7" s="9">
        <v>44006</v>
      </c>
      <c r="J7" s="10">
        <v>6850</v>
      </c>
      <c r="K7" s="11" t="s">
        <v>84</v>
      </c>
      <c r="L7" s="12">
        <f t="shared" ref="L7:L70" si="1">J7/J6-1</f>
        <v>5.3846153846153877E-2</v>
      </c>
      <c r="O7" s="9">
        <v>44006</v>
      </c>
      <c r="P7" s="10">
        <v>6850</v>
      </c>
      <c r="Q7" s="11" t="s">
        <v>84</v>
      </c>
      <c r="R7" s="12">
        <f t="shared" ref="R7:R70" si="2">P7/P6-1</f>
        <v>5.3846153846153877E-2</v>
      </c>
      <c r="S7" s="12">
        <f t="shared" ref="S7:S70" si="3">VLOOKUP(O7,$C$5:$F$989,4,)</f>
        <v>-5.2741919048204799E-4</v>
      </c>
    </row>
    <row r="8" spans="3:19">
      <c r="C8" s="9">
        <v>42564</v>
      </c>
      <c r="D8" s="10">
        <v>39049.46</v>
      </c>
      <c r="E8" s="11" t="s">
        <v>79</v>
      </c>
      <c r="F8" s="12">
        <f t="shared" si="0"/>
        <v>4.5706532293543489E-4</v>
      </c>
      <c r="I8" s="9">
        <v>44005</v>
      </c>
      <c r="J8" s="10">
        <v>6450</v>
      </c>
      <c r="K8" s="11" t="s">
        <v>84</v>
      </c>
      <c r="L8" s="12">
        <f t="shared" si="1"/>
        <v>-5.8394160583941646E-2</v>
      </c>
      <c r="O8" s="9">
        <v>44005</v>
      </c>
      <c r="P8" s="10">
        <v>6450</v>
      </c>
      <c r="Q8" s="11" t="s">
        <v>84</v>
      </c>
      <c r="R8" s="12">
        <f t="shared" si="2"/>
        <v>-5.8394160583941646E-2</v>
      </c>
      <c r="S8" s="12">
        <f t="shared" si="3"/>
        <v>9.3274866974608628E-3</v>
      </c>
    </row>
    <row r="9" spans="3:19">
      <c r="C9" s="9">
        <v>42565</v>
      </c>
      <c r="D9" s="10">
        <v>39257</v>
      </c>
      <c r="E9" s="11" t="s">
        <v>79</v>
      </c>
      <c r="F9" s="12">
        <f t="shared" si="0"/>
        <v>5.3147982071968247E-3</v>
      </c>
      <c r="I9" s="9">
        <v>44004</v>
      </c>
      <c r="J9" s="10">
        <v>6450</v>
      </c>
      <c r="K9" s="11" t="s">
        <v>84</v>
      </c>
      <c r="L9" s="12">
        <f t="shared" si="1"/>
        <v>0</v>
      </c>
      <c r="O9" s="9">
        <v>44004</v>
      </c>
      <c r="P9" s="10">
        <v>6450</v>
      </c>
      <c r="Q9" s="11" t="s">
        <v>84</v>
      </c>
      <c r="R9" s="12">
        <f t="shared" si="2"/>
        <v>0</v>
      </c>
      <c r="S9" s="12">
        <f t="shared" si="3"/>
        <v>8.9410728928607242E-3</v>
      </c>
    </row>
    <row r="10" spans="3:19">
      <c r="C10" s="9">
        <v>42566</v>
      </c>
      <c r="D10" s="10">
        <v>39188.47</v>
      </c>
      <c r="E10" s="11" t="s">
        <v>79</v>
      </c>
      <c r="F10" s="12">
        <f t="shared" si="0"/>
        <v>-1.7456759304073088E-3</v>
      </c>
      <c r="I10" s="9">
        <v>44000</v>
      </c>
      <c r="J10" s="10">
        <v>6500</v>
      </c>
      <c r="K10" s="11" t="s">
        <v>84</v>
      </c>
      <c r="L10" s="12">
        <f t="shared" si="1"/>
        <v>7.7519379844961378E-3</v>
      </c>
      <c r="O10" s="9">
        <v>44000</v>
      </c>
      <c r="P10" s="10">
        <v>6500</v>
      </c>
      <c r="Q10" s="11" t="s">
        <v>84</v>
      </c>
      <c r="R10" s="12">
        <f t="shared" si="2"/>
        <v>7.7519379844961378E-3</v>
      </c>
      <c r="S10" s="12">
        <f t="shared" si="3"/>
        <v>-9.1238417569016184E-3</v>
      </c>
    </row>
    <row r="11" spans="3:19">
      <c r="C11" s="9">
        <v>42569</v>
      </c>
      <c r="D11" s="10">
        <v>39253.25</v>
      </c>
      <c r="E11" s="11" t="s">
        <v>79</v>
      </c>
      <c r="F11" s="12">
        <f t="shared" si="0"/>
        <v>1.6530372326348797E-3</v>
      </c>
      <c r="I11" s="9">
        <v>43999</v>
      </c>
      <c r="J11" s="10">
        <v>6500</v>
      </c>
      <c r="K11" s="11" t="s">
        <v>84</v>
      </c>
      <c r="L11" s="12">
        <f t="shared" si="1"/>
        <v>0</v>
      </c>
      <c r="O11" s="9">
        <v>43999</v>
      </c>
      <c r="P11" s="10">
        <v>6500</v>
      </c>
      <c r="Q11" s="11" t="s">
        <v>84</v>
      </c>
      <c r="R11" s="12">
        <f t="shared" si="2"/>
        <v>0</v>
      </c>
      <c r="S11" s="12">
        <f t="shared" si="3"/>
        <v>-5.0101237186618297E-3</v>
      </c>
    </row>
    <row r="12" spans="3:19">
      <c r="C12" s="9">
        <v>42570</v>
      </c>
      <c r="D12" s="10">
        <v>39208.879999999997</v>
      </c>
      <c r="E12" s="11" t="s">
        <v>79</v>
      </c>
      <c r="F12" s="12">
        <f t="shared" si="0"/>
        <v>-1.1303522638254071E-3</v>
      </c>
      <c r="I12" s="9">
        <v>43998</v>
      </c>
      <c r="J12" s="10">
        <v>6401</v>
      </c>
      <c r="K12" s="11" t="s">
        <v>84</v>
      </c>
      <c r="L12" s="12">
        <f t="shared" si="1"/>
        <v>-1.523076923076927E-2</v>
      </c>
      <c r="O12" s="9">
        <v>43998</v>
      </c>
      <c r="P12" s="10">
        <v>6401</v>
      </c>
      <c r="Q12" s="11" t="s">
        <v>84</v>
      </c>
      <c r="R12" s="12">
        <f t="shared" si="2"/>
        <v>-1.523076923076927E-2</v>
      </c>
      <c r="S12" s="12">
        <f t="shared" si="3"/>
        <v>5.7535201544678394E-3</v>
      </c>
    </row>
    <row r="13" spans="3:19">
      <c r="C13" s="9">
        <v>42571</v>
      </c>
      <c r="D13" s="10">
        <v>39098.79</v>
      </c>
      <c r="E13" s="11" t="s">
        <v>79</v>
      </c>
      <c r="F13" s="12">
        <f t="shared" si="0"/>
        <v>-2.8077823186991591E-3</v>
      </c>
      <c r="I13" s="9">
        <v>43994</v>
      </c>
      <c r="J13" s="10">
        <v>6535</v>
      </c>
      <c r="K13" s="11" t="s">
        <v>84</v>
      </c>
      <c r="L13" s="12">
        <f t="shared" si="1"/>
        <v>2.093422902671449E-2</v>
      </c>
      <c r="O13" s="9">
        <v>43994</v>
      </c>
      <c r="P13" s="10">
        <v>6535</v>
      </c>
      <c r="Q13" s="11" t="s">
        <v>84</v>
      </c>
      <c r="R13" s="12">
        <f t="shared" si="2"/>
        <v>2.093422902671449E-2</v>
      </c>
      <c r="S13" s="12">
        <f t="shared" si="3"/>
        <v>-1.4788243646626342E-2</v>
      </c>
    </row>
    <row r="14" spans="3:19">
      <c r="C14" s="9">
        <v>42572</v>
      </c>
      <c r="D14" s="10">
        <v>39306.79</v>
      </c>
      <c r="E14" s="11" t="s">
        <v>79</v>
      </c>
      <c r="F14" s="12">
        <f t="shared" si="0"/>
        <v>5.3198577244972789E-3</v>
      </c>
      <c r="I14" s="9">
        <v>43993</v>
      </c>
      <c r="J14" s="10">
        <v>6475</v>
      </c>
      <c r="K14" s="11" t="s">
        <v>84</v>
      </c>
      <c r="L14" s="12">
        <f t="shared" si="1"/>
        <v>-9.1813312930374424E-3</v>
      </c>
      <c r="O14" s="9">
        <v>43993</v>
      </c>
      <c r="P14" s="10">
        <v>6475</v>
      </c>
      <c r="Q14" s="11" t="s">
        <v>84</v>
      </c>
      <c r="R14" s="12">
        <f t="shared" si="2"/>
        <v>-9.1813312930374424E-3</v>
      </c>
      <c r="S14" s="12">
        <f t="shared" si="3"/>
        <v>1.8109184407963941E-3</v>
      </c>
    </row>
    <row r="15" spans="3:19">
      <c r="C15" s="9">
        <v>42573</v>
      </c>
      <c r="D15" s="10">
        <v>39151.78</v>
      </c>
      <c r="E15" s="11" t="s">
        <v>79</v>
      </c>
      <c r="F15" s="12">
        <f t="shared" si="0"/>
        <v>-3.9435934605700496E-3</v>
      </c>
      <c r="I15" s="9">
        <v>43992</v>
      </c>
      <c r="J15" s="10">
        <v>6650</v>
      </c>
      <c r="K15" s="11" t="s">
        <v>84</v>
      </c>
      <c r="L15" s="12">
        <f t="shared" si="1"/>
        <v>2.7027027027026973E-2</v>
      </c>
      <c r="O15" s="9">
        <v>43992</v>
      </c>
      <c r="P15" s="10">
        <v>6650</v>
      </c>
      <c r="Q15" s="11" t="s">
        <v>84</v>
      </c>
      <c r="R15" s="12">
        <f t="shared" si="2"/>
        <v>2.7027027027026973E-2</v>
      </c>
      <c r="S15" s="12">
        <f t="shared" si="3"/>
        <v>7.5130158949074932E-3</v>
      </c>
    </row>
    <row r="16" spans="3:19">
      <c r="C16" s="9">
        <v>42576</v>
      </c>
      <c r="D16" s="10">
        <v>39017.32</v>
      </c>
      <c r="E16" s="11" t="s">
        <v>79</v>
      </c>
      <c r="F16" s="12">
        <f t="shared" si="0"/>
        <v>-3.4343266129918115E-3</v>
      </c>
      <c r="I16" s="9">
        <v>43991</v>
      </c>
      <c r="J16" s="10">
        <v>6690</v>
      </c>
      <c r="K16" s="11" t="s">
        <v>84</v>
      </c>
      <c r="L16" s="12">
        <f t="shared" si="1"/>
        <v>6.0150375939849177E-3</v>
      </c>
      <c r="O16" s="9">
        <v>43991</v>
      </c>
      <c r="P16" s="10">
        <v>6690</v>
      </c>
      <c r="Q16" s="11" t="s">
        <v>84</v>
      </c>
      <c r="R16" s="12">
        <f t="shared" si="2"/>
        <v>6.0150375939849177E-3</v>
      </c>
      <c r="S16" s="12">
        <f t="shared" si="3"/>
        <v>1.554839383623996E-3</v>
      </c>
    </row>
    <row r="17" spans="3:19">
      <c r="C17" s="9">
        <v>42577</v>
      </c>
      <c r="D17" s="10">
        <v>39147.33</v>
      </c>
      <c r="E17" s="11" t="s">
        <v>79</v>
      </c>
      <c r="F17" s="12">
        <f t="shared" si="0"/>
        <v>3.3321099450194236E-3</v>
      </c>
      <c r="I17" s="9">
        <v>43990</v>
      </c>
      <c r="J17" s="10">
        <v>6580</v>
      </c>
      <c r="K17" s="11" t="s">
        <v>84</v>
      </c>
      <c r="L17" s="12">
        <f t="shared" si="1"/>
        <v>-1.6442451420029869E-2</v>
      </c>
      <c r="O17" s="9">
        <v>43990</v>
      </c>
      <c r="P17" s="10">
        <v>6580</v>
      </c>
      <c r="Q17" s="11" t="s">
        <v>84</v>
      </c>
      <c r="R17" s="12">
        <f t="shared" si="2"/>
        <v>-1.6442451420029869E-2</v>
      </c>
      <c r="S17" s="12">
        <f t="shared" si="3"/>
        <v>1.1619945258311226E-2</v>
      </c>
    </row>
    <row r="18" spans="3:19">
      <c r="C18" s="9">
        <v>42578</v>
      </c>
      <c r="D18" s="10">
        <v>39434.97</v>
      </c>
      <c r="E18" s="11" t="s">
        <v>79</v>
      </c>
      <c r="F18" s="12">
        <f t="shared" si="0"/>
        <v>7.3476275393493662E-3</v>
      </c>
      <c r="I18" s="9">
        <v>43986</v>
      </c>
      <c r="J18" s="10">
        <v>6600</v>
      </c>
      <c r="K18" s="11" t="s">
        <v>84</v>
      </c>
      <c r="L18" s="12">
        <f t="shared" si="1"/>
        <v>3.0395136778116338E-3</v>
      </c>
      <c r="O18" s="9">
        <v>43986</v>
      </c>
      <c r="P18" s="10">
        <v>6600</v>
      </c>
      <c r="Q18" s="11" t="s">
        <v>84</v>
      </c>
      <c r="R18" s="12">
        <f t="shared" si="2"/>
        <v>3.0395136778116338E-3</v>
      </c>
      <c r="S18" s="12">
        <f t="shared" si="3"/>
        <v>-8.1982080972238247E-3</v>
      </c>
    </row>
    <row r="19" spans="3:19">
      <c r="C19" s="9">
        <v>42579</v>
      </c>
      <c r="D19" s="10">
        <v>39468.980000000003</v>
      </c>
      <c r="E19" s="11" t="s">
        <v>79</v>
      </c>
      <c r="F19" s="12">
        <f t="shared" si="0"/>
        <v>8.6243250597117793E-4</v>
      </c>
      <c r="I19" s="9">
        <v>43985</v>
      </c>
      <c r="J19" s="10">
        <v>6800</v>
      </c>
      <c r="K19" s="11" t="s">
        <v>84</v>
      </c>
      <c r="L19" s="12">
        <f t="shared" si="1"/>
        <v>3.0303030303030276E-2</v>
      </c>
      <c r="O19" s="9">
        <v>43985</v>
      </c>
      <c r="P19" s="10">
        <v>6800</v>
      </c>
      <c r="Q19" s="11" t="s">
        <v>84</v>
      </c>
      <c r="R19" s="12">
        <f t="shared" si="2"/>
        <v>3.0303030303030276E-2</v>
      </c>
      <c r="S19" s="12">
        <f t="shared" si="3"/>
        <v>-1.9268746703182682E-4</v>
      </c>
    </row>
    <row r="20" spans="3:19">
      <c r="C20" s="9">
        <v>42580</v>
      </c>
      <c r="D20" s="10">
        <v>39505.279999999999</v>
      </c>
      <c r="E20" s="11" t="s">
        <v>79</v>
      </c>
      <c r="F20" s="12">
        <f t="shared" si="0"/>
        <v>9.1970960485920905E-4</v>
      </c>
      <c r="I20" s="9">
        <v>43984</v>
      </c>
      <c r="J20" s="10">
        <v>6999</v>
      </c>
      <c r="K20" s="11" t="s">
        <v>84</v>
      </c>
      <c r="L20" s="12">
        <f t="shared" si="1"/>
        <v>2.926470588235297E-2</v>
      </c>
      <c r="O20" s="9">
        <v>43984</v>
      </c>
      <c r="P20" s="10">
        <v>6999</v>
      </c>
      <c r="Q20" s="11" t="s">
        <v>84</v>
      </c>
      <c r="R20" s="12">
        <f t="shared" si="2"/>
        <v>2.926470588235297E-2</v>
      </c>
      <c r="S20" s="12">
        <f t="shared" si="3"/>
        <v>1.1347961332045298E-2</v>
      </c>
    </row>
    <row r="21" spans="3:19">
      <c r="C21" s="9">
        <v>42583</v>
      </c>
      <c r="D21" s="10">
        <v>39800.639999999999</v>
      </c>
      <c r="E21" s="11" t="s">
        <v>79</v>
      </c>
      <c r="F21" s="12">
        <f t="shared" si="0"/>
        <v>7.4764689681987573E-3</v>
      </c>
      <c r="I21" s="9">
        <v>43983</v>
      </c>
      <c r="J21" s="10">
        <v>6755</v>
      </c>
      <c r="K21" s="11" t="s">
        <v>84</v>
      </c>
      <c r="L21" s="12">
        <f t="shared" si="1"/>
        <v>-3.4862123160451453E-2</v>
      </c>
      <c r="O21" s="9">
        <v>43983</v>
      </c>
      <c r="P21" s="10">
        <v>6755</v>
      </c>
      <c r="Q21" s="11" t="s">
        <v>84</v>
      </c>
      <c r="R21" s="12">
        <f t="shared" si="2"/>
        <v>-3.4862123160451453E-2</v>
      </c>
      <c r="S21" s="12">
        <f t="shared" si="3"/>
        <v>2.6742325580297877E-3</v>
      </c>
    </row>
    <row r="22" spans="3:19">
      <c r="C22" s="9">
        <v>42584</v>
      </c>
      <c r="D22" s="10">
        <v>39786.93</v>
      </c>
      <c r="E22" s="11" t="s">
        <v>79</v>
      </c>
      <c r="F22" s="12">
        <f t="shared" si="0"/>
        <v>-3.444668226439962E-4</v>
      </c>
      <c r="I22" s="9">
        <v>43980</v>
      </c>
      <c r="J22" s="10">
        <v>7000</v>
      </c>
      <c r="K22" s="11" t="s">
        <v>84</v>
      </c>
      <c r="L22" s="12">
        <f t="shared" si="1"/>
        <v>3.6269430051813378E-2</v>
      </c>
      <c r="O22" s="9">
        <v>43980</v>
      </c>
      <c r="P22" s="10">
        <v>7000</v>
      </c>
      <c r="Q22" s="11" t="s">
        <v>84</v>
      </c>
      <c r="R22" s="12">
        <f t="shared" si="2"/>
        <v>3.6269430051813378E-2</v>
      </c>
      <c r="S22" s="12">
        <f t="shared" si="3"/>
        <v>6.9982804784747277E-3</v>
      </c>
    </row>
    <row r="23" spans="3:19">
      <c r="C23" s="9">
        <v>42585</v>
      </c>
      <c r="D23" s="10">
        <v>39615.760000000002</v>
      </c>
      <c r="E23" s="11" t="s">
        <v>79</v>
      </c>
      <c r="F23" s="12">
        <f t="shared" si="0"/>
        <v>-4.3021665657541064E-3</v>
      </c>
      <c r="I23" s="9">
        <v>43979</v>
      </c>
      <c r="J23" s="10">
        <v>6600</v>
      </c>
      <c r="K23" s="11" t="s">
        <v>84</v>
      </c>
      <c r="L23" s="12">
        <f t="shared" si="1"/>
        <v>-5.7142857142857162E-2</v>
      </c>
      <c r="O23" s="9">
        <v>43979</v>
      </c>
      <c r="P23" s="10">
        <v>6600</v>
      </c>
      <c r="Q23" s="11" t="s">
        <v>84</v>
      </c>
      <c r="R23" s="12">
        <f t="shared" si="2"/>
        <v>-5.7142857142857162E-2</v>
      </c>
      <c r="S23" s="12">
        <f t="shared" si="3"/>
        <v>-4.1726993336508311E-3</v>
      </c>
    </row>
    <row r="24" spans="3:19">
      <c r="C24" s="9">
        <v>42586</v>
      </c>
      <c r="D24" s="10">
        <v>39446.699999999997</v>
      </c>
      <c r="E24" s="11" t="s">
        <v>79</v>
      </c>
      <c r="F24" s="12">
        <f t="shared" si="0"/>
        <v>-4.2674935429739547E-3</v>
      </c>
      <c r="I24" s="9">
        <v>43972</v>
      </c>
      <c r="J24" s="10">
        <v>7240</v>
      </c>
      <c r="K24" s="11" t="s">
        <v>84</v>
      </c>
      <c r="L24" s="12">
        <f t="shared" si="1"/>
        <v>9.6969696969696928E-2</v>
      </c>
      <c r="O24" s="9">
        <v>43972</v>
      </c>
      <c r="P24" s="10">
        <v>7240</v>
      </c>
      <c r="Q24" s="11" t="s">
        <v>84</v>
      </c>
      <c r="R24" s="12">
        <f t="shared" si="2"/>
        <v>9.6969696969696928E-2</v>
      </c>
      <c r="S24" s="12">
        <f t="shared" si="3"/>
        <v>-2.8350142531666789E-3</v>
      </c>
    </row>
    <row r="25" spans="3:19">
      <c r="C25" s="9">
        <v>42587</v>
      </c>
      <c r="D25" s="10">
        <v>39390.21</v>
      </c>
      <c r="E25" s="11" t="s">
        <v>79</v>
      </c>
      <c r="F25" s="12">
        <f t="shared" si="0"/>
        <v>-1.4320589555019136E-3</v>
      </c>
      <c r="I25" s="9">
        <v>43970</v>
      </c>
      <c r="J25" s="10">
        <v>7050</v>
      </c>
      <c r="K25" s="11" t="s">
        <v>84</v>
      </c>
      <c r="L25" s="12">
        <f t="shared" si="1"/>
        <v>-2.6243093922651894E-2</v>
      </c>
      <c r="O25" s="9">
        <v>43970</v>
      </c>
      <c r="P25" s="10">
        <v>7050</v>
      </c>
      <c r="Q25" s="11" t="s">
        <v>84</v>
      </c>
      <c r="R25" s="12">
        <f t="shared" si="2"/>
        <v>-2.6243093922651894E-2</v>
      </c>
      <c r="S25" s="12">
        <f t="shared" si="3"/>
        <v>1.0459408779241786E-2</v>
      </c>
    </row>
    <row r="26" spans="3:19">
      <c r="C26" s="9">
        <v>42590</v>
      </c>
      <c r="D26" s="10">
        <v>39476.17</v>
      </c>
      <c r="E26" s="11" t="s">
        <v>79</v>
      </c>
      <c r="F26" s="12">
        <f t="shared" si="0"/>
        <v>2.1822681321068682E-3</v>
      </c>
      <c r="I26" s="9">
        <v>43969</v>
      </c>
      <c r="J26" s="10">
        <v>6900</v>
      </c>
      <c r="K26" s="11" t="s">
        <v>84</v>
      </c>
      <c r="L26" s="12">
        <f t="shared" si="1"/>
        <v>-2.1276595744680882E-2</v>
      </c>
      <c r="O26" s="9">
        <v>43969</v>
      </c>
      <c r="P26" s="10">
        <v>6900</v>
      </c>
      <c r="Q26" s="11" t="s">
        <v>84</v>
      </c>
      <c r="R26" s="12">
        <f t="shared" si="2"/>
        <v>-2.1276595744680882E-2</v>
      </c>
      <c r="S26" s="12">
        <f t="shared" si="3"/>
        <v>-5.9797114412851737E-3</v>
      </c>
    </row>
    <row r="27" spans="3:19">
      <c r="C27" s="9">
        <v>42591</v>
      </c>
      <c r="D27" s="10">
        <v>39663.71</v>
      </c>
      <c r="E27" s="11" t="s">
        <v>79</v>
      </c>
      <c r="F27" s="12">
        <f t="shared" si="0"/>
        <v>4.7507141650267037E-3</v>
      </c>
      <c r="I27" s="9">
        <v>43966</v>
      </c>
      <c r="J27" s="10">
        <v>6700</v>
      </c>
      <c r="K27" s="11" t="s">
        <v>84</v>
      </c>
      <c r="L27" s="12">
        <f t="shared" si="1"/>
        <v>-2.8985507246376829E-2</v>
      </c>
      <c r="O27" s="9">
        <v>43966</v>
      </c>
      <c r="P27" s="10">
        <v>6700</v>
      </c>
      <c r="Q27" s="11" t="s">
        <v>84</v>
      </c>
      <c r="R27" s="12">
        <f t="shared" si="2"/>
        <v>-2.8985507246376829E-2</v>
      </c>
      <c r="S27" s="12">
        <f t="shared" si="3"/>
        <v>6.0177666551299858E-3</v>
      </c>
    </row>
    <row r="28" spans="3:19">
      <c r="C28" s="9">
        <v>42592</v>
      </c>
      <c r="D28" s="10">
        <v>39805.879999999997</v>
      </c>
      <c r="E28" s="11" t="s">
        <v>79</v>
      </c>
      <c r="F28" s="12">
        <f t="shared" si="0"/>
        <v>3.5843848192718131E-3</v>
      </c>
      <c r="I28" s="9">
        <v>43965</v>
      </c>
      <c r="J28" s="10">
        <v>6350</v>
      </c>
      <c r="K28" s="11" t="s">
        <v>84</v>
      </c>
      <c r="L28" s="12">
        <f t="shared" si="1"/>
        <v>-5.2238805970149294E-2</v>
      </c>
      <c r="O28" s="9">
        <v>43965</v>
      </c>
      <c r="P28" s="10">
        <v>6350</v>
      </c>
      <c r="Q28" s="11" t="s">
        <v>84</v>
      </c>
      <c r="R28" s="12">
        <f t="shared" si="2"/>
        <v>-5.2238805970149294E-2</v>
      </c>
      <c r="S28" s="12">
        <f t="shared" si="3"/>
        <v>3.3199735019457943E-3</v>
      </c>
    </row>
    <row r="29" spans="3:19">
      <c r="C29" s="9">
        <v>42593</v>
      </c>
      <c r="D29" s="10">
        <v>39861.599999999999</v>
      </c>
      <c r="E29" s="11" t="s">
        <v>79</v>
      </c>
      <c r="F29" s="12">
        <f t="shared" si="0"/>
        <v>1.3997931963820598E-3</v>
      </c>
      <c r="I29" s="9">
        <v>43964</v>
      </c>
      <c r="J29" s="10">
        <v>6100</v>
      </c>
      <c r="K29" s="11" t="s">
        <v>84</v>
      </c>
      <c r="L29" s="12">
        <f t="shared" si="1"/>
        <v>-3.9370078740157521E-2</v>
      </c>
      <c r="O29" s="9">
        <v>43964</v>
      </c>
      <c r="P29" s="10">
        <v>6100</v>
      </c>
      <c r="Q29" s="11" t="s">
        <v>84</v>
      </c>
      <c r="R29" s="12">
        <f t="shared" si="2"/>
        <v>-3.9370078740157521E-2</v>
      </c>
      <c r="S29" s="12">
        <f t="shared" si="3"/>
        <v>2.6789258822570439E-3</v>
      </c>
    </row>
    <row r="30" spans="3:19">
      <c r="C30" s="9">
        <v>42594</v>
      </c>
      <c r="D30" s="10">
        <v>39907.64</v>
      </c>
      <c r="E30" s="11" t="s">
        <v>79</v>
      </c>
      <c r="F30" s="12">
        <f t="shared" si="0"/>
        <v>1.1549962871535424E-3</v>
      </c>
      <c r="I30" s="9">
        <v>43959</v>
      </c>
      <c r="J30" s="10">
        <v>6154.9</v>
      </c>
      <c r="K30" s="11" t="s">
        <v>84</v>
      </c>
      <c r="L30" s="12">
        <f t="shared" si="1"/>
        <v>8.999999999999897E-3</v>
      </c>
      <c r="O30" s="9">
        <v>43959</v>
      </c>
      <c r="P30" s="10">
        <v>6154.9</v>
      </c>
      <c r="Q30" s="11" t="s">
        <v>84</v>
      </c>
      <c r="R30" s="12">
        <f t="shared" si="2"/>
        <v>8.999999999999897E-3</v>
      </c>
      <c r="S30" s="12">
        <f t="shared" si="3"/>
        <v>-1.0950583951074844E-3</v>
      </c>
    </row>
    <row r="31" spans="3:19">
      <c r="C31" s="9">
        <v>42597</v>
      </c>
      <c r="D31" s="10">
        <v>40030.519999999997</v>
      </c>
      <c r="E31" s="11" t="s">
        <v>79</v>
      </c>
      <c r="F31" s="12">
        <f t="shared" si="0"/>
        <v>3.079109664214652E-3</v>
      </c>
      <c r="I31" s="9">
        <v>43958</v>
      </c>
      <c r="J31" s="10">
        <v>5840</v>
      </c>
      <c r="K31" s="11" t="s">
        <v>84</v>
      </c>
      <c r="L31" s="12">
        <f t="shared" si="1"/>
        <v>-5.11624884238574E-2</v>
      </c>
      <c r="O31" s="9">
        <v>43958</v>
      </c>
      <c r="P31" s="10">
        <v>5840</v>
      </c>
      <c r="Q31" s="11" t="s">
        <v>84</v>
      </c>
      <c r="R31" s="12">
        <f t="shared" si="2"/>
        <v>-5.11624884238574E-2</v>
      </c>
      <c r="S31" s="12">
        <f t="shared" si="3"/>
        <v>-1.2571683381670695E-2</v>
      </c>
    </row>
    <row r="32" spans="3:19">
      <c r="C32" s="9">
        <v>42598</v>
      </c>
      <c r="D32" s="10">
        <v>40050.17</v>
      </c>
      <c r="E32" s="11" t="s">
        <v>79</v>
      </c>
      <c r="F32" s="12">
        <f t="shared" si="0"/>
        <v>4.9087546202253307E-4</v>
      </c>
      <c r="I32" s="9">
        <v>43957</v>
      </c>
      <c r="J32" s="10">
        <v>5995</v>
      </c>
      <c r="K32" s="11" t="s">
        <v>84</v>
      </c>
      <c r="L32" s="12">
        <f t="shared" si="1"/>
        <v>2.6541095890410871E-2</v>
      </c>
      <c r="O32" s="9">
        <v>43957</v>
      </c>
      <c r="P32" s="10">
        <v>5995</v>
      </c>
      <c r="Q32" s="11" t="s">
        <v>84</v>
      </c>
      <c r="R32" s="12">
        <f t="shared" si="2"/>
        <v>2.6541095890410871E-2</v>
      </c>
      <c r="S32" s="12">
        <f t="shared" si="3"/>
        <v>-7.7831302262982849E-3</v>
      </c>
    </row>
    <row r="33" spans="3:19">
      <c r="C33" s="9">
        <v>42599</v>
      </c>
      <c r="D33" s="10">
        <v>40057.519999999997</v>
      </c>
      <c r="E33" s="11" t="s">
        <v>79</v>
      </c>
      <c r="F33" s="12">
        <f t="shared" si="0"/>
        <v>1.8351982026532099E-4</v>
      </c>
      <c r="I33" s="9">
        <v>43956</v>
      </c>
      <c r="J33" s="10">
        <v>5850</v>
      </c>
      <c r="K33" s="11" t="s">
        <v>84</v>
      </c>
      <c r="L33" s="12">
        <f t="shared" si="1"/>
        <v>-2.4186822351960013E-2</v>
      </c>
      <c r="O33" s="9">
        <v>43956</v>
      </c>
      <c r="P33" s="10">
        <v>5850</v>
      </c>
      <c r="Q33" s="11" t="s">
        <v>84</v>
      </c>
      <c r="R33" s="12">
        <f t="shared" si="2"/>
        <v>-2.4186822351960013E-2</v>
      </c>
      <c r="S33" s="12">
        <f t="shared" si="3"/>
        <v>2.2440312483784641E-3</v>
      </c>
    </row>
    <row r="34" spans="3:19">
      <c r="C34" s="9">
        <v>42600</v>
      </c>
      <c r="D34" s="10">
        <v>39771.199999999997</v>
      </c>
      <c r="E34" s="11" t="s">
        <v>79</v>
      </c>
      <c r="F34" s="12">
        <f t="shared" si="0"/>
        <v>-7.1477215763732227E-3</v>
      </c>
      <c r="I34" s="9">
        <v>43955</v>
      </c>
      <c r="J34" s="10">
        <v>5700</v>
      </c>
      <c r="K34" s="11" t="s">
        <v>84</v>
      </c>
      <c r="L34" s="12">
        <f t="shared" si="1"/>
        <v>-2.5641025641025661E-2</v>
      </c>
      <c r="O34" s="9">
        <v>43955</v>
      </c>
      <c r="P34" s="10">
        <v>5700</v>
      </c>
      <c r="Q34" s="11" t="s">
        <v>84</v>
      </c>
      <c r="R34" s="12">
        <f t="shared" si="2"/>
        <v>-2.5641025641025661E-2</v>
      </c>
      <c r="S34" s="12">
        <f t="shared" si="3"/>
        <v>-5.7165237438012717E-3</v>
      </c>
    </row>
    <row r="35" spans="3:19">
      <c r="C35" s="9">
        <v>42601</v>
      </c>
      <c r="D35" s="10">
        <v>39499.08</v>
      </c>
      <c r="E35" s="11" t="s">
        <v>79</v>
      </c>
      <c r="F35" s="12">
        <f t="shared" si="0"/>
        <v>-6.8421370237758961E-3</v>
      </c>
      <c r="I35" s="9">
        <v>43951</v>
      </c>
      <c r="J35" s="10">
        <v>5700</v>
      </c>
      <c r="K35" s="11" t="s">
        <v>84</v>
      </c>
      <c r="L35" s="12">
        <f t="shared" si="1"/>
        <v>0</v>
      </c>
      <c r="O35" s="9">
        <v>43951</v>
      </c>
      <c r="P35" s="10">
        <v>5700</v>
      </c>
      <c r="Q35" s="11" t="s">
        <v>84</v>
      </c>
      <c r="R35" s="12">
        <f t="shared" si="2"/>
        <v>0</v>
      </c>
      <c r="S35" s="12">
        <f t="shared" si="3"/>
        <v>2.8734418936247508E-2</v>
      </c>
    </row>
    <row r="36" spans="3:19">
      <c r="C36" s="9">
        <v>42604</v>
      </c>
      <c r="D36" s="10">
        <v>39457.949999999997</v>
      </c>
      <c r="E36" s="11" t="s">
        <v>79</v>
      </c>
      <c r="F36" s="12">
        <f t="shared" si="0"/>
        <v>-1.0412900756170407E-3</v>
      </c>
      <c r="I36" s="9">
        <v>43950</v>
      </c>
      <c r="J36" s="10">
        <v>5700</v>
      </c>
      <c r="K36" s="11" t="s">
        <v>84</v>
      </c>
      <c r="L36" s="12">
        <f t="shared" si="1"/>
        <v>0</v>
      </c>
      <c r="O36" s="9">
        <v>43950</v>
      </c>
      <c r="P36" s="10">
        <v>5700</v>
      </c>
      <c r="Q36" s="11" t="s">
        <v>84</v>
      </c>
      <c r="R36" s="12">
        <f t="shared" si="2"/>
        <v>0</v>
      </c>
      <c r="S36" s="12">
        <f t="shared" si="3"/>
        <v>1.8598677434208843E-2</v>
      </c>
    </row>
    <row r="37" spans="3:19">
      <c r="C37" s="9">
        <v>42605</v>
      </c>
      <c r="D37" s="10">
        <v>39400.19</v>
      </c>
      <c r="E37" s="11" t="s">
        <v>79</v>
      </c>
      <c r="F37" s="12">
        <f t="shared" si="0"/>
        <v>-1.4638368186891126E-3</v>
      </c>
      <c r="I37" s="9">
        <v>43949</v>
      </c>
      <c r="J37" s="10">
        <v>5780</v>
      </c>
      <c r="K37" s="11" t="s">
        <v>84</v>
      </c>
      <c r="L37" s="12">
        <f t="shared" si="1"/>
        <v>1.4035087719298289E-2</v>
      </c>
      <c r="O37" s="9">
        <v>43949</v>
      </c>
      <c r="P37" s="10">
        <v>5780</v>
      </c>
      <c r="Q37" s="11" t="s">
        <v>84</v>
      </c>
      <c r="R37" s="12">
        <f t="shared" si="2"/>
        <v>1.4035087719298289E-2</v>
      </c>
      <c r="S37" s="12">
        <f t="shared" si="3"/>
        <v>7.3904743278341289E-3</v>
      </c>
    </row>
    <row r="38" spans="3:19">
      <c r="C38" s="9">
        <v>42606</v>
      </c>
      <c r="D38" s="10">
        <v>39506.58</v>
      </c>
      <c r="E38" s="11" t="s">
        <v>79</v>
      </c>
      <c r="F38" s="12">
        <f t="shared" si="0"/>
        <v>2.7002407856409061E-3</v>
      </c>
      <c r="I38" s="9">
        <v>43948</v>
      </c>
      <c r="J38" s="10">
        <v>5548</v>
      </c>
      <c r="K38" s="11" t="s">
        <v>84</v>
      </c>
      <c r="L38" s="12">
        <f t="shared" si="1"/>
        <v>-4.0138408304498219E-2</v>
      </c>
      <c r="O38" s="9">
        <v>43948</v>
      </c>
      <c r="P38" s="10">
        <v>5548</v>
      </c>
      <c r="Q38" s="11" t="s">
        <v>84</v>
      </c>
      <c r="R38" s="12">
        <f t="shared" si="2"/>
        <v>-4.0138408304498219E-2</v>
      </c>
      <c r="S38" s="12">
        <f t="shared" si="3"/>
        <v>-1.4991291328089185E-2</v>
      </c>
    </row>
    <row r="39" spans="3:19">
      <c r="C39" s="9">
        <v>42607</v>
      </c>
      <c r="D39" s="10">
        <v>39792.1</v>
      </c>
      <c r="E39" s="11" t="s">
        <v>79</v>
      </c>
      <c r="F39" s="12">
        <f t="shared" si="0"/>
        <v>7.2271505151799698E-3</v>
      </c>
      <c r="I39" s="9">
        <v>43944</v>
      </c>
      <c r="J39" s="10">
        <v>5680</v>
      </c>
      <c r="K39" s="11" t="s">
        <v>84</v>
      </c>
      <c r="L39" s="12">
        <f t="shared" si="1"/>
        <v>2.3792357606344572E-2</v>
      </c>
      <c r="O39" s="9">
        <v>43944</v>
      </c>
      <c r="P39" s="10">
        <v>5680</v>
      </c>
      <c r="Q39" s="11" t="s">
        <v>84</v>
      </c>
      <c r="R39" s="12">
        <f t="shared" si="2"/>
        <v>2.3792357606344572E-2</v>
      </c>
      <c r="S39" s="12">
        <f t="shared" si="3"/>
        <v>1.1908491284099432E-2</v>
      </c>
    </row>
    <row r="40" spans="3:19">
      <c r="C40" s="9">
        <v>42608</v>
      </c>
      <c r="D40" s="10">
        <v>39926.699999999997</v>
      </c>
      <c r="E40" s="11" t="s">
        <v>79</v>
      </c>
      <c r="F40" s="12">
        <f t="shared" si="0"/>
        <v>3.382580964563342E-3</v>
      </c>
      <c r="I40" s="9">
        <v>43943</v>
      </c>
      <c r="J40" s="10">
        <v>5600.8</v>
      </c>
      <c r="K40" s="11" t="s">
        <v>84</v>
      </c>
      <c r="L40" s="12">
        <f t="shared" si="1"/>
        <v>-1.3943661971830945E-2</v>
      </c>
      <c r="O40" s="9">
        <v>43943</v>
      </c>
      <c r="P40" s="10">
        <v>5600.8</v>
      </c>
      <c r="Q40" s="11" t="s">
        <v>84</v>
      </c>
      <c r="R40" s="12">
        <f t="shared" si="2"/>
        <v>-1.3943661971830945E-2</v>
      </c>
      <c r="S40" s="12">
        <f t="shared" si="3"/>
        <v>1.2768780516689837E-3</v>
      </c>
    </row>
    <row r="41" spans="3:19">
      <c r="C41" s="9">
        <v>42611</v>
      </c>
      <c r="D41" s="10">
        <v>40023.019999999997</v>
      </c>
      <c r="E41" s="11" t="s">
        <v>79</v>
      </c>
      <c r="F41" s="12">
        <f t="shared" si="0"/>
        <v>2.4124207610445314E-3</v>
      </c>
      <c r="I41" s="9">
        <v>43942</v>
      </c>
      <c r="J41" s="10">
        <v>5600</v>
      </c>
      <c r="K41" s="11" t="s">
        <v>84</v>
      </c>
      <c r="L41" s="12">
        <f t="shared" si="1"/>
        <v>-1.4283673760895343E-4</v>
      </c>
      <c r="O41" s="9">
        <v>43942</v>
      </c>
      <c r="P41" s="10">
        <v>5600</v>
      </c>
      <c r="Q41" s="11" t="s">
        <v>84</v>
      </c>
      <c r="R41" s="12">
        <f t="shared" si="2"/>
        <v>-1.4283673760895343E-4</v>
      </c>
      <c r="S41" s="12">
        <f t="shared" si="3"/>
        <v>-3.2144216432111961E-2</v>
      </c>
    </row>
    <row r="42" spans="3:19">
      <c r="C42" s="9">
        <v>42612</v>
      </c>
      <c r="D42" s="10">
        <v>39991.79</v>
      </c>
      <c r="E42" s="11" t="s">
        <v>79</v>
      </c>
      <c r="F42" s="12">
        <f t="shared" si="0"/>
        <v>-7.8030093681080714E-4</v>
      </c>
      <c r="I42" s="9">
        <v>43941</v>
      </c>
      <c r="J42" s="10">
        <v>5699</v>
      </c>
      <c r="K42" s="11" t="s">
        <v>84</v>
      </c>
      <c r="L42" s="12">
        <f t="shared" si="1"/>
        <v>1.7678571428571432E-2</v>
      </c>
      <c r="O42" s="9">
        <v>43941</v>
      </c>
      <c r="P42" s="10">
        <v>5699</v>
      </c>
      <c r="Q42" s="11" t="s">
        <v>84</v>
      </c>
      <c r="R42" s="12">
        <f t="shared" si="2"/>
        <v>1.7678571428571432E-2</v>
      </c>
      <c r="S42" s="12">
        <f t="shared" si="3"/>
        <v>2.0340626763722947E-2</v>
      </c>
    </row>
    <row r="43" spans="3:19">
      <c r="C43" s="9">
        <v>42613</v>
      </c>
      <c r="D43" s="10">
        <v>39809.58</v>
      </c>
      <c r="E43" s="11" t="s">
        <v>79</v>
      </c>
      <c r="F43" s="12">
        <f t="shared" si="0"/>
        <v>-4.5561851570034007E-3</v>
      </c>
      <c r="I43" s="9">
        <v>43938</v>
      </c>
      <c r="J43" s="10">
        <v>5620</v>
      </c>
      <c r="K43" s="11" t="s">
        <v>84</v>
      </c>
      <c r="L43" s="12">
        <f t="shared" si="1"/>
        <v>-1.3862081066853826E-2</v>
      </c>
      <c r="O43" s="9">
        <v>43938</v>
      </c>
      <c r="P43" s="10">
        <v>5620</v>
      </c>
      <c r="Q43" s="11" t="s">
        <v>84</v>
      </c>
      <c r="R43" s="12">
        <f t="shared" si="2"/>
        <v>-1.3862081066853826E-2</v>
      </c>
      <c r="S43" s="12">
        <f t="shared" si="3"/>
        <v>4.7953906642502098E-2</v>
      </c>
    </row>
    <row r="44" spans="3:19">
      <c r="C44" s="9">
        <v>42614</v>
      </c>
      <c r="D44" s="10">
        <v>39738.67</v>
      </c>
      <c r="E44" s="11" t="s">
        <v>79</v>
      </c>
      <c r="F44" s="12">
        <f t="shared" si="0"/>
        <v>-1.78122954324067E-3</v>
      </c>
      <c r="I44" s="9">
        <v>43937</v>
      </c>
      <c r="J44" s="10">
        <v>5600</v>
      </c>
      <c r="K44" s="11" t="s">
        <v>84</v>
      </c>
      <c r="L44" s="12">
        <f t="shared" si="1"/>
        <v>-3.558718861209953E-3</v>
      </c>
      <c r="O44" s="9">
        <v>43937</v>
      </c>
      <c r="P44" s="10">
        <v>5600</v>
      </c>
      <c r="Q44" s="11" t="s">
        <v>84</v>
      </c>
      <c r="R44" s="12">
        <f t="shared" si="2"/>
        <v>-3.558718861209953E-3</v>
      </c>
      <c r="S44" s="12">
        <f t="shared" si="3"/>
        <v>2.7933381110607503E-3</v>
      </c>
    </row>
    <row r="45" spans="3:19">
      <c r="C45" s="9">
        <v>42615</v>
      </c>
      <c r="D45" s="10">
        <v>39464.65</v>
      </c>
      <c r="E45" s="11" t="s">
        <v>79</v>
      </c>
      <c r="F45" s="12">
        <f t="shared" si="0"/>
        <v>-6.8955503543525198E-3</v>
      </c>
      <c r="I45" s="9">
        <v>43936</v>
      </c>
      <c r="J45" s="10">
        <v>5550</v>
      </c>
      <c r="K45" s="11" t="s">
        <v>84</v>
      </c>
      <c r="L45" s="12">
        <f t="shared" si="1"/>
        <v>-8.9285714285713969E-3</v>
      </c>
      <c r="O45" s="9">
        <v>43936</v>
      </c>
      <c r="P45" s="10">
        <v>5550</v>
      </c>
      <c r="Q45" s="11" t="s">
        <v>84</v>
      </c>
      <c r="R45" s="12">
        <f t="shared" si="2"/>
        <v>-8.9285714285713969E-3</v>
      </c>
      <c r="S45" s="12">
        <f t="shared" si="3"/>
        <v>6.2294340599189368E-4</v>
      </c>
    </row>
    <row r="46" spans="3:19">
      <c r="C46" s="9">
        <v>42618</v>
      </c>
      <c r="D46" s="10">
        <v>39278.11</v>
      </c>
      <c r="E46" s="11" t="s">
        <v>79</v>
      </c>
      <c r="F46" s="12">
        <f t="shared" si="0"/>
        <v>-4.7267617982169607E-3</v>
      </c>
      <c r="I46" s="9">
        <v>43935</v>
      </c>
      <c r="J46" s="10">
        <v>5810</v>
      </c>
      <c r="K46" s="11" t="s">
        <v>84</v>
      </c>
      <c r="L46" s="12">
        <f t="shared" si="1"/>
        <v>4.6846846846846812E-2</v>
      </c>
      <c r="O46" s="9">
        <v>43935</v>
      </c>
      <c r="P46" s="10">
        <v>5810</v>
      </c>
      <c r="Q46" s="11" t="s">
        <v>84</v>
      </c>
      <c r="R46" s="12">
        <f t="shared" si="2"/>
        <v>4.6846846846846812E-2</v>
      </c>
      <c r="S46" s="12">
        <f t="shared" si="3"/>
        <v>6.1144607722298794E-3</v>
      </c>
    </row>
    <row r="47" spans="3:19">
      <c r="C47" s="9">
        <v>42619</v>
      </c>
      <c r="D47" s="10">
        <v>39688.97</v>
      </c>
      <c r="E47" s="11" t="s">
        <v>79</v>
      </c>
      <c r="F47" s="12">
        <f t="shared" si="0"/>
        <v>1.0460279275148476E-2</v>
      </c>
      <c r="I47" s="9">
        <v>43934</v>
      </c>
      <c r="J47" s="10">
        <v>6127</v>
      </c>
      <c r="K47" s="11" t="s">
        <v>84</v>
      </c>
      <c r="L47" s="12">
        <f t="shared" si="1"/>
        <v>5.4561101549053248E-2</v>
      </c>
      <c r="O47" s="9">
        <v>43934</v>
      </c>
      <c r="P47" s="10">
        <v>6127</v>
      </c>
      <c r="Q47" s="11" t="s">
        <v>84</v>
      </c>
      <c r="R47" s="12">
        <f t="shared" si="2"/>
        <v>5.4561101549053248E-2</v>
      </c>
      <c r="S47" s="12">
        <f t="shared" si="3"/>
        <v>-3.1224167426295191E-2</v>
      </c>
    </row>
    <row r="48" spans="3:19">
      <c r="C48" s="9">
        <v>42620</v>
      </c>
      <c r="D48" s="10">
        <v>40084.870000000003</v>
      </c>
      <c r="E48" s="11" t="s">
        <v>79</v>
      </c>
      <c r="F48" s="12">
        <f t="shared" si="0"/>
        <v>9.9750636007938098E-3</v>
      </c>
      <c r="I48" s="9">
        <v>43929</v>
      </c>
      <c r="J48" s="10">
        <v>6590</v>
      </c>
      <c r="K48" s="11" t="s">
        <v>84</v>
      </c>
      <c r="L48" s="12">
        <f t="shared" si="1"/>
        <v>7.5567161743104183E-2</v>
      </c>
      <c r="O48" s="9">
        <v>43929</v>
      </c>
      <c r="P48" s="10">
        <v>6590</v>
      </c>
      <c r="Q48" s="11" t="s">
        <v>84</v>
      </c>
      <c r="R48" s="12">
        <f t="shared" si="2"/>
        <v>7.5567161743104183E-2</v>
      </c>
      <c r="S48" s="12">
        <f t="shared" si="3"/>
        <v>-8.3338803229425773E-3</v>
      </c>
    </row>
    <row r="49" spans="3:19">
      <c r="C49" s="9">
        <v>42621</v>
      </c>
      <c r="D49" s="10">
        <v>40136.93</v>
      </c>
      <c r="E49" s="11" t="s">
        <v>79</v>
      </c>
      <c r="F49" s="12">
        <f t="shared" si="0"/>
        <v>1.2987443890923878E-3</v>
      </c>
      <c r="I49" s="9">
        <v>43923</v>
      </c>
      <c r="J49" s="10">
        <v>6590</v>
      </c>
      <c r="K49" s="11" t="s">
        <v>84</v>
      </c>
      <c r="L49" s="12">
        <f t="shared" si="1"/>
        <v>0</v>
      </c>
      <c r="O49" s="9">
        <v>43923</v>
      </c>
      <c r="P49" s="10">
        <v>6590</v>
      </c>
      <c r="Q49" s="11" t="s">
        <v>84</v>
      </c>
      <c r="R49" s="12">
        <f t="shared" si="2"/>
        <v>0</v>
      </c>
      <c r="S49" s="12">
        <f t="shared" si="3"/>
        <v>4.3283014020742527E-2</v>
      </c>
    </row>
    <row r="50" spans="3:19">
      <c r="C50" s="9">
        <v>42622</v>
      </c>
      <c r="D50" s="10">
        <v>40340.230000000003</v>
      </c>
      <c r="E50" s="11" t="s">
        <v>79</v>
      </c>
      <c r="F50" s="12">
        <f t="shared" si="0"/>
        <v>5.0651606886724654E-3</v>
      </c>
      <c r="I50" s="9">
        <v>43922</v>
      </c>
      <c r="J50" s="10">
        <v>6600</v>
      </c>
      <c r="K50" s="11" t="s">
        <v>84</v>
      </c>
      <c r="L50" s="12">
        <f t="shared" si="1"/>
        <v>1.5174506828528056E-3</v>
      </c>
      <c r="O50" s="9">
        <v>43922</v>
      </c>
      <c r="P50" s="10">
        <v>6600</v>
      </c>
      <c r="Q50" s="11" t="s">
        <v>84</v>
      </c>
      <c r="R50" s="12">
        <f t="shared" si="2"/>
        <v>1.5174506828528056E-3</v>
      </c>
      <c r="S50" s="12">
        <f t="shared" si="3"/>
        <v>9.3713556171859391E-3</v>
      </c>
    </row>
    <row r="51" spans="3:19">
      <c r="C51" s="9">
        <v>42628</v>
      </c>
      <c r="D51" s="10">
        <v>40216.35</v>
      </c>
      <c r="E51" s="11" t="s">
        <v>79</v>
      </c>
      <c r="F51" s="12">
        <f t="shared" si="0"/>
        <v>-3.0708798636003287E-3</v>
      </c>
      <c r="I51" s="9">
        <v>43921</v>
      </c>
      <c r="J51" s="10">
        <v>6700</v>
      </c>
      <c r="K51" s="11" t="s">
        <v>84</v>
      </c>
      <c r="L51" s="12">
        <f t="shared" si="1"/>
        <v>1.5151515151515138E-2</v>
      </c>
      <c r="O51" s="9">
        <v>43921</v>
      </c>
      <c r="P51" s="10">
        <v>6700</v>
      </c>
      <c r="Q51" s="11" t="s">
        <v>84</v>
      </c>
      <c r="R51" s="12">
        <f t="shared" si="2"/>
        <v>1.5151515151515138E-2</v>
      </c>
      <c r="S51" s="12">
        <f t="shared" si="3"/>
        <v>4.3115411804210746E-2</v>
      </c>
    </row>
    <row r="52" spans="3:19">
      <c r="C52" s="9">
        <v>42629</v>
      </c>
      <c r="D52" s="10">
        <v>40363.68</v>
      </c>
      <c r="E52" s="11" t="s">
        <v>79</v>
      </c>
      <c r="F52" s="12">
        <f t="shared" si="0"/>
        <v>3.6634353938138631E-3</v>
      </c>
      <c r="I52" s="9">
        <v>43909</v>
      </c>
      <c r="J52" s="10">
        <v>6700</v>
      </c>
      <c r="K52" s="11" t="s">
        <v>84</v>
      </c>
      <c r="L52" s="12">
        <f t="shared" si="1"/>
        <v>0</v>
      </c>
      <c r="O52" s="9">
        <v>43909</v>
      </c>
      <c r="P52" s="10">
        <v>6700</v>
      </c>
      <c r="Q52" s="11" t="s">
        <v>84</v>
      </c>
      <c r="R52" s="12">
        <f t="shared" si="2"/>
        <v>0</v>
      </c>
      <c r="S52" s="12">
        <f t="shared" si="3"/>
        <v>-9.4101633841342514E-3</v>
      </c>
    </row>
    <row r="53" spans="3:19">
      <c r="C53" s="9">
        <v>42632</v>
      </c>
      <c r="D53" s="10">
        <v>40414.720000000001</v>
      </c>
      <c r="E53" s="11" t="s">
        <v>79</v>
      </c>
      <c r="F53" s="12">
        <f t="shared" si="0"/>
        <v>1.2645031374740601E-3</v>
      </c>
      <c r="I53" s="9">
        <v>43906</v>
      </c>
      <c r="J53" s="10">
        <v>7203.5</v>
      </c>
      <c r="K53" s="11" t="s">
        <v>84</v>
      </c>
      <c r="L53" s="12">
        <f t="shared" si="1"/>
        <v>7.514925373134318E-2</v>
      </c>
      <c r="O53" s="9">
        <v>43906</v>
      </c>
      <c r="P53" s="10">
        <v>7203.5</v>
      </c>
      <c r="Q53" s="11" t="s">
        <v>84</v>
      </c>
      <c r="R53" s="12">
        <f t="shared" si="2"/>
        <v>7.514925373134318E-2</v>
      </c>
      <c r="S53" s="12">
        <f t="shared" si="3"/>
        <v>-6.5887743172102109E-2</v>
      </c>
    </row>
    <row r="54" spans="3:19">
      <c r="C54" s="9">
        <v>42633</v>
      </c>
      <c r="D54" s="10">
        <v>40340.46</v>
      </c>
      <c r="E54" s="11" t="s">
        <v>79</v>
      </c>
      <c r="F54" s="12">
        <f t="shared" si="0"/>
        <v>-1.8374493253943136E-3</v>
      </c>
      <c r="I54" s="9">
        <v>43899</v>
      </c>
      <c r="J54" s="10">
        <v>7200</v>
      </c>
      <c r="K54" s="11" t="s">
        <v>84</v>
      </c>
      <c r="L54" s="12">
        <f t="shared" si="1"/>
        <v>-4.8587492191298765E-4</v>
      </c>
      <c r="O54" s="9">
        <v>43899</v>
      </c>
      <c r="P54" s="10">
        <v>7200</v>
      </c>
      <c r="Q54" s="11" t="s">
        <v>84</v>
      </c>
      <c r="R54" s="12">
        <f t="shared" si="2"/>
        <v>-4.8587492191298765E-4</v>
      </c>
      <c r="S54" s="12">
        <f t="shared" si="3"/>
        <v>-3.0369702302505575E-2</v>
      </c>
    </row>
    <row r="55" spans="3:19">
      <c r="C55" s="9">
        <v>42634</v>
      </c>
      <c r="D55" s="10">
        <v>39771.42</v>
      </c>
      <c r="E55" s="11" t="s">
        <v>79</v>
      </c>
      <c r="F55" s="12">
        <f t="shared" si="0"/>
        <v>-1.4105937314547234E-2</v>
      </c>
      <c r="I55" s="9">
        <v>43896</v>
      </c>
      <c r="J55" s="10">
        <v>7700</v>
      </c>
      <c r="K55" s="11" t="s">
        <v>84</v>
      </c>
      <c r="L55" s="12">
        <f t="shared" si="1"/>
        <v>6.944444444444442E-2</v>
      </c>
      <c r="O55" s="9">
        <v>43896</v>
      </c>
      <c r="P55" s="10">
        <v>7700</v>
      </c>
      <c r="Q55" s="11" t="s">
        <v>84</v>
      </c>
      <c r="R55" s="12">
        <f t="shared" si="2"/>
        <v>6.944444444444442E-2</v>
      </c>
      <c r="S55" s="12">
        <f t="shared" si="3"/>
        <v>-2.9516955795410693E-2</v>
      </c>
    </row>
    <row r="56" spans="3:19">
      <c r="C56" s="9">
        <v>42635</v>
      </c>
      <c r="D56" s="10">
        <v>40135.31</v>
      </c>
      <c r="E56" s="11" t="s">
        <v>79</v>
      </c>
      <c r="F56" s="12">
        <f t="shared" si="0"/>
        <v>9.1495350178596446E-3</v>
      </c>
      <c r="I56" s="9">
        <v>43895</v>
      </c>
      <c r="J56" s="10">
        <v>7600</v>
      </c>
      <c r="K56" s="11" t="s">
        <v>84</v>
      </c>
      <c r="L56" s="12">
        <f t="shared" si="1"/>
        <v>-1.2987012987012991E-2</v>
      </c>
      <c r="O56" s="9">
        <v>43895</v>
      </c>
      <c r="P56" s="10">
        <v>7600</v>
      </c>
      <c r="Q56" s="11" t="s">
        <v>84</v>
      </c>
      <c r="R56" s="12">
        <f t="shared" si="2"/>
        <v>-1.2987012987012991E-2</v>
      </c>
      <c r="S56" s="12">
        <f t="shared" si="3"/>
        <v>1.2227037196965052E-2</v>
      </c>
    </row>
    <row r="57" spans="3:19">
      <c r="C57" s="9">
        <v>42636</v>
      </c>
      <c r="D57" s="10">
        <v>39781.949999999997</v>
      </c>
      <c r="E57" s="11" t="s">
        <v>79</v>
      </c>
      <c r="F57" s="12">
        <f t="shared" si="0"/>
        <v>-8.8042175331397576E-3</v>
      </c>
      <c r="I57" s="9">
        <v>43888</v>
      </c>
      <c r="J57" s="10">
        <v>7800</v>
      </c>
      <c r="K57" s="11" t="s">
        <v>84</v>
      </c>
      <c r="L57" s="12">
        <f t="shared" si="1"/>
        <v>2.6315789473684292E-2</v>
      </c>
      <c r="O57" s="9">
        <v>43888</v>
      </c>
      <c r="P57" s="10">
        <v>7800</v>
      </c>
      <c r="Q57" s="11" t="s">
        <v>84</v>
      </c>
      <c r="R57" s="12">
        <f t="shared" si="2"/>
        <v>2.6315789473684292E-2</v>
      </c>
      <c r="S57" s="12">
        <f t="shared" si="3"/>
        <v>-6.5472335388631064E-3</v>
      </c>
    </row>
    <row r="58" spans="3:19">
      <c r="C58" s="9">
        <v>42639</v>
      </c>
      <c r="D58" s="10">
        <v>40220.76</v>
      </c>
      <c r="E58" s="11" t="s">
        <v>79</v>
      </c>
      <c r="F58" s="12">
        <f t="shared" si="0"/>
        <v>1.1030379355461584E-2</v>
      </c>
      <c r="I58" s="9">
        <v>43886</v>
      </c>
      <c r="J58" s="10">
        <v>7800</v>
      </c>
      <c r="K58" s="11" t="s">
        <v>84</v>
      </c>
      <c r="L58" s="12">
        <f t="shared" si="1"/>
        <v>0</v>
      </c>
      <c r="O58" s="9">
        <v>43886</v>
      </c>
      <c r="P58" s="10">
        <v>7800</v>
      </c>
      <c r="Q58" s="11" t="s">
        <v>84</v>
      </c>
      <c r="R58" s="12">
        <f t="shared" si="2"/>
        <v>0</v>
      </c>
      <c r="S58" s="12">
        <f t="shared" si="3"/>
        <v>-7.2880126651192478E-3</v>
      </c>
    </row>
    <row r="59" spans="3:19">
      <c r="C59" s="9">
        <v>42640</v>
      </c>
      <c r="D59" s="10">
        <v>40294.379999999997</v>
      </c>
      <c r="E59" s="11" t="s">
        <v>79</v>
      </c>
      <c r="F59" s="12">
        <f t="shared" si="0"/>
        <v>1.8303980332543546E-3</v>
      </c>
      <c r="I59" s="9">
        <v>43885</v>
      </c>
      <c r="J59" s="10">
        <v>7800</v>
      </c>
      <c r="K59" s="11" t="s">
        <v>84</v>
      </c>
      <c r="L59" s="12">
        <f t="shared" si="1"/>
        <v>0</v>
      </c>
      <c r="O59" s="9">
        <v>43885</v>
      </c>
      <c r="P59" s="10">
        <v>7800</v>
      </c>
      <c r="Q59" s="11" t="s">
        <v>84</v>
      </c>
      <c r="R59" s="12">
        <f t="shared" si="2"/>
        <v>0</v>
      </c>
      <c r="S59" s="12">
        <f t="shared" si="3"/>
        <v>-2.7466122324854902E-2</v>
      </c>
    </row>
    <row r="60" spans="3:19">
      <c r="C60" s="9">
        <v>42641</v>
      </c>
      <c r="D60" s="10">
        <v>40355.019999999997</v>
      </c>
      <c r="E60" s="11" t="s">
        <v>79</v>
      </c>
      <c r="F60" s="12">
        <f t="shared" si="0"/>
        <v>1.5049245080827056E-3</v>
      </c>
      <c r="I60" s="9">
        <v>43874</v>
      </c>
      <c r="J60" s="10">
        <v>7425</v>
      </c>
      <c r="K60" s="11" t="s">
        <v>84</v>
      </c>
      <c r="L60" s="12">
        <f t="shared" si="1"/>
        <v>-4.8076923076923128E-2</v>
      </c>
      <c r="O60" s="9">
        <v>43874</v>
      </c>
      <c r="P60" s="10">
        <v>7425</v>
      </c>
      <c r="Q60" s="11" t="s">
        <v>84</v>
      </c>
      <c r="R60" s="12">
        <f t="shared" si="2"/>
        <v>-4.8076923076923128E-2</v>
      </c>
      <c r="S60" s="12">
        <f t="shared" si="3"/>
        <v>-1.8674534857526792E-3</v>
      </c>
    </row>
    <row r="61" spans="3:19">
      <c r="C61" s="9">
        <v>42642</v>
      </c>
      <c r="D61" s="10">
        <v>40295.519999999997</v>
      </c>
      <c r="E61" s="11" t="s">
        <v>79</v>
      </c>
      <c r="F61" s="12">
        <f t="shared" si="0"/>
        <v>-1.4744138399633844E-3</v>
      </c>
      <c r="I61" s="9">
        <v>43873</v>
      </c>
      <c r="J61" s="10">
        <v>7400</v>
      </c>
      <c r="K61" s="11" t="s">
        <v>84</v>
      </c>
      <c r="L61" s="12">
        <f t="shared" si="1"/>
        <v>-3.3670033670033517E-3</v>
      </c>
      <c r="O61" s="9">
        <v>43873</v>
      </c>
      <c r="P61" s="10">
        <v>7400</v>
      </c>
      <c r="Q61" s="11" t="s">
        <v>84</v>
      </c>
      <c r="R61" s="12">
        <f t="shared" si="2"/>
        <v>-3.3670033670033517E-3</v>
      </c>
      <c r="S61" s="12">
        <f t="shared" si="3"/>
        <v>2.0563542850639216E-2</v>
      </c>
    </row>
    <row r="62" spans="3:19">
      <c r="C62" s="9">
        <v>42643</v>
      </c>
      <c r="D62" s="10">
        <v>40541.81</v>
      </c>
      <c r="E62" s="11" t="s">
        <v>79</v>
      </c>
      <c r="F62" s="12">
        <f t="shared" si="0"/>
        <v>6.1120938506316058E-3</v>
      </c>
      <c r="I62" s="9">
        <v>43871</v>
      </c>
      <c r="J62" s="10">
        <v>7473</v>
      </c>
      <c r="K62" s="11" t="s">
        <v>84</v>
      </c>
      <c r="L62" s="12">
        <f t="shared" si="1"/>
        <v>9.8648648648649306E-3</v>
      </c>
      <c r="O62" s="9">
        <v>43871</v>
      </c>
      <c r="P62" s="10">
        <v>7473</v>
      </c>
      <c r="Q62" s="11" t="s">
        <v>84</v>
      </c>
      <c r="R62" s="12">
        <f t="shared" si="2"/>
        <v>9.8648648648649306E-3</v>
      </c>
      <c r="S62" s="12">
        <f t="shared" si="3"/>
        <v>-2.1097494172799047E-2</v>
      </c>
    </row>
    <row r="63" spans="3:19">
      <c r="C63" s="9">
        <v>42646</v>
      </c>
      <c r="D63" s="10">
        <v>40986.31</v>
      </c>
      <c r="E63" s="11" t="s">
        <v>79</v>
      </c>
      <c r="F63" s="12">
        <f t="shared" si="0"/>
        <v>1.0963990014259295E-2</v>
      </c>
      <c r="I63" s="9">
        <v>43868</v>
      </c>
      <c r="J63" s="10">
        <v>7473</v>
      </c>
      <c r="K63" s="11" t="s">
        <v>84</v>
      </c>
      <c r="L63" s="12">
        <f t="shared" si="1"/>
        <v>0</v>
      </c>
      <c r="O63" s="9">
        <v>43868</v>
      </c>
      <c r="P63" s="10">
        <v>7473</v>
      </c>
      <c r="Q63" s="11" t="s">
        <v>84</v>
      </c>
      <c r="R63" s="12">
        <f t="shared" si="2"/>
        <v>0</v>
      </c>
      <c r="S63" s="12">
        <f t="shared" si="3"/>
        <v>-1.4261225638382613E-2</v>
      </c>
    </row>
    <row r="64" spans="3:19">
      <c r="C64" s="9">
        <v>42647</v>
      </c>
      <c r="D64" s="10">
        <v>41123.97</v>
      </c>
      <c r="E64" s="11" t="s">
        <v>79</v>
      </c>
      <c r="F64" s="12">
        <f t="shared" si="0"/>
        <v>3.3586824478710753E-3</v>
      </c>
      <c r="I64" s="9">
        <v>43858</v>
      </c>
      <c r="J64" s="10">
        <v>7989</v>
      </c>
      <c r="K64" s="11" t="s">
        <v>84</v>
      </c>
      <c r="L64" s="12">
        <f t="shared" si="1"/>
        <v>6.9048574869530199E-2</v>
      </c>
      <c r="O64" s="9">
        <v>43858</v>
      </c>
      <c r="P64" s="10">
        <v>7989</v>
      </c>
      <c r="Q64" s="11" t="s">
        <v>84</v>
      </c>
      <c r="R64" s="12">
        <f t="shared" si="2"/>
        <v>6.9048574869530199E-2</v>
      </c>
      <c r="S64" s="12">
        <f t="shared" si="3"/>
        <v>-5.6427913716351474E-3</v>
      </c>
    </row>
    <row r="65" spans="3:19">
      <c r="C65" s="9">
        <v>42648</v>
      </c>
      <c r="D65" s="10">
        <v>41253.46</v>
      </c>
      <c r="E65" s="11" t="s">
        <v>79</v>
      </c>
      <c r="F65" s="12">
        <f t="shared" si="0"/>
        <v>3.1487718719762636E-3</v>
      </c>
      <c r="I65" s="9">
        <v>43853</v>
      </c>
      <c r="J65" s="10">
        <v>8000</v>
      </c>
      <c r="K65" s="11" t="s">
        <v>84</v>
      </c>
      <c r="L65" s="12">
        <f t="shared" si="1"/>
        <v>1.3768932281887913E-3</v>
      </c>
      <c r="O65" s="9">
        <v>43853</v>
      </c>
      <c r="P65" s="10">
        <v>8000</v>
      </c>
      <c r="Q65" s="11" t="s">
        <v>84</v>
      </c>
      <c r="R65" s="12">
        <f t="shared" si="2"/>
        <v>1.3768932281887913E-3</v>
      </c>
      <c r="S65" s="12">
        <f t="shared" si="3"/>
        <v>-1.2762777050591145E-3</v>
      </c>
    </row>
    <row r="66" spans="3:19">
      <c r="C66" s="9">
        <v>42649</v>
      </c>
      <c r="D66" s="10">
        <v>41252.17</v>
      </c>
      <c r="E66" s="11" t="s">
        <v>79</v>
      </c>
      <c r="F66" s="12">
        <f t="shared" si="0"/>
        <v>-3.1270104374314656E-5</v>
      </c>
      <c r="I66" s="9">
        <v>43844</v>
      </c>
      <c r="J66" s="10">
        <v>8000</v>
      </c>
      <c r="K66" s="11" t="s">
        <v>84</v>
      </c>
      <c r="L66" s="12">
        <f t="shared" si="1"/>
        <v>0</v>
      </c>
      <c r="O66" s="9">
        <v>43844</v>
      </c>
      <c r="P66" s="10">
        <v>8000</v>
      </c>
      <c r="Q66" s="11" t="s">
        <v>84</v>
      </c>
      <c r="R66" s="12">
        <f t="shared" si="2"/>
        <v>0</v>
      </c>
      <c r="S66" s="12">
        <f t="shared" si="3"/>
        <v>-2.6909666586216741E-4</v>
      </c>
    </row>
    <row r="67" spans="3:19">
      <c r="C67" s="9">
        <v>42650</v>
      </c>
      <c r="D67" s="10">
        <v>41200.480000000003</v>
      </c>
      <c r="E67" s="11" t="s">
        <v>79</v>
      </c>
      <c r="F67" s="12">
        <f t="shared" si="0"/>
        <v>-1.2530249923821124E-3</v>
      </c>
      <c r="I67" s="9">
        <v>43843</v>
      </c>
      <c r="J67" s="10">
        <v>8100</v>
      </c>
      <c r="K67" s="11" t="s">
        <v>84</v>
      </c>
      <c r="L67" s="12">
        <f t="shared" si="1"/>
        <v>1.2499999999999956E-2</v>
      </c>
      <c r="O67" s="9">
        <v>43843</v>
      </c>
      <c r="P67" s="10">
        <v>8100</v>
      </c>
      <c r="Q67" s="11" t="s">
        <v>84</v>
      </c>
      <c r="R67" s="12">
        <f t="shared" si="2"/>
        <v>1.2499999999999956E-2</v>
      </c>
      <c r="S67" s="12">
        <f t="shared" si="3"/>
        <v>2.6893759236035208E-4</v>
      </c>
    </row>
    <row r="68" spans="3:19">
      <c r="C68" s="9">
        <v>42653</v>
      </c>
      <c r="D68" s="10">
        <v>41403.97</v>
      </c>
      <c r="E68" s="11" t="s">
        <v>79</v>
      </c>
      <c r="F68" s="12">
        <f t="shared" si="0"/>
        <v>4.9390201279206902E-3</v>
      </c>
      <c r="I68" s="9">
        <v>43838</v>
      </c>
      <c r="J68" s="10">
        <v>8001</v>
      </c>
      <c r="K68" s="11" t="s">
        <v>84</v>
      </c>
      <c r="L68" s="12">
        <f t="shared" si="1"/>
        <v>-1.2222222222222245E-2</v>
      </c>
      <c r="O68" s="9">
        <v>43838</v>
      </c>
      <c r="P68" s="10">
        <v>8001</v>
      </c>
      <c r="Q68" s="11" t="s">
        <v>84</v>
      </c>
      <c r="R68" s="12">
        <f t="shared" si="2"/>
        <v>-1.2222222222222245E-2</v>
      </c>
      <c r="S68" s="12">
        <f t="shared" si="3"/>
        <v>-1.3051352278169892E-2</v>
      </c>
    </row>
    <row r="69" spans="3:19">
      <c r="C69" s="9">
        <v>42656</v>
      </c>
      <c r="D69" s="10">
        <v>41412.04</v>
      </c>
      <c r="E69" s="11" t="s">
        <v>79</v>
      </c>
      <c r="F69" s="12">
        <f t="shared" si="0"/>
        <v>1.9490884569761668E-4</v>
      </c>
      <c r="I69" s="9">
        <v>43837</v>
      </c>
      <c r="J69" s="10">
        <v>8000</v>
      </c>
      <c r="K69" s="11" t="s">
        <v>84</v>
      </c>
      <c r="L69" s="12">
        <f t="shared" si="1"/>
        <v>-1.2498437695285247E-4</v>
      </c>
      <c r="O69" s="9">
        <v>43837</v>
      </c>
      <c r="P69" s="10">
        <v>8000</v>
      </c>
      <c r="Q69" s="11" t="s">
        <v>84</v>
      </c>
      <c r="R69" s="12">
        <f t="shared" si="2"/>
        <v>-1.2498437695285247E-4</v>
      </c>
      <c r="S69" s="12">
        <f t="shared" si="3"/>
        <v>1.4728459540142236E-2</v>
      </c>
    </row>
    <row r="70" spans="3:19">
      <c r="C70" s="9">
        <v>42657</v>
      </c>
      <c r="D70" s="10">
        <v>41464.31</v>
      </c>
      <c r="E70" s="11" t="s">
        <v>79</v>
      </c>
      <c r="F70" s="12">
        <f t="shared" si="0"/>
        <v>1.2621933138283747E-3</v>
      </c>
      <c r="I70" s="9">
        <v>43833</v>
      </c>
      <c r="J70" s="10">
        <v>8175</v>
      </c>
      <c r="K70" s="11" t="s">
        <v>84</v>
      </c>
      <c r="L70" s="12">
        <f t="shared" si="1"/>
        <v>2.1875000000000089E-2</v>
      </c>
      <c r="O70" s="9">
        <v>43833</v>
      </c>
      <c r="P70" s="10">
        <v>8175</v>
      </c>
      <c r="Q70" s="11" t="s">
        <v>84</v>
      </c>
      <c r="R70" s="12">
        <f t="shared" si="2"/>
        <v>2.1875000000000089E-2</v>
      </c>
      <c r="S70" s="12">
        <f t="shared" si="3"/>
        <v>-3.706619184779214E-3</v>
      </c>
    </row>
    <row r="71" spans="3:19">
      <c r="C71" s="9">
        <v>42660</v>
      </c>
      <c r="D71" s="10">
        <v>41282.720000000001</v>
      </c>
      <c r="E71" s="11" t="s">
        <v>79</v>
      </c>
      <c r="F71" s="12">
        <f t="shared" ref="F71:F134" si="4">D71/D70-1</f>
        <v>-4.379428959507492E-3</v>
      </c>
      <c r="I71" s="9">
        <v>43832</v>
      </c>
      <c r="J71" s="10">
        <v>8250</v>
      </c>
      <c r="K71" s="11" t="s">
        <v>84</v>
      </c>
      <c r="L71" s="12">
        <f t="shared" ref="L71:L134" si="5">J71/J70-1</f>
        <v>9.1743119266054496E-3</v>
      </c>
      <c r="O71" s="9">
        <v>43832</v>
      </c>
      <c r="P71" s="10">
        <v>8250</v>
      </c>
      <c r="Q71" s="11" t="s">
        <v>84</v>
      </c>
      <c r="R71" s="12">
        <f t="shared" ref="R71:R134" si="6">P71/P70-1</f>
        <v>9.1743119266054496E-3</v>
      </c>
      <c r="S71" s="12">
        <f t="shared" ref="S71:S134" si="7">VLOOKUP(O71,$C$5:$F$989,4,)</f>
        <v>2.6105314009661873E-2</v>
      </c>
    </row>
    <row r="72" spans="3:19">
      <c r="C72" s="9">
        <v>42661</v>
      </c>
      <c r="D72" s="10">
        <v>40954.22</v>
      </c>
      <c r="E72" s="11" t="s">
        <v>79</v>
      </c>
      <c r="F72" s="12">
        <f t="shared" si="4"/>
        <v>-7.9573245173767404E-3</v>
      </c>
      <c r="I72" s="9">
        <v>43830</v>
      </c>
      <c r="J72" s="10">
        <v>8200</v>
      </c>
      <c r="K72" s="11" t="s">
        <v>84</v>
      </c>
      <c r="L72" s="12">
        <f t="shared" si="5"/>
        <v>-6.0606060606060996E-3</v>
      </c>
      <c r="O72" s="9">
        <v>43830</v>
      </c>
      <c r="P72" s="10">
        <v>8200</v>
      </c>
      <c r="Q72" s="11" t="s">
        <v>84</v>
      </c>
      <c r="R72" s="12">
        <f t="shared" si="6"/>
        <v>-6.0606060606060996E-3</v>
      </c>
      <c r="S72" s="12">
        <f t="shared" si="7"/>
        <v>-3.7307135998623231E-3</v>
      </c>
    </row>
    <row r="73" spans="3:19">
      <c r="C73" s="9">
        <v>42662</v>
      </c>
      <c r="D73" s="10">
        <v>40924.14</v>
      </c>
      <c r="E73" s="11" t="s">
        <v>79</v>
      </c>
      <c r="F73" s="12">
        <f t="shared" si="4"/>
        <v>-7.3447864469156077E-4</v>
      </c>
      <c r="I73" s="9">
        <v>43829</v>
      </c>
      <c r="J73" s="10">
        <v>8100</v>
      </c>
      <c r="K73" s="11" t="s">
        <v>84</v>
      </c>
      <c r="L73" s="12">
        <f t="shared" si="5"/>
        <v>-1.2195121951219523E-2</v>
      </c>
      <c r="O73" s="9">
        <v>43829</v>
      </c>
      <c r="P73" s="10">
        <v>8100</v>
      </c>
      <c r="Q73" s="11" t="s">
        <v>84</v>
      </c>
      <c r="R73" s="12">
        <f t="shared" si="6"/>
        <v>-1.2195121951219523E-2</v>
      </c>
      <c r="S73" s="12">
        <f t="shared" si="7"/>
        <v>9.5694998081952143E-4</v>
      </c>
    </row>
    <row r="74" spans="3:19">
      <c r="C74" s="9">
        <v>42663</v>
      </c>
      <c r="D74" s="10">
        <v>41545.949999999997</v>
      </c>
      <c r="E74" s="11" t="s">
        <v>79</v>
      </c>
      <c r="F74" s="12">
        <f t="shared" si="4"/>
        <v>1.5194210556410015E-2</v>
      </c>
      <c r="I74" s="9">
        <v>43825</v>
      </c>
      <c r="J74" s="10">
        <v>8000</v>
      </c>
      <c r="K74" s="11" t="s">
        <v>84</v>
      </c>
      <c r="L74" s="12">
        <f t="shared" si="5"/>
        <v>-1.2345679012345734E-2</v>
      </c>
      <c r="O74" s="9">
        <v>43825</v>
      </c>
      <c r="P74" s="10">
        <v>8000</v>
      </c>
      <c r="Q74" s="11" t="s">
        <v>84</v>
      </c>
      <c r="R74" s="12">
        <f t="shared" si="6"/>
        <v>-1.2345679012345734E-2</v>
      </c>
      <c r="S74" s="12">
        <f t="shared" si="7"/>
        <v>1.9824034326250128E-2</v>
      </c>
    </row>
    <row r="75" spans="3:19">
      <c r="C75" s="9">
        <v>42664</v>
      </c>
      <c r="D75" s="10">
        <v>41291.43</v>
      </c>
      <c r="E75" s="11" t="s">
        <v>79</v>
      </c>
      <c r="F75" s="12">
        <f t="shared" si="4"/>
        <v>-6.1262289103991563E-3</v>
      </c>
      <c r="I75" s="9">
        <v>43823</v>
      </c>
      <c r="J75" s="10">
        <v>7999</v>
      </c>
      <c r="K75" s="11" t="s">
        <v>84</v>
      </c>
      <c r="L75" s="12">
        <f t="shared" si="5"/>
        <v>-1.2500000000004174E-4</v>
      </c>
      <c r="O75" s="9">
        <v>43823</v>
      </c>
      <c r="P75" s="10">
        <v>7999</v>
      </c>
      <c r="Q75" s="11" t="s">
        <v>84</v>
      </c>
      <c r="R75" s="12">
        <f t="shared" si="6"/>
        <v>-1.2500000000004174E-4</v>
      </c>
      <c r="S75" s="12">
        <f t="shared" si="7"/>
        <v>7.9990921881438748E-3</v>
      </c>
    </row>
    <row r="76" spans="3:19">
      <c r="C76" s="9">
        <v>42667</v>
      </c>
      <c r="D76" s="10">
        <v>40852.03</v>
      </c>
      <c r="E76" s="11" t="s">
        <v>79</v>
      </c>
      <c r="F76" s="12">
        <f t="shared" si="4"/>
        <v>-1.0641433343432372E-2</v>
      </c>
      <c r="I76" s="9">
        <v>43822</v>
      </c>
      <c r="J76" s="10">
        <v>8000</v>
      </c>
      <c r="K76" s="11" t="s">
        <v>84</v>
      </c>
      <c r="L76" s="12">
        <f t="shared" si="5"/>
        <v>1.2501562695343971E-4</v>
      </c>
      <c r="O76" s="9">
        <v>43822</v>
      </c>
      <c r="P76" s="10">
        <v>8000</v>
      </c>
      <c r="Q76" s="11" t="s">
        <v>84</v>
      </c>
      <c r="R76" s="12">
        <f t="shared" si="6"/>
        <v>1.2501562695343971E-4</v>
      </c>
      <c r="S76" s="12">
        <f t="shared" si="7"/>
        <v>-2.0196904512748026E-2</v>
      </c>
    </row>
    <row r="77" spans="3:19">
      <c r="C77" s="9">
        <v>42668</v>
      </c>
      <c r="D77" s="10">
        <v>40764.76</v>
      </c>
      <c r="E77" s="11" t="s">
        <v>79</v>
      </c>
      <c r="F77" s="12">
        <f t="shared" si="4"/>
        <v>-2.1362463505484319E-3</v>
      </c>
      <c r="I77" s="9">
        <v>43819</v>
      </c>
      <c r="J77" s="10">
        <v>7800</v>
      </c>
      <c r="K77" s="11" t="s">
        <v>84</v>
      </c>
      <c r="L77" s="12">
        <f t="shared" si="5"/>
        <v>-2.5000000000000022E-2</v>
      </c>
      <c r="O77" s="9">
        <v>43819</v>
      </c>
      <c r="P77" s="10">
        <v>7800</v>
      </c>
      <c r="Q77" s="11" t="s">
        <v>84</v>
      </c>
      <c r="R77" s="12">
        <f t="shared" si="6"/>
        <v>-2.5000000000000022E-2</v>
      </c>
      <c r="S77" s="12">
        <f t="shared" si="7"/>
        <v>4.3689185463076097E-3</v>
      </c>
    </row>
    <row r="78" spans="3:19">
      <c r="C78" s="9">
        <v>42669</v>
      </c>
      <c r="D78" s="10">
        <v>40526.81</v>
      </c>
      <c r="E78" s="11" t="s">
        <v>79</v>
      </c>
      <c r="F78" s="12">
        <f t="shared" si="4"/>
        <v>-5.8371495379834215E-3</v>
      </c>
      <c r="I78" s="9">
        <v>43818</v>
      </c>
      <c r="J78" s="10">
        <v>7475</v>
      </c>
      <c r="K78" s="11" t="s">
        <v>84</v>
      </c>
      <c r="L78" s="12">
        <f t="shared" si="5"/>
        <v>-4.166666666666663E-2</v>
      </c>
      <c r="O78" s="9">
        <v>43818</v>
      </c>
      <c r="P78" s="10">
        <v>7475</v>
      </c>
      <c r="Q78" s="11" t="s">
        <v>84</v>
      </c>
      <c r="R78" s="12">
        <f t="shared" si="6"/>
        <v>-4.166666666666663E-2</v>
      </c>
      <c r="S78" s="12">
        <f t="shared" si="7"/>
        <v>-2.2794601731431996E-2</v>
      </c>
    </row>
    <row r="79" spans="3:19">
      <c r="C79" s="9">
        <v>42670</v>
      </c>
      <c r="D79" s="10">
        <v>39987.31</v>
      </c>
      <c r="E79" s="11" t="s">
        <v>79</v>
      </c>
      <c r="F79" s="12">
        <f t="shared" si="4"/>
        <v>-1.3312175322952924E-2</v>
      </c>
      <c r="I79" s="9">
        <v>43817</v>
      </c>
      <c r="J79" s="10">
        <v>7790</v>
      </c>
      <c r="K79" s="11" t="s">
        <v>84</v>
      </c>
      <c r="L79" s="12">
        <f t="shared" si="5"/>
        <v>4.2140468227424677E-2</v>
      </c>
      <c r="O79" s="9">
        <v>43817</v>
      </c>
      <c r="P79" s="10">
        <v>7790</v>
      </c>
      <c r="Q79" s="11" t="s">
        <v>84</v>
      </c>
      <c r="R79" s="12">
        <f t="shared" si="6"/>
        <v>4.2140468227424677E-2</v>
      </c>
      <c r="S79" s="12">
        <f t="shared" si="7"/>
        <v>-3.9491331539006636E-3</v>
      </c>
    </row>
    <row r="80" spans="3:19">
      <c r="C80" s="9">
        <v>42671</v>
      </c>
      <c r="D80" s="10">
        <v>39872.879999999997</v>
      </c>
      <c r="E80" s="11" t="s">
        <v>79</v>
      </c>
      <c r="F80" s="12">
        <f t="shared" si="4"/>
        <v>-2.8616578609563792E-3</v>
      </c>
      <c r="I80" s="9">
        <v>43816</v>
      </c>
      <c r="J80" s="10">
        <v>8200</v>
      </c>
      <c r="K80" s="11" t="s">
        <v>84</v>
      </c>
      <c r="L80" s="12">
        <f t="shared" si="5"/>
        <v>5.2631578947368363E-2</v>
      </c>
      <c r="O80" s="9">
        <v>43816</v>
      </c>
      <c r="P80" s="10">
        <v>8200</v>
      </c>
      <c r="Q80" s="11" t="s">
        <v>84</v>
      </c>
      <c r="R80" s="12">
        <f t="shared" si="6"/>
        <v>5.2631578947368363E-2</v>
      </c>
      <c r="S80" s="12">
        <f t="shared" si="7"/>
        <v>2.9722741427038457E-3</v>
      </c>
    </row>
    <row r="81" spans="3:19">
      <c r="C81" s="9">
        <v>42674</v>
      </c>
      <c r="D81" s="10">
        <v>39893.839999999997</v>
      </c>
      <c r="E81" s="11" t="s">
        <v>79</v>
      </c>
      <c r="F81" s="12">
        <f t="shared" si="4"/>
        <v>5.2567058110675191E-4</v>
      </c>
      <c r="I81" s="9">
        <v>43815</v>
      </c>
      <c r="J81" s="10">
        <v>8480</v>
      </c>
      <c r="K81" s="11" t="s">
        <v>84</v>
      </c>
      <c r="L81" s="12">
        <f t="shared" si="5"/>
        <v>3.4146341463414664E-2</v>
      </c>
      <c r="O81" s="9">
        <v>43815</v>
      </c>
      <c r="P81" s="10">
        <v>8480</v>
      </c>
      <c r="Q81" s="11" t="s">
        <v>84</v>
      </c>
      <c r="R81" s="12">
        <f t="shared" si="6"/>
        <v>3.4146341463414664E-2</v>
      </c>
      <c r="S81" s="12">
        <f t="shared" si="7"/>
        <v>1.7799381620022592E-2</v>
      </c>
    </row>
    <row r="82" spans="3:19">
      <c r="C82" s="9">
        <v>42675</v>
      </c>
      <c r="D82" s="10">
        <v>41299.870000000003</v>
      </c>
      <c r="E82" s="11" t="s">
        <v>79</v>
      </c>
      <c r="F82" s="12">
        <f t="shared" si="4"/>
        <v>3.5244288341257812E-2</v>
      </c>
      <c r="I82" s="9">
        <v>43812</v>
      </c>
      <c r="J82" s="10">
        <v>8100</v>
      </c>
      <c r="K82" s="11" t="s">
        <v>84</v>
      </c>
      <c r="L82" s="12">
        <f t="shared" si="5"/>
        <v>-4.4811320754716943E-2</v>
      </c>
      <c r="O82" s="9">
        <v>43812</v>
      </c>
      <c r="P82" s="10">
        <v>8100</v>
      </c>
      <c r="Q82" s="11" t="s">
        <v>84</v>
      </c>
      <c r="R82" s="12">
        <f t="shared" si="6"/>
        <v>-4.4811320754716943E-2</v>
      </c>
      <c r="S82" s="12">
        <f t="shared" si="7"/>
        <v>9.9328210352080948E-3</v>
      </c>
    </row>
    <row r="83" spans="3:19">
      <c r="C83" s="9">
        <v>42676</v>
      </c>
      <c r="D83" s="10">
        <v>41742.75</v>
      </c>
      <c r="E83" s="11" t="s">
        <v>79</v>
      </c>
      <c r="F83" s="12">
        <f t="shared" si="4"/>
        <v>1.0723520437231349E-2</v>
      </c>
      <c r="I83" s="9">
        <v>43811</v>
      </c>
      <c r="J83" s="10">
        <v>8080</v>
      </c>
      <c r="K83" s="11" t="s">
        <v>84</v>
      </c>
      <c r="L83" s="12">
        <f t="shared" si="5"/>
        <v>-2.4691358024691024E-3</v>
      </c>
      <c r="O83" s="9">
        <v>43811</v>
      </c>
      <c r="P83" s="10">
        <v>8080</v>
      </c>
      <c r="Q83" s="11" t="s">
        <v>84</v>
      </c>
      <c r="R83" s="12">
        <f t="shared" si="6"/>
        <v>-2.4691358024691024E-3</v>
      </c>
      <c r="S83" s="12">
        <f t="shared" si="7"/>
        <v>-4.2559574769396313E-4</v>
      </c>
    </row>
    <row r="84" spans="3:19">
      <c r="C84" s="9">
        <v>42677</v>
      </c>
      <c r="D84" s="10">
        <v>41974.46</v>
      </c>
      <c r="E84" s="11" t="s">
        <v>79</v>
      </c>
      <c r="F84" s="12">
        <f t="shared" si="4"/>
        <v>5.5509040492061068E-3</v>
      </c>
      <c r="I84" s="9">
        <v>43810</v>
      </c>
      <c r="J84" s="10">
        <v>7950</v>
      </c>
      <c r="K84" s="11" t="s">
        <v>84</v>
      </c>
      <c r="L84" s="12">
        <f t="shared" si="5"/>
        <v>-1.6089108910891103E-2</v>
      </c>
      <c r="O84" s="9">
        <v>43810</v>
      </c>
      <c r="P84" s="10">
        <v>7950</v>
      </c>
      <c r="Q84" s="11" t="s">
        <v>84</v>
      </c>
      <c r="R84" s="12">
        <f t="shared" si="6"/>
        <v>-1.6089108910891103E-2</v>
      </c>
      <c r="S84" s="12">
        <f t="shared" si="7"/>
        <v>-3.2750844715059291E-3</v>
      </c>
    </row>
    <row r="85" spans="3:19">
      <c r="C85" s="9">
        <v>42678</v>
      </c>
      <c r="D85" s="10">
        <v>41841.56</v>
      </c>
      <c r="E85" s="11" t="s">
        <v>79</v>
      </c>
      <c r="F85" s="12">
        <f t="shared" si="4"/>
        <v>-3.1662110721615289E-3</v>
      </c>
      <c r="I85" s="9">
        <v>43809</v>
      </c>
      <c r="J85" s="10">
        <v>7987.6</v>
      </c>
      <c r="K85" s="11" t="s">
        <v>84</v>
      </c>
      <c r="L85" s="12">
        <f t="shared" si="5"/>
        <v>4.729559748427814E-3</v>
      </c>
      <c r="O85" s="9">
        <v>43809</v>
      </c>
      <c r="P85" s="10">
        <v>7987.6</v>
      </c>
      <c r="Q85" s="11" t="s">
        <v>84</v>
      </c>
      <c r="R85" s="12">
        <f t="shared" si="6"/>
        <v>4.729559748427814E-3</v>
      </c>
      <c r="S85" s="12">
        <f t="shared" si="7"/>
        <v>5.4842889216373258E-3</v>
      </c>
    </row>
    <row r="86" spans="3:19">
      <c r="C86" s="9">
        <v>42681</v>
      </c>
      <c r="D86" s="10">
        <v>42133.54</v>
      </c>
      <c r="E86" s="11" t="s">
        <v>79</v>
      </c>
      <c r="F86" s="12">
        <f t="shared" si="4"/>
        <v>6.9782293012019547E-3</v>
      </c>
      <c r="I86" s="9">
        <v>43808</v>
      </c>
      <c r="J86" s="10">
        <v>7607.3</v>
      </c>
      <c r="K86" s="11" t="s">
        <v>84</v>
      </c>
      <c r="L86" s="12">
        <f t="shared" si="5"/>
        <v>-4.7611297511142237E-2</v>
      </c>
      <c r="O86" s="9">
        <v>43808</v>
      </c>
      <c r="P86" s="10">
        <v>7607.3</v>
      </c>
      <c r="Q86" s="11" t="s">
        <v>84</v>
      </c>
      <c r="R86" s="12">
        <f t="shared" si="6"/>
        <v>-4.7611297511142237E-2</v>
      </c>
      <c r="S86" s="12">
        <f t="shared" si="7"/>
        <v>-7.1061628071121818E-3</v>
      </c>
    </row>
    <row r="87" spans="3:19">
      <c r="C87" s="9">
        <v>42682</v>
      </c>
      <c r="D87" s="10">
        <v>42113.91</v>
      </c>
      <c r="E87" s="11" t="s">
        <v>79</v>
      </c>
      <c r="F87" s="12">
        <f t="shared" si="4"/>
        <v>-4.6589961346699127E-4</v>
      </c>
      <c r="I87" s="9">
        <v>43805</v>
      </c>
      <c r="J87" s="10">
        <v>7245</v>
      </c>
      <c r="K87" s="11" t="s">
        <v>84</v>
      </c>
      <c r="L87" s="12">
        <f t="shared" si="5"/>
        <v>-4.7625307270647954E-2</v>
      </c>
      <c r="O87" s="9">
        <v>43805</v>
      </c>
      <c r="P87" s="10">
        <v>7245</v>
      </c>
      <c r="Q87" s="11" t="s">
        <v>84</v>
      </c>
      <c r="R87" s="12">
        <f t="shared" si="6"/>
        <v>-4.7625307270647954E-2</v>
      </c>
      <c r="S87" s="12">
        <f t="shared" si="7"/>
        <v>2.2428034674257802E-3</v>
      </c>
    </row>
    <row r="88" spans="3:19">
      <c r="C88" s="9">
        <v>42683</v>
      </c>
      <c r="D88" s="10">
        <v>42203.63</v>
      </c>
      <c r="E88" s="11" t="s">
        <v>79</v>
      </c>
      <c r="F88" s="12">
        <f t="shared" si="4"/>
        <v>2.1304124931642576E-3</v>
      </c>
      <c r="I88" s="9">
        <v>43804</v>
      </c>
      <c r="J88" s="10">
        <v>6900</v>
      </c>
      <c r="K88" s="11" t="s">
        <v>84</v>
      </c>
      <c r="L88" s="12">
        <f t="shared" si="5"/>
        <v>-4.7619047619047672E-2</v>
      </c>
      <c r="O88" s="9">
        <v>43804</v>
      </c>
      <c r="P88" s="10">
        <v>6900</v>
      </c>
      <c r="Q88" s="11" t="s">
        <v>84</v>
      </c>
      <c r="R88" s="12">
        <f t="shared" si="6"/>
        <v>-4.7619047619047672E-2</v>
      </c>
      <c r="S88" s="12">
        <f t="shared" si="7"/>
        <v>9.2022650812555451E-3</v>
      </c>
    </row>
    <row r="89" spans="3:19">
      <c r="C89" s="9">
        <v>42684</v>
      </c>
      <c r="D89" s="10">
        <v>42703.99</v>
      </c>
      <c r="E89" s="11" t="s">
        <v>79</v>
      </c>
      <c r="F89" s="12">
        <f t="shared" si="4"/>
        <v>1.1855852209869067E-2</v>
      </c>
      <c r="I89" s="9">
        <v>43803</v>
      </c>
      <c r="J89" s="10">
        <v>6800</v>
      </c>
      <c r="K89" s="11" t="s">
        <v>84</v>
      </c>
      <c r="L89" s="12">
        <f t="shared" si="5"/>
        <v>-1.4492753623188359E-2</v>
      </c>
      <c r="O89" s="9">
        <v>43803</v>
      </c>
      <c r="P89" s="10">
        <v>6800</v>
      </c>
      <c r="Q89" s="11" t="s">
        <v>84</v>
      </c>
      <c r="R89" s="12">
        <f t="shared" si="6"/>
        <v>-1.4492753623188359E-2</v>
      </c>
      <c r="S89" s="12">
        <f t="shared" si="7"/>
        <v>1.2108705153444088E-2</v>
      </c>
    </row>
    <row r="90" spans="3:19">
      <c r="C90" s="9">
        <v>42685</v>
      </c>
      <c r="D90" s="10">
        <v>42849.120000000003</v>
      </c>
      <c r="E90" s="11" t="s">
        <v>79</v>
      </c>
      <c r="F90" s="12">
        <f t="shared" si="4"/>
        <v>3.3985114739865097E-3</v>
      </c>
      <c r="I90" s="9">
        <v>43802</v>
      </c>
      <c r="J90" s="10">
        <v>6814.5</v>
      </c>
      <c r="K90" s="11" t="s">
        <v>84</v>
      </c>
      <c r="L90" s="12">
        <f t="shared" si="5"/>
        <v>2.1323529411765296E-3</v>
      </c>
      <c r="O90" s="9">
        <v>43802</v>
      </c>
      <c r="P90" s="10">
        <v>6814.5</v>
      </c>
      <c r="Q90" s="11" t="s">
        <v>84</v>
      </c>
      <c r="R90" s="12">
        <f t="shared" si="6"/>
        <v>2.1323529411765296E-3</v>
      </c>
      <c r="S90" s="12">
        <f t="shared" si="7"/>
        <v>-8.3612840324371884E-3</v>
      </c>
    </row>
    <row r="91" spans="3:19">
      <c r="C91" s="9">
        <v>42688</v>
      </c>
      <c r="D91" s="10">
        <v>42525.93</v>
      </c>
      <c r="E91" s="11" t="s">
        <v>79</v>
      </c>
      <c r="F91" s="12">
        <f t="shared" si="4"/>
        <v>-7.5425119582386291E-3</v>
      </c>
      <c r="I91" s="9">
        <v>43801</v>
      </c>
      <c r="J91" s="10">
        <v>6490</v>
      </c>
      <c r="K91" s="11" t="s">
        <v>84</v>
      </c>
      <c r="L91" s="12">
        <f t="shared" si="5"/>
        <v>-4.7619047619047672E-2</v>
      </c>
      <c r="O91" s="9">
        <v>43801</v>
      </c>
      <c r="P91" s="10">
        <v>6490</v>
      </c>
      <c r="Q91" s="11" t="s">
        <v>84</v>
      </c>
      <c r="R91" s="12">
        <f t="shared" si="6"/>
        <v>-4.7619047619047672E-2</v>
      </c>
      <c r="S91" s="12">
        <f t="shared" si="7"/>
        <v>2.1293459904066614E-2</v>
      </c>
    </row>
    <row r="92" spans="3:19">
      <c r="C92" s="9">
        <v>42689</v>
      </c>
      <c r="D92" s="10">
        <v>42292.67</v>
      </c>
      <c r="E92" s="11" t="s">
        <v>79</v>
      </c>
      <c r="F92" s="12">
        <f t="shared" si="4"/>
        <v>-5.4851240172760773E-3</v>
      </c>
      <c r="I92" s="9">
        <v>43798</v>
      </c>
      <c r="J92" s="10">
        <v>6717</v>
      </c>
      <c r="K92" s="11" t="s">
        <v>84</v>
      </c>
      <c r="L92" s="12">
        <f t="shared" si="5"/>
        <v>3.4976887519260424E-2</v>
      </c>
      <c r="O92" s="9">
        <v>43798</v>
      </c>
      <c r="P92" s="10">
        <v>6717</v>
      </c>
      <c r="Q92" s="11" t="s">
        <v>84</v>
      </c>
      <c r="R92" s="12">
        <f t="shared" si="6"/>
        <v>3.4976887519260424E-2</v>
      </c>
      <c r="S92" s="12">
        <f t="shared" si="7"/>
        <v>1.5020305495724751E-2</v>
      </c>
    </row>
    <row r="93" spans="3:19">
      <c r="C93" s="9">
        <v>42690</v>
      </c>
      <c r="D93" s="10">
        <v>42404.47</v>
      </c>
      <c r="E93" s="11" t="s">
        <v>79</v>
      </c>
      <c r="F93" s="12">
        <f t="shared" si="4"/>
        <v>2.6434840836486728E-3</v>
      </c>
      <c r="I93" s="9">
        <v>43797</v>
      </c>
      <c r="J93" s="10">
        <v>6300</v>
      </c>
      <c r="K93" s="11" t="s">
        <v>84</v>
      </c>
      <c r="L93" s="12">
        <f t="shared" si="5"/>
        <v>-6.2081286288521609E-2</v>
      </c>
      <c r="O93" s="9">
        <v>43797</v>
      </c>
      <c r="P93" s="10">
        <v>6300</v>
      </c>
      <c r="Q93" s="11" t="s">
        <v>84</v>
      </c>
      <c r="R93" s="12">
        <f t="shared" si="6"/>
        <v>-6.2081286288521609E-2</v>
      </c>
      <c r="S93" s="12">
        <f t="shared" si="7"/>
        <v>1.5307144925650551E-2</v>
      </c>
    </row>
    <row r="94" spans="3:19">
      <c r="C94" s="9">
        <v>42691</v>
      </c>
      <c r="D94" s="10">
        <v>42411.8</v>
      </c>
      <c r="E94" s="11" t="s">
        <v>79</v>
      </c>
      <c r="F94" s="12">
        <f t="shared" si="4"/>
        <v>1.7285913489795135E-4</v>
      </c>
      <c r="I94" s="9">
        <v>43796</v>
      </c>
      <c r="J94" s="10">
        <v>6398</v>
      </c>
      <c r="K94" s="11" t="s">
        <v>84</v>
      </c>
      <c r="L94" s="12">
        <f t="shared" si="5"/>
        <v>1.5555555555555545E-2</v>
      </c>
      <c r="O94" s="9">
        <v>43796</v>
      </c>
      <c r="P94" s="10">
        <v>6398</v>
      </c>
      <c r="Q94" s="11" t="s">
        <v>84</v>
      </c>
      <c r="R94" s="12">
        <f t="shared" si="6"/>
        <v>1.5555555555555545E-2</v>
      </c>
      <c r="S94" s="12">
        <f t="shared" si="7"/>
        <v>8.6696538303296933E-3</v>
      </c>
    </row>
    <row r="95" spans="3:19">
      <c r="C95" s="9">
        <v>42692</v>
      </c>
      <c r="D95" s="10">
        <v>42324.94</v>
      </c>
      <c r="E95" s="11" t="s">
        <v>79</v>
      </c>
      <c r="F95" s="12">
        <f t="shared" si="4"/>
        <v>-2.0480149392386737E-3</v>
      </c>
      <c r="I95" s="9">
        <v>43795</v>
      </c>
      <c r="J95" s="10">
        <v>6397</v>
      </c>
      <c r="K95" s="11" t="s">
        <v>84</v>
      </c>
      <c r="L95" s="12">
        <f t="shared" si="5"/>
        <v>-1.5629884338852484E-4</v>
      </c>
      <c r="O95" s="9">
        <v>43795</v>
      </c>
      <c r="P95" s="10">
        <v>6397</v>
      </c>
      <c r="Q95" s="11" t="s">
        <v>84</v>
      </c>
      <c r="R95" s="12">
        <f t="shared" si="6"/>
        <v>-1.5629884338852484E-4</v>
      </c>
      <c r="S95" s="12">
        <f t="shared" si="7"/>
        <v>-1.0918741305151025E-2</v>
      </c>
    </row>
    <row r="96" spans="3:19">
      <c r="C96" s="9">
        <v>42695</v>
      </c>
      <c r="D96" s="10">
        <v>42439.040000000001</v>
      </c>
      <c r="E96" s="11" t="s">
        <v>79</v>
      </c>
      <c r="F96" s="12">
        <f t="shared" si="4"/>
        <v>2.6958100826603992E-3</v>
      </c>
      <c r="I96" s="9">
        <v>43794</v>
      </c>
      <c r="J96" s="10">
        <v>6390</v>
      </c>
      <c r="K96" s="11" t="s">
        <v>84</v>
      </c>
      <c r="L96" s="12">
        <f t="shared" si="5"/>
        <v>-1.0942629357511002E-3</v>
      </c>
      <c r="O96" s="9">
        <v>43794</v>
      </c>
      <c r="P96" s="10">
        <v>6390</v>
      </c>
      <c r="Q96" s="11" t="s">
        <v>84</v>
      </c>
      <c r="R96" s="12">
        <f t="shared" si="6"/>
        <v>-1.0942629357511002E-3</v>
      </c>
      <c r="S96" s="12">
        <f t="shared" si="7"/>
        <v>7.5539626201588383E-3</v>
      </c>
    </row>
    <row r="97" spans="3:19">
      <c r="C97" s="9">
        <v>42696</v>
      </c>
      <c r="D97" s="10">
        <v>42631.58</v>
      </c>
      <c r="E97" s="11" t="s">
        <v>79</v>
      </c>
      <c r="F97" s="12">
        <f t="shared" si="4"/>
        <v>4.5368604002353763E-3</v>
      </c>
      <c r="I97" s="9">
        <v>43791</v>
      </c>
      <c r="J97" s="10">
        <v>6398</v>
      </c>
      <c r="K97" s="11" t="s">
        <v>84</v>
      </c>
      <c r="L97" s="12">
        <f t="shared" si="5"/>
        <v>1.25195618153362E-3</v>
      </c>
      <c r="O97" s="9">
        <v>43791</v>
      </c>
      <c r="P97" s="10">
        <v>6398</v>
      </c>
      <c r="Q97" s="11" t="s">
        <v>84</v>
      </c>
      <c r="R97" s="12">
        <f t="shared" si="6"/>
        <v>1.25195618153362E-3</v>
      </c>
      <c r="S97" s="12">
        <f t="shared" si="7"/>
        <v>2.2222395920791005E-2</v>
      </c>
    </row>
    <row r="98" spans="3:19">
      <c r="C98" s="9">
        <v>42697</v>
      </c>
      <c r="D98" s="10">
        <v>42901.02</v>
      </c>
      <c r="E98" s="11" t="s">
        <v>79</v>
      </c>
      <c r="F98" s="12">
        <f t="shared" si="4"/>
        <v>6.3201973748099327E-3</v>
      </c>
      <c r="I98" s="9">
        <v>43790</v>
      </c>
      <c r="J98" s="10">
        <v>6390</v>
      </c>
      <c r="K98" s="11" t="s">
        <v>84</v>
      </c>
      <c r="L98" s="12">
        <f t="shared" si="5"/>
        <v>-1.2503907471084208E-3</v>
      </c>
      <c r="O98" s="9">
        <v>43790</v>
      </c>
      <c r="P98" s="10">
        <v>6390</v>
      </c>
      <c r="Q98" s="11" t="s">
        <v>84</v>
      </c>
      <c r="R98" s="12">
        <f t="shared" si="6"/>
        <v>-1.2503907471084208E-3</v>
      </c>
      <c r="S98" s="12">
        <f t="shared" si="7"/>
        <v>-2.4616906183552834E-2</v>
      </c>
    </row>
    <row r="99" spans="3:19">
      <c r="C99" s="9">
        <v>42698</v>
      </c>
      <c r="D99" s="10">
        <v>42949.73</v>
      </c>
      <c r="E99" s="11" t="s">
        <v>79</v>
      </c>
      <c r="F99" s="12">
        <f t="shared" si="4"/>
        <v>1.1354042398061814E-3</v>
      </c>
      <c r="I99" s="9">
        <v>43789</v>
      </c>
      <c r="J99" s="10">
        <v>6385</v>
      </c>
      <c r="K99" s="11" t="s">
        <v>84</v>
      </c>
      <c r="L99" s="12">
        <f t="shared" si="5"/>
        <v>-7.8247261345854024E-4</v>
      </c>
      <c r="O99" s="9">
        <v>43789</v>
      </c>
      <c r="P99" s="10">
        <v>6385</v>
      </c>
      <c r="Q99" s="11" t="s">
        <v>84</v>
      </c>
      <c r="R99" s="12">
        <f t="shared" si="6"/>
        <v>-7.8247261345854024E-4</v>
      </c>
      <c r="S99" s="12">
        <f t="shared" si="7"/>
        <v>-1.3657425234743892E-2</v>
      </c>
    </row>
    <row r="100" spans="3:19">
      <c r="C100" s="9">
        <v>42699</v>
      </c>
      <c r="D100" s="10">
        <v>42999.66</v>
      </c>
      <c r="E100" s="11" t="s">
        <v>79</v>
      </c>
      <c r="F100" s="12">
        <f t="shared" si="4"/>
        <v>1.1625218598581011E-3</v>
      </c>
      <c r="I100" s="9">
        <v>43788</v>
      </c>
      <c r="J100" s="10">
        <v>6335</v>
      </c>
      <c r="K100" s="11" t="s">
        <v>84</v>
      </c>
      <c r="L100" s="12">
        <f t="shared" si="5"/>
        <v>-7.8308535630383647E-3</v>
      </c>
      <c r="O100" s="9">
        <v>43788</v>
      </c>
      <c r="P100" s="10">
        <v>6335</v>
      </c>
      <c r="Q100" s="11" t="s">
        <v>84</v>
      </c>
      <c r="R100" s="12">
        <f t="shared" si="6"/>
        <v>-7.8308535630383647E-3</v>
      </c>
      <c r="S100" s="12">
        <f t="shared" si="7"/>
        <v>3.9782294705033028E-3</v>
      </c>
    </row>
    <row r="101" spans="3:19">
      <c r="C101" s="9">
        <v>42702</v>
      </c>
      <c r="D101" s="10">
        <v>43060.71</v>
      </c>
      <c r="E101" s="11" t="s">
        <v>79</v>
      </c>
      <c r="F101" s="12">
        <f t="shared" si="4"/>
        <v>1.4197786680172353E-3</v>
      </c>
      <c r="I101" s="9">
        <v>43787</v>
      </c>
      <c r="J101" s="10">
        <v>6252</v>
      </c>
      <c r="K101" s="11" t="s">
        <v>84</v>
      </c>
      <c r="L101" s="12">
        <f t="shared" si="5"/>
        <v>-1.3101815311760023E-2</v>
      </c>
      <c r="O101" s="9">
        <v>43787</v>
      </c>
      <c r="P101" s="10">
        <v>6252</v>
      </c>
      <c r="Q101" s="11" t="s">
        <v>84</v>
      </c>
      <c r="R101" s="12">
        <f t="shared" si="6"/>
        <v>-1.3101815311760023E-2</v>
      </c>
      <c r="S101" s="12">
        <f t="shared" si="7"/>
        <v>2.2021935462241959E-2</v>
      </c>
    </row>
    <row r="102" spans="3:19">
      <c r="C102" s="9">
        <v>42703</v>
      </c>
      <c r="D102" s="10">
        <v>42811.27</v>
      </c>
      <c r="E102" s="11" t="s">
        <v>79</v>
      </c>
      <c r="F102" s="12">
        <f t="shared" si="4"/>
        <v>-5.7927516754833208E-3</v>
      </c>
      <c r="I102" s="9">
        <v>43784</v>
      </c>
      <c r="J102" s="10">
        <v>6700</v>
      </c>
      <c r="K102" s="11" t="s">
        <v>84</v>
      </c>
      <c r="L102" s="12">
        <f t="shared" si="5"/>
        <v>7.1657069737683932E-2</v>
      </c>
      <c r="O102" s="9">
        <v>43784</v>
      </c>
      <c r="P102" s="10">
        <v>6700</v>
      </c>
      <c r="Q102" s="11" t="s">
        <v>84</v>
      </c>
      <c r="R102" s="12">
        <f t="shared" si="6"/>
        <v>7.1657069737683932E-2</v>
      </c>
      <c r="S102" s="12">
        <f t="shared" si="7"/>
        <v>9.1477101860206744E-3</v>
      </c>
    </row>
    <row r="103" spans="3:19">
      <c r="C103" s="9">
        <v>42704</v>
      </c>
      <c r="D103" s="10">
        <v>42622.37</v>
      </c>
      <c r="E103" s="11" t="s">
        <v>79</v>
      </c>
      <c r="F103" s="12">
        <f t="shared" si="4"/>
        <v>-4.4123895413519243E-3</v>
      </c>
      <c r="I103" s="9">
        <v>43783</v>
      </c>
      <c r="J103" s="10">
        <v>6700</v>
      </c>
      <c r="K103" s="11" t="s">
        <v>84</v>
      </c>
      <c r="L103" s="12">
        <f t="shared" si="5"/>
        <v>0</v>
      </c>
      <c r="O103" s="9">
        <v>43783</v>
      </c>
      <c r="P103" s="10">
        <v>6700</v>
      </c>
      <c r="Q103" s="11" t="s">
        <v>84</v>
      </c>
      <c r="R103" s="12">
        <f t="shared" si="6"/>
        <v>0</v>
      </c>
      <c r="S103" s="12">
        <f t="shared" si="7"/>
        <v>2.0512842589224256E-3</v>
      </c>
    </row>
    <row r="104" spans="3:19">
      <c r="C104" s="9">
        <v>42705</v>
      </c>
      <c r="D104" s="10">
        <v>42907.360000000001</v>
      </c>
      <c r="E104" s="11" t="s">
        <v>79</v>
      </c>
      <c r="F104" s="12">
        <f t="shared" si="4"/>
        <v>6.686394961143538E-3</v>
      </c>
      <c r="I104" s="9">
        <v>43781</v>
      </c>
      <c r="J104" s="10">
        <v>6549</v>
      </c>
      <c r="K104" s="11" t="s">
        <v>84</v>
      </c>
      <c r="L104" s="12">
        <f t="shared" si="5"/>
        <v>-2.2537313432835826E-2</v>
      </c>
      <c r="O104" s="9">
        <v>43781</v>
      </c>
      <c r="P104" s="10">
        <v>6549</v>
      </c>
      <c r="Q104" s="11" t="s">
        <v>84</v>
      </c>
      <c r="R104" s="12">
        <f t="shared" si="6"/>
        <v>-2.2537313432835826E-2</v>
      </c>
      <c r="S104" s="12">
        <f t="shared" si="7"/>
        <v>-1.0200227698210496E-3</v>
      </c>
    </row>
    <row r="105" spans="3:19">
      <c r="C105" s="9">
        <v>42706</v>
      </c>
      <c r="D105" s="10">
        <v>43270.9</v>
      </c>
      <c r="E105" s="11" t="s">
        <v>79</v>
      </c>
      <c r="F105" s="12">
        <f t="shared" si="4"/>
        <v>8.4726722874584048E-3</v>
      </c>
      <c r="I105" s="9">
        <v>43780</v>
      </c>
      <c r="J105" s="10">
        <v>6530</v>
      </c>
      <c r="K105" s="11" t="s">
        <v>84</v>
      </c>
      <c r="L105" s="12">
        <f t="shared" si="5"/>
        <v>-2.9012062910368508E-3</v>
      </c>
      <c r="O105" s="9">
        <v>43780</v>
      </c>
      <c r="P105" s="10">
        <v>6530</v>
      </c>
      <c r="Q105" s="11" t="s">
        <v>84</v>
      </c>
      <c r="R105" s="12">
        <f t="shared" si="6"/>
        <v>-2.9012062910368508E-3</v>
      </c>
      <c r="S105" s="12">
        <f t="shared" si="7"/>
        <v>2.2928910205524566E-2</v>
      </c>
    </row>
    <row r="106" spans="3:19">
      <c r="C106" s="9">
        <v>42709</v>
      </c>
      <c r="D106" s="10">
        <v>43739.97</v>
      </c>
      <c r="E106" s="11" t="s">
        <v>79</v>
      </c>
      <c r="F106" s="12">
        <f t="shared" si="4"/>
        <v>1.0840310693791988E-2</v>
      </c>
      <c r="I106" s="9">
        <v>43777</v>
      </c>
      <c r="J106" s="10">
        <v>6550</v>
      </c>
      <c r="K106" s="11" t="s">
        <v>84</v>
      </c>
      <c r="L106" s="12">
        <f t="shared" si="5"/>
        <v>3.0627871362940429E-3</v>
      </c>
      <c r="O106" s="9">
        <v>43777</v>
      </c>
      <c r="P106" s="10">
        <v>6550</v>
      </c>
      <c r="Q106" s="11" t="s">
        <v>84</v>
      </c>
      <c r="R106" s="12">
        <f t="shared" si="6"/>
        <v>3.0627871362940429E-3</v>
      </c>
      <c r="S106" s="12">
        <f t="shared" si="7"/>
        <v>6.1423123775818933E-3</v>
      </c>
    </row>
    <row r="107" spans="3:19">
      <c r="C107" s="9">
        <v>42710</v>
      </c>
      <c r="D107" s="10">
        <v>44199.4</v>
      </c>
      <c r="E107" s="11" t="s">
        <v>79</v>
      </c>
      <c r="F107" s="12">
        <f t="shared" si="4"/>
        <v>1.0503665183126509E-2</v>
      </c>
      <c r="I107" s="9">
        <v>43776</v>
      </c>
      <c r="J107" s="10">
        <v>6550</v>
      </c>
      <c r="K107" s="11" t="s">
        <v>84</v>
      </c>
      <c r="L107" s="12">
        <f t="shared" si="5"/>
        <v>0</v>
      </c>
      <c r="O107" s="9">
        <v>43776</v>
      </c>
      <c r="P107" s="10">
        <v>6550</v>
      </c>
      <c r="Q107" s="11" t="s">
        <v>84</v>
      </c>
      <c r="R107" s="12">
        <f t="shared" si="6"/>
        <v>0</v>
      </c>
      <c r="S107" s="12">
        <f t="shared" si="7"/>
        <v>2.9503555488363808E-3</v>
      </c>
    </row>
    <row r="108" spans="3:19">
      <c r="C108" s="9">
        <v>42711</v>
      </c>
      <c r="D108" s="10">
        <v>44494.99</v>
      </c>
      <c r="E108" s="11" t="s">
        <v>79</v>
      </c>
      <c r="F108" s="12">
        <f t="shared" si="4"/>
        <v>6.6876473436290329E-3</v>
      </c>
      <c r="I108" s="9">
        <v>43775</v>
      </c>
      <c r="J108" s="10">
        <v>6779</v>
      </c>
      <c r="K108" s="11" t="s">
        <v>84</v>
      </c>
      <c r="L108" s="12">
        <f t="shared" si="5"/>
        <v>3.4961832061068732E-2</v>
      </c>
      <c r="O108" s="9">
        <v>43775</v>
      </c>
      <c r="P108" s="10">
        <v>6779</v>
      </c>
      <c r="Q108" s="11" t="s">
        <v>84</v>
      </c>
      <c r="R108" s="12">
        <f t="shared" si="6"/>
        <v>3.4961832061068732E-2</v>
      </c>
      <c r="S108" s="12">
        <f t="shared" si="7"/>
        <v>8.3437245728090748E-3</v>
      </c>
    </row>
    <row r="109" spans="3:19">
      <c r="C109" s="9">
        <v>42712</v>
      </c>
      <c r="D109" s="10">
        <v>44741.98</v>
      </c>
      <c r="E109" s="11" t="s">
        <v>79</v>
      </c>
      <c r="F109" s="12">
        <f t="shared" si="4"/>
        <v>5.5509620296578799E-3</v>
      </c>
      <c r="I109" s="9">
        <v>43774</v>
      </c>
      <c r="J109" s="10">
        <v>6490</v>
      </c>
      <c r="K109" s="11" t="s">
        <v>84</v>
      </c>
      <c r="L109" s="12">
        <f t="shared" si="5"/>
        <v>-4.263165658651713E-2</v>
      </c>
      <c r="O109" s="9">
        <v>43774</v>
      </c>
      <c r="P109" s="10">
        <v>6490</v>
      </c>
      <c r="Q109" s="11" t="s">
        <v>84</v>
      </c>
      <c r="R109" s="12">
        <f t="shared" si="6"/>
        <v>-4.263165658651713E-2</v>
      </c>
      <c r="S109" s="12">
        <f t="shared" si="7"/>
        <v>2.2918316681528328E-3</v>
      </c>
    </row>
    <row r="110" spans="3:19">
      <c r="C110" s="9">
        <v>42713</v>
      </c>
      <c r="D110" s="10">
        <v>45387.23</v>
      </c>
      <c r="E110" s="11" t="s">
        <v>79</v>
      </c>
      <c r="F110" s="12">
        <f t="shared" si="4"/>
        <v>1.4421579018183861E-2</v>
      </c>
      <c r="I110" s="9">
        <v>43773</v>
      </c>
      <c r="J110" s="10">
        <v>6440</v>
      </c>
      <c r="K110" s="11" t="s">
        <v>84</v>
      </c>
      <c r="L110" s="12">
        <f t="shared" si="5"/>
        <v>-7.7041602465330872E-3</v>
      </c>
      <c r="O110" s="9">
        <v>43773</v>
      </c>
      <c r="P110" s="10">
        <v>6440</v>
      </c>
      <c r="Q110" s="11" t="s">
        <v>84</v>
      </c>
      <c r="R110" s="12">
        <f t="shared" si="6"/>
        <v>-7.7041602465330872E-3</v>
      </c>
      <c r="S110" s="12">
        <f t="shared" si="7"/>
        <v>2.6175467113624284E-2</v>
      </c>
    </row>
    <row r="111" spans="3:19">
      <c r="C111" s="9">
        <v>42717</v>
      </c>
      <c r="D111" s="10">
        <v>45857.89</v>
      </c>
      <c r="E111" s="11" t="s">
        <v>79</v>
      </c>
      <c r="F111" s="12">
        <f t="shared" si="4"/>
        <v>1.0369877165889996E-2</v>
      </c>
      <c r="I111" s="9">
        <v>43770</v>
      </c>
      <c r="J111" s="10">
        <v>6449</v>
      </c>
      <c r="K111" s="11" t="s">
        <v>84</v>
      </c>
      <c r="L111" s="12">
        <f t="shared" si="5"/>
        <v>1.3975155279504214E-3</v>
      </c>
      <c r="O111" s="9">
        <v>43770</v>
      </c>
      <c r="P111" s="10">
        <v>6449</v>
      </c>
      <c r="Q111" s="11" t="s">
        <v>84</v>
      </c>
      <c r="R111" s="12">
        <f t="shared" si="6"/>
        <v>1.3975155279504214E-3</v>
      </c>
      <c r="S111" s="12">
        <f t="shared" si="7"/>
        <v>5.0851253432380172E-3</v>
      </c>
    </row>
    <row r="112" spans="3:19">
      <c r="C112" s="9">
        <v>42718</v>
      </c>
      <c r="D112" s="10">
        <v>46185.27</v>
      </c>
      <c r="E112" s="11" t="s">
        <v>79</v>
      </c>
      <c r="F112" s="12">
        <f t="shared" si="4"/>
        <v>7.1390114111224978E-3</v>
      </c>
      <c r="I112" s="9">
        <v>43769</v>
      </c>
      <c r="J112" s="10">
        <v>6400</v>
      </c>
      <c r="K112" s="11" t="s">
        <v>84</v>
      </c>
      <c r="L112" s="12">
        <f t="shared" si="5"/>
        <v>-7.5980772212745906E-3</v>
      </c>
      <c r="O112" s="9">
        <v>43769</v>
      </c>
      <c r="P112" s="10">
        <v>6400</v>
      </c>
      <c r="Q112" s="11" t="s">
        <v>84</v>
      </c>
      <c r="R112" s="12">
        <f t="shared" si="6"/>
        <v>-7.5980772212745906E-3</v>
      </c>
      <c r="S112" s="12">
        <f t="shared" si="7"/>
        <v>1.309986757069681E-2</v>
      </c>
    </row>
    <row r="113" spans="3:19">
      <c r="C113" s="9">
        <v>42719</v>
      </c>
      <c r="D113" s="10">
        <v>46358.35</v>
      </c>
      <c r="E113" s="11" t="s">
        <v>79</v>
      </c>
      <c r="F113" s="12">
        <f t="shared" si="4"/>
        <v>3.747515170962501E-3</v>
      </c>
      <c r="I113" s="9">
        <v>43768</v>
      </c>
      <c r="J113" s="10">
        <v>6790</v>
      </c>
      <c r="K113" s="11" t="s">
        <v>84</v>
      </c>
      <c r="L113" s="12">
        <f t="shared" si="5"/>
        <v>6.0937500000000089E-2</v>
      </c>
      <c r="O113" s="9">
        <v>43768</v>
      </c>
      <c r="P113" s="10">
        <v>6790</v>
      </c>
      <c r="Q113" s="11" t="s">
        <v>84</v>
      </c>
      <c r="R113" s="12">
        <f t="shared" si="6"/>
        <v>6.0937500000000089E-2</v>
      </c>
      <c r="S113" s="12">
        <f t="shared" si="7"/>
        <v>-1.0681260246686586E-3</v>
      </c>
    </row>
    <row r="114" spans="3:19">
      <c r="C114" s="9">
        <v>42720</v>
      </c>
      <c r="D114" s="10">
        <v>46584.53</v>
      </c>
      <c r="E114" s="11" t="s">
        <v>79</v>
      </c>
      <c r="F114" s="12">
        <f t="shared" si="4"/>
        <v>4.87894845265191E-3</v>
      </c>
      <c r="I114" s="9">
        <v>43763</v>
      </c>
      <c r="J114" s="10">
        <v>7000</v>
      </c>
      <c r="K114" s="11" t="s">
        <v>84</v>
      </c>
      <c r="L114" s="12">
        <f t="shared" si="5"/>
        <v>3.0927835051546282E-2</v>
      </c>
      <c r="O114" s="9">
        <v>43763</v>
      </c>
      <c r="P114" s="10">
        <v>7000</v>
      </c>
      <c r="Q114" s="11" t="s">
        <v>84</v>
      </c>
      <c r="R114" s="12">
        <f t="shared" si="6"/>
        <v>3.0927835051546282E-2</v>
      </c>
      <c r="S114" s="12">
        <f t="shared" si="7"/>
        <v>-3.1105534901465504E-3</v>
      </c>
    </row>
    <row r="115" spans="3:19">
      <c r="C115" s="9">
        <v>42723</v>
      </c>
      <c r="D115" s="10">
        <v>46938.59</v>
      </c>
      <c r="E115" s="11" t="s">
        <v>79</v>
      </c>
      <c r="F115" s="12">
        <f t="shared" si="4"/>
        <v>7.6003772067678721E-3</v>
      </c>
      <c r="I115" s="9">
        <v>43762</v>
      </c>
      <c r="J115" s="10">
        <v>6930</v>
      </c>
      <c r="K115" s="11" t="s">
        <v>84</v>
      </c>
      <c r="L115" s="12">
        <f t="shared" si="5"/>
        <v>-1.0000000000000009E-2</v>
      </c>
      <c r="O115" s="9">
        <v>43762</v>
      </c>
      <c r="P115" s="10">
        <v>6930</v>
      </c>
      <c r="Q115" s="11" t="s">
        <v>84</v>
      </c>
      <c r="R115" s="12">
        <f t="shared" si="6"/>
        <v>-1.0000000000000009E-2</v>
      </c>
      <c r="S115" s="12">
        <f t="shared" si="7"/>
        <v>9.6529004904053473E-3</v>
      </c>
    </row>
    <row r="116" spans="3:19">
      <c r="C116" s="9">
        <v>42724</v>
      </c>
      <c r="D116" s="10">
        <v>47210.06</v>
      </c>
      <c r="E116" s="11" t="s">
        <v>79</v>
      </c>
      <c r="F116" s="12">
        <f t="shared" si="4"/>
        <v>5.7835141618016728E-3</v>
      </c>
      <c r="I116" s="9">
        <v>43761</v>
      </c>
      <c r="J116" s="10">
        <v>6610</v>
      </c>
      <c r="K116" s="11" t="s">
        <v>84</v>
      </c>
      <c r="L116" s="12">
        <f t="shared" si="5"/>
        <v>-4.6176046176046204E-2</v>
      </c>
      <c r="O116" s="9">
        <v>43761</v>
      </c>
      <c r="P116" s="10">
        <v>6610</v>
      </c>
      <c r="Q116" s="11" t="s">
        <v>84</v>
      </c>
      <c r="R116" s="12">
        <f t="shared" si="6"/>
        <v>-4.6176046176046204E-2</v>
      </c>
      <c r="S116" s="12">
        <f t="shared" si="7"/>
        <v>7.2511307583129625E-3</v>
      </c>
    </row>
    <row r="117" spans="3:19">
      <c r="C117" s="9">
        <v>42725</v>
      </c>
      <c r="D117" s="10">
        <v>46993.31</v>
      </c>
      <c r="E117" s="11" t="s">
        <v>79</v>
      </c>
      <c r="F117" s="12">
        <f t="shared" si="4"/>
        <v>-4.5911824725493044E-3</v>
      </c>
      <c r="I117" s="9">
        <v>43760</v>
      </c>
      <c r="J117" s="10">
        <v>6300</v>
      </c>
      <c r="K117" s="11" t="s">
        <v>84</v>
      </c>
      <c r="L117" s="12">
        <f t="shared" si="5"/>
        <v>-4.6898638426626338E-2</v>
      </c>
      <c r="O117" s="9">
        <v>43760</v>
      </c>
      <c r="P117" s="10">
        <v>6300</v>
      </c>
      <c r="Q117" s="11" t="s">
        <v>84</v>
      </c>
      <c r="R117" s="12">
        <f t="shared" si="6"/>
        <v>-4.6898638426626338E-2</v>
      </c>
      <c r="S117" s="12">
        <f t="shared" si="7"/>
        <v>3.4526502105349799E-3</v>
      </c>
    </row>
    <row r="118" spans="3:19">
      <c r="C118" s="9">
        <v>42726</v>
      </c>
      <c r="D118" s="10">
        <v>46699.78</v>
      </c>
      <c r="E118" s="11" t="s">
        <v>79</v>
      </c>
      <c r="F118" s="12">
        <f t="shared" si="4"/>
        <v>-6.2462082368744953E-3</v>
      </c>
      <c r="I118" s="9">
        <v>43759</v>
      </c>
      <c r="J118" s="10">
        <v>6000</v>
      </c>
      <c r="K118" s="11" t="s">
        <v>84</v>
      </c>
      <c r="L118" s="12">
        <f t="shared" si="5"/>
        <v>-4.7619047619047672E-2</v>
      </c>
      <c r="O118" s="9">
        <v>43759</v>
      </c>
      <c r="P118" s="10">
        <v>6000</v>
      </c>
      <c r="Q118" s="11" t="s">
        <v>84</v>
      </c>
      <c r="R118" s="12">
        <f t="shared" si="6"/>
        <v>-4.7619047619047672E-2</v>
      </c>
      <c r="S118" s="12">
        <f t="shared" si="7"/>
        <v>-2.3189150328534081E-2</v>
      </c>
    </row>
    <row r="119" spans="3:19">
      <c r="C119" s="9">
        <v>42727</v>
      </c>
      <c r="D119" s="10">
        <v>46633.99</v>
      </c>
      <c r="E119" s="11" t="s">
        <v>79</v>
      </c>
      <c r="F119" s="12">
        <f t="shared" si="4"/>
        <v>-1.4087860799344432E-3</v>
      </c>
      <c r="I119" s="9">
        <v>43756</v>
      </c>
      <c r="J119" s="10">
        <v>5801</v>
      </c>
      <c r="K119" s="11" t="s">
        <v>84</v>
      </c>
      <c r="L119" s="12">
        <f t="shared" si="5"/>
        <v>-3.3166666666666678E-2</v>
      </c>
      <c r="O119" s="9">
        <v>43756</v>
      </c>
      <c r="P119" s="10">
        <v>5801</v>
      </c>
      <c r="Q119" s="11" t="s">
        <v>84</v>
      </c>
      <c r="R119" s="12">
        <f t="shared" si="6"/>
        <v>-3.3166666666666678E-2</v>
      </c>
      <c r="S119" s="12">
        <f t="shared" si="7"/>
        <v>-8.3808869757284743E-4</v>
      </c>
    </row>
    <row r="120" spans="3:19">
      <c r="C120" s="9">
        <v>42730</v>
      </c>
      <c r="D120" s="10">
        <v>46689.73</v>
      </c>
      <c r="E120" s="11" t="s">
        <v>79</v>
      </c>
      <c r="F120" s="12">
        <f t="shared" si="4"/>
        <v>1.1952655134164214E-3</v>
      </c>
      <c r="I120" s="9">
        <v>43755</v>
      </c>
      <c r="J120" s="10">
        <v>5525</v>
      </c>
      <c r="K120" s="11" t="s">
        <v>84</v>
      </c>
      <c r="L120" s="12">
        <f t="shared" si="5"/>
        <v>-4.7578003792449586E-2</v>
      </c>
      <c r="O120" s="9">
        <v>43755</v>
      </c>
      <c r="P120" s="10">
        <v>5525</v>
      </c>
      <c r="Q120" s="11" t="s">
        <v>84</v>
      </c>
      <c r="R120" s="12">
        <f t="shared" si="6"/>
        <v>-4.7578003792449586E-2</v>
      </c>
      <c r="S120" s="12">
        <f t="shared" si="7"/>
        <v>-1.1158630020223992E-2</v>
      </c>
    </row>
    <row r="121" spans="3:19">
      <c r="C121" s="9">
        <v>42731</v>
      </c>
      <c r="D121" s="10">
        <v>46920.47</v>
      </c>
      <c r="E121" s="11" t="s">
        <v>79</v>
      </c>
      <c r="F121" s="12">
        <f t="shared" si="4"/>
        <v>4.9419861712629576E-3</v>
      </c>
      <c r="I121" s="9">
        <v>43754</v>
      </c>
      <c r="J121" s="10">
        <v>5565</v>
      </c>
      <c r="K121" s="11" t="s">
        <v>84</v>
      </c>
      <c r="L121" s="12">
        <f t="shared" si="5"/>
        <v>7.2398190045248612E-3</v>
      </c>
      <c r="O121" s="9">
        <v>43754</v>
      </c>
      <c r="P121" s="10">
        <v>5565</v>
      </c>
      <c r="Q121" s="11" t="s">
        <v>84</v>
      </c>
      <c r="R121" s="12">
        <f t="shared" si="6"/>
        <v>7.2398190045248612E-3</v>
      </c>
      <c r="S121" s="12">
        <f t="shared" si="7"/>
        <v>5.7963479721729882E-3</v>
      </c>
    </row>
    <row r="122" spans="3:19">
      <c r="C122" s="9">
        <v>42732</v>
      </c>
      <c r="D122" s="10">
        <v>47424.63</v>
      </c>
      <c r="E122" s="11" t="s">
        <v>79</v>
      </c>
      <c r="F122" s="12">
        <f t="shared" si="4"/>
        <v>1.0744990406106325E-2</v>
      </c>
      <c r="I122" s="9">
        <v>43749</v>
      </c>
      <c r="J122" s="10">
        <v>5365</v>
      </c>
      <c r="K122" s="11" t="s">
        <v>84</v>
      </c>
      <c r="L122" s="12">
        <f t="shared" si="5"/>
        <v>-3.5938903863432126E-2</v>
      </c>
      <c r="O122" s="9">
        <v>43749</v>
      </c>
      <c r="P122" s="10">
        <v>5365</v>
      </c>
      <c r="Q122" s="11" t="s">
        <v>84</v>
      </c>
      <c r="R122" s="12">
        <f t="shared" si="6"/>
        <v>-3.5938903863432126E-2</v>
      </c>
      <c r="S122" s="12">
        <f t="shared" si="7"/>
        <v>1.3165450500621789E-2</v>
      </c>
    </row>
    <row r="123" spans="3:19">
      <c r="C123" s="9">
        <v>42733</v>
      </c>
      <c r="D123" s="10">
        <v>47666.66</v>
      </c>
      <c r="E123" s="11" t="s">
        <v>79</v>
      </c>
      <c r="F123" s="12">
        <f t="shared" si="4"/>
        <v>5.1034662790201413E-3</v>
      </c>
      <c r="I123" s="9">
        <v>43748</v>
      </c>
      <c r="J123" s="10">
        <v>5520</v>
      </c>
      <c r="K123" s="11" t="s">
        <v>84</v>
      </c>
      <c r="L123" s="12">
        <f t="shared" si="5"/>
        <v>2.8890959925442772E-2</v>
      </c>
      <c r="O123" s="9">
        <v>43748</v>
      </c>
      <c r="P123" s="10">
        <v>5520</v>
      </c>
      <c r="Q123" s="11" t="s">
        <v>84</v>
      </c>
      <c r="R123" s="12">
        <f t="shared" si="6"/>
        <v>2.8890959925442772E-2</v>
      </c>
      <c r="S123" s="12">
        <f t="shared" si="7"/>
        <v>1.5032928903517373E-2</v>
      </c>
    </row>
    <row r="124" spans="3:19">
      <c r="C124" s="9">
        <v>42734</v>
      </c>
      <c r="D124" s="10">
        <v>47806.97</v>
      </c>
      <c r="E124" s="11" t="s">
        <v>79</v>
      </c>
      <c r="F124" s="12">
        <f t="shared" si="4"/>
        <v>2.9435668452539865E-3</v>
      </c>
      <c r="I124" s="9">
        <v>43747</v>
      </c>
      <c r="J124" s="10">
        <v>5520</v>
      </c>
      <c r="K124" s="11" t="s">
        <v>84</v>
      </c>
      <c r="L124" s="12">
        <f t="shared" si="5"/>
        <v>0</v>
      </c>
      <c r="O124" s="9">
        <v>43747</v>
      </c>
      <c r="P124" s="10">
        <v>5520</v>
      </c>
      <c r="Q124" s="11" t="s">
        <v>84</v>
      </c>
      <c r="R124" s="12">
        <f t="shared" si="6"/>
        <v>0</v>
      </c>
      <c r="S124" s="12">
        <f t="shared" si="7"/>
        <v>1.4075495076861788E-3</v>
      </c>
    </row>
    <row r="125" spans="3:19">
      <c r="C125" s="9">
        <v>42737</v>
      </c>
      <c r="D125" s="10">
        <v>48240.28</v>
      </c>
      <c r="E125" s="11" t="s">
        <v>79</v>
      </c>
      <c r="F125" s="12">
        <f t="shared" si="4"/>
        <v>9.0637411239407051E-3</v>
      </c>
      <c r="I125" s="9">
        <v>43746</v>
      </c>
      <c r="J125" s="10">
        <v>5510</v>
      </c>
      <c r="K125" s="11" t="s">
        <v>84</v>
      </c>
      <c r="L125" s="12">
        <f t="shared" si="5"/>
        <v>-1.8115942028985588E-3</v>
      </c>
      <c r="O125" s="9">
        <v>43746</v>
      </c>
      <c r="P125" s="10">
        <v>5510</v>
      </c>
      <c r="Q125" s="11" t="s">
        <v>84</v>
      </c>
      <c r="R125" s="12">
        <f t="shared" si="6"/>
        <v>-1.8115942028985588E-3</v>
      </c>
      <c r="S125" s="12">
        <f t="shared" si="7"/>
        <v>-4.7626380852885397E-3</v>
      </c>
    </row>
    <row r="126" spans="3:19">
      <c r="C126" s="9">
        <v>42738</v>
      </c>
      <c r="D126" s="10">
        <v>48827.55</v>
      </c>
      <c r="E126" s="11" t="s">
        <v>79</v>
      </c>
      <c r="F126" s="12">
        <f t="shared" si="4"/>
        <v>1.2173851395555824E-2</v>
      </c>
      <c r="I126" s="9">
        <v>43745</v>
      </c>
      <c r="J126" s="10">
        <v>5580</v>
      </c>
      <c r="K126" s="11" t="s">
        <v>84</v>
      </c>
      <c r="L126" s="12">
        <f t="shared" si="5"/>
        <v>1.2704174228675091E-2</v>
      </c>
      <c r="O126" s="9">
        <v>43745</v>
      </c>
      <c r="P126" s="10">
        <v>5580</v>
      </c>
      <c r="Q126" s="11" t="s">
        <v>84</v>
      </c>
      <c r="R126" s="12">
        <f t="shared" si="6"/>
        <v>1.2704174228675091E-2</v>
      </c>
      <c r="S126" s="12">
        <f t="shared" si="7"/>
        <v>1.8269432197550728E-2</v>
      </c>
    </row>
    <row r="127" spans="3:19">
      <c r="C127" s="9">
        <v>42739</v>
      </c>
      <c r="D127" s="10">
        <v>48704.99</v>
      </c>
      <c r="E127" s="11" t="s">
        <v>79</v>
      </c>
      <c r="F127" s="12">
        <f t="shared" si="4"/>
        <v>-2.5100583584473091E-3</v>
      </c>
      <c r="I127" s="9">
        <v>43741</v>
      </c>
      <c r="J127" s="10">
        <v>5520</v>
      </c>
      <c r="K127" s="11" t="s">
        <v>84</v>
      </c>
      <c r="L127" s="12">
        <f t="shared" si="5"/>
        <v>-1.0752688172043001E-2</v>
      </c>
      <c r="O127" s="9">
        <v>43741</v>
      </c>
      <c r="P127" s="10">
        <v>5520</v>
      </c>
      <c r="Q127" s="11" t="s">
        <v>84</v>
      </c>
      <c r="R127" s="12">
        <f t="shared" si="6"/>
        <v>-1.0752688172043001E-2</v>
      </c>
      <c r="S127" s="12">
        <f t="shared" si="7"/>
        <v>1.2016679361067428E-2</v>
      </c>
    </row>
    <row r="128" spans="3:19">
      <c r="C128" s="9">
        <v>42740</v>
      </c>
      <c r="D128" s="10">
        <v>48713.63</v>
      </c>
      <c r="E128" s="11" t="s">
        <v>79</v>
      </c>
      <c r="F128" s="12">
        <f t="shared" si="4"/>
        <v>1.7739455443877006E-4</v>
      </c>
      <c r="I128" s="9">
        <v>43733</v>
      </c>
      <c r="J128" s="10">
        <v>5644</v>
      </c>
      <c r="K128" s="11" t="s">
        <v>84</v>
      </c>
      <c r="L128" s="12">
        <f t="shared" si="5"/>
        <v>2.2463768115942084E-2</v>
      </c>
      <c r="O128" s="9">
        <v>43733</v>
      </c>
      <c r="P128" s="10">
        <v>5644</v>
      </c>
      <c r="Q128" s="11" t="s">
        <v>84</v>
      </c>
      <c r="R128" s="12">
        <f t="shared" si="6"/>
        <v>2.2463768115942084E-2</v>
      </c>
      <c r="S128" s="12">
        <f t="shared" si="7"/>
        <v>-8.2952027758125269E-3</v>
      </c>
    </row>
    <row r="129" spans="3:19">
      <c r="C129" s="9">
        <v>42741</v>
      </c>
      <c r="D129" s="10">
        <v>49038.23</v>
      </c>
      <c r="E129" s="11" t="s">
        <v>79</v>
      </c>
      <c r="F129" s="12">
        <f t="shared" si="4"/>
        <v>6.6634328010457544E-3</v>
      </c>
      <c r="I129" s="9">
        <v>43732</v>
      </c>
      <c r="J129" s="10">
        <v>5750</v>
      </c>
      <c r="K129" s="11" t="s">
        <v>84</v>
      </c>
      <c r="L129" s="12">
        <f t="shared" si="5"/>
        <v>1.8781006378455034E-2</v>
      </c>
      <c r="O129" s="9">
        <v>43732</v>
      </c>
      <c r="P129" s="10">
        <v>5750</v>
      </c>
      <c r="Q129" s="11" t="s">
        <v>84</v>
      </c>
      <c r="R129" s="12">
        <f t="shared" si="6"/>
        <v>1.8781006378455034E-2</v>
      </c>
      <c r="S129" s="12">
        <f t="shared" si="7"/>
        <v>2.4575441376879503E-3</v>
      </c>
    </row>
    <row r="130" spans="3:19">
      <c r="C130" s="9">
        <v>42744</v>
      </c>
      <c r="D130" s="10">
        <v>49039.41</v>
      </c>
      <c r="E130" s="11" t="s">
        <v>79</v>
      </c>
      <c r="F130" s="12">
        <f t="shared" si="4"/>
        <v>2.4062858712481372E-5</v>
      </c>
      <c r="I130" s="9">
        <v>43725</v>
      </c>
      <c r="J130" s="10">
        <v>5595.5</v>
      </c>
      <c r="K130" s="11" t="s">
        <v>84</v>
      </c>
      <c r="L130" s="12">
        <f t="shared" si="5"/>
        <v>-2.6869565217391256E-2</v>
      </c>
      <c r="O130" s="9">
        <v>43725</v>
      </c>
      <c r="P130" s="10">
        <v>5595.5</v>
      </c>
      <c r="Q130" s="11" t="s">
        <v>84</v>
      </c>
      <c r="R130" s="12">
        <f t="shared" si="6"/>
        <v>-2.6869565217391256E-2</v>
      </c>
      <c r="S130" s="12">
        <f t="shared" si="7"/>
        <v>-6.1481025602483363E-4</v>
      </c>
    </row>
    <row r="131" spans="3:19">
      <c r="C131" s="9">
        <v>42745</v>
      </c>
      <c r="D131" s="10">
        <v>48865.79</v>
      </c>
      <c r="E131" s="11" t="s">
        <v>79</v>
      </c>
      <c r="F131" s="12">
        <f t="shared" si="4"/>
        <v>-3.5404177986644303E-3</v>
      </c>
      <c r="I131" s="9">
        <v>43724</v>
      </c>
      <c r="J131" s="10">
        <v>5890</v>
      </c>
      <c r="K131" s="11" t="s">
        <v>84</v>
      </c>
      <c r="L131" s="12">
        <f t="shared" si="5"/>
        <v>5.2631578947368363E-2</v>
      </c>
      <c r="O131" s="9">
        <v>43724</v>
      </c>
      <c r="P131" s="10">
        <v>5890</v>
      </c>
      <c r="Q131" s="11" t="s">
        <v>84</v>
      </c>
      <c r="R131" s="12">
        <f t="shared" si="6"/>
        <v>5.2631578947368363E-2</v>
      </c>
      <c r="S131" s="12">
        <f t="shared" si="7"/>
        <v>1.4206524442597734E-2</v>
      </c>
    </row>
    <row r="132" spans="3:19">
      <c r="C132" s="9">
        <v>42746</v>
      </c>
      <c r="D132" s="10">
        <v>49371.6</v>
      </c>
      <c r="E132" s="11" t="s">
        <v>79</v>
      </c>
      <c r="F132" s="12">
        <f t="shared" si="4"/>
        <v>1.0351004250621854E-2</v>
      </c>
      <c r="I132" s="9">
        <v>43721</v>
      </c>
      <c r="J132" s="10">
        <v>5989</v>
      </c>
      <c r="K132" s="11" t="s">
        <v>84</v>
      </c>
      <c r="L132" s="12">
        <f t="shared" si="5"/>
        <v>1.6808149405772577E-2</v>
      </c>
      <c r="O132" s="9">
        <v>43721</v>
      </c>
      <c r="P132" s="10">
        <v>5989</v>
      </c>
      <c r="Q132" s="11" t="s">
        <v>84</v>
      </c>
      <c r="R132" s="12">
        <f t="shared" si="6"/>
        <v>1.6808149405772577E-2</v>
      </c>
      <c r="S132" s="12">
        <f t="shared" si="7"/>
        <v>-2.0699529997042498E-3</v>
      </c>
    </row>
    <row r="133" spans="3:19">
      <c r="C133" s="9">
        <v>42747</v>
      </c>
      <c r="D133" s="10">
        <v>49517.02</v>
      </c>
      <c r="E133" s="11" t="s">
        <v>79</v>
      </c>
      <c r="F133" s="12">
        <f t="shared" si="4"/>
        <v>2.9454180135948249E-3</v>
      </c>
      <c r="I133" s="9">
        <v>43720</v>
      </c>
      <c r="J133" s="10">
        <v>5750</v>
      </c>
      <c r="K133" s="11" t="s">
        <v>84</v>
      </c>
      <c r="L133" s="12">
        <f t="shared" si="5"/>
        <v>-3.9906495241275652E-2</v>
      </c>
      <c r="O133" s="9">
        <v>43720</v>
      </c>
      <c r="P133" s="10">
        <v>5750</v>
      </c>
      <c r="Q133" s="11" t="s">
        <v>84</v>
      </c>
      <c r="R133" s="12">
        <f t="shared" si="6"/>
        <v>-3.9906495241275652E-2</v>
      </c>
      <c r="S133" s="12">
        <f t="shared" si="7"/>
        <v>1.9117533515771168E-2</v>
      </c>
    </row>
    <row r="134" spans="3:19">
      <c r="C134" s="9">
        <v>42748</v>
      </c>
      <c r="D134" s="10">
        <v>49210.5</v>
      </c>
      <c r="E134" s="11" t="s">
        <v>79</v>
      </c>
      <c r="F134" s="12">
        <f t="shared" si="4"/>
        <v>-6.1901948057455636E-3</v>
      </c>
      <c r="I134" s="9">
        <v>43719</v>
      </c>
      <c r="J134" s="10">
        <v>5518.5</v>
      </c>
      <c r="K134" s="11" t="s">
        <v>84</v>
      </c>
      <c r="L134" s="12">
        <f t="shared" si="5"/>
        <v>-4.026086956521735E-2</v>
      </c>
      <c r="O134" s="9">
        <v>43719</v>
      </c>
      <c r="P134" s="10">
        <v>5518.5</v>
      </c>
      <c r="Q134" s="11" t="s">
        <v>84</v>
      </c>
      <c r="R134" s="12">
        <f t="shared" si="6"/>
        <v>-4.026086956521735E-2</v>
      </c>
      <c r="S134" s="12">
        <f t="shared" si="7"/>
        <v>1.600508087385788E-2</v>
      </c>
    </row>
    <row r="135" spans="3:19">
      <c r="C135" s="9">
        <v>42751</v>
      </c>
      <c r="D135" s="10">
        <v>48888.54</v>
      </c>
      <c r="E135" s="11" t="s">
        <v>79</v>
      </c>
      <c r="F135" s="12">
        <f t="shared" ref="F135:F198" si="8">D135/D134-1</f>
        <v>-6.5425061724632139E-3</v>
      </c>
      <c r="I135" s="9">
        <v>43714</v>
      </c>
      <c r="J135" s="10">
        <v>5899</v>
      </c>
      <c r="K135" s="11" t="s">
        <v>84</v>
      </c>
      <c r="L135" s="12">
        <f t="shared" ref="L135:L198" si="9">J135/J134-1</f>
        <v>6.8949895805019423E-2</v>
      </c>
      <c r="O135" s="9">
        <v>43714</v>
      </c>
      <c r="P135" s="10">
        <v>5899</v>
      </c>
      <c r="Q135" s="11" t="s">
        <v>84</v>
      </c>
      <c r="R135" s="12">
        <f t="shared" ref="R135:R198" si="10">P135/P134-1</f>
        <v>6.8949895805019423E-2</v>
      </c>
      <c r="S135" s="12">
        <f t="shared" ref="S135:S198" si="11">VLOOKUP(O135,$C$5:$F$989,4,)</f>
        <v>8.3545233010213771E-3</v>
      </c>
    </row>
    <row r="136" spans="3:19">
      <c r="C136" s="9">
        <v>42752</v>
      </c>
      <c r="D136" s="10">
        <v>48678.65</v>
      </c>
      <c r="E136" s="11" t="s">
        <v>79</v>
      </c>
      <c r="F136" s="12">
        <f t="shared" si="8"/>
        <v>-4.2932351835419658E-3</v>
      </c>
      <c r="I136" s="9">
        <v>43713</v>
      </c>
      <c r="J136" s="10">
        <v>5790.3</v>
      </c>
      <c r="K136" s="11" t="s">
        <v>84</v>
      </c>
      <c r="L136" s="12">
        <f t="shared" si="9"/>
        <v>-1.8426852008814998E-2</v>
      </c>
      <c r="O136" s="9">
        <v>43713</v>
      </c>
      <c r="P136" s="10">
        <v>5790.3</v>
      </c>
      <c r="Q136" s="11" t="s">
        <v>84</v>
      </c>
      <c r="R136" s="12">
        <f t="shared" si="10"/>
        <v>-1.8426852008814998E-2</v>
      </c>
      <c r="S136" s="12">
        <f t="shared" si="11"/>
        <v>-9.9058579792243862E-4</v>
      </c>
    </row>
    <row r="137" spans="3:19">
      <c r="C137" s="9">
        <v>42753</v>
      </c>
      <c r="D137" s="10">
        <v>48642.21</v>
      </c>
      <c r="E137" s="11" t="s">
        <v>79</v>
      </c>
      <c r="F137" s="12">
        <f t="shared" si="8"/>
        <v>-7.485827975920456E-4</v>
      </c>
      <c r="I137" s="9">
        <v>43711</v>
      </c>
      <c r="J137" s="10">
        <v>6095</v>
      </c>
      <c r="K137" s="11" t="s">
        <v>84</v>
      </c>
      <c r="L137" s="12">
        <f t="shared" si="9"/>
        <v>5.2622489335612865E-2</v>
      </c>
      <c r="O137" s="9">
        <v>43711</v>
      </c>
      <c r="P137" s="10">
        <v>6095</v>
      </c>
      <c r="Q137" s="11" t="s">
        <v>84</v>
      </c>
      <c r="R137" s="12">
        <f t="shared" si="10"/>
        <v>5.2622489335612865E-2</v>
      </c>
      <c r="S137" s="12">
        <f t="shared" si="11"/>
        <v>-8.237934956877413E-3</v>
      </c>
    </row>
    <row r="138" spans="3:19">
      <c r="C138" s="9">
        <v>42754</v>
      </c>
      <c r="D138" s="10">
        <v>49013.82</v>
      </c>
      <c r="E138" s="11" t="s">
        <v>79</v>
      </c>
      <c r="F138" s="12">
        <f t="shared" si="8"/>
        <v>7.6396611091478217E-3</v>
      </c>
      <c r="I138" s="9">
        <v>43707</v>
      </c>
      <c r="J138" s="10">
        <v>6090</v>
      </c>
      <c r="K138" s="11" t="s">
        <v>84</v>
      </c>
      <c r="L138" s="12">
        <f t="shared" si="9"/>
        <v>-8.2034454470880647E-4</v>
      </c>
      <c r="O138" s="9">
        <v>43707</v>
      </c>
      <c r="P138" s="10">
        <v>6090</v>
      </c>
      <c r="Q138" s="11" t="s">
        <v>84</v>
      </c>
      <c r="R138" s="12">
        <f t="shared" si="10"/>
        <v>-8.2034454470880647E-4</v>
      </c>
      <c r="S138" s="12">
        <f t="shared" si="11"/>
        <v>-1.6142466451097737E-2</v>
      </c>
    </row>
    <row r="139" spans="3:19">
      <c r="C139" s="9">
        <v>42755</v>
      </c>
      <c r="D139" s="10">
        <v>49364.83</v>
      </c>
      <c r="E139" s="11" t="s">
        <v>79</v>
      </c>
      <c r="F139" s="12">
        <f t="shared" si="8"/>
        <v>7.1614495666731948E-3</v>
      </c>
      <c r="I139" s="9">
        <v>43706</v>
      </c>
      <c r="J139" s="10">
        <v>5800</v>
      </c>
      <c r="K139" s="11" t="s">
        <v>84</v>
      </c>
      <c r="L139" s="12">
        <f t="shared" si="9"/>
        <v>-4.7619047619047672E-2</v>
      </c>
      <c r="O139" s="9">
        <v>43706</v>
      </c>
      <c r="P139" s="10">
        <v>5800</v>
      </c>
      <c r="Q139" s="11" t="s">
        <v>84</v>
      </c>
      <c r="R139" s="12">
        <f t="shared" si="10"/>
        <v>-4.7619047619047672E-2</v>
      </c>
      <c r="S139" s="12">
        <f t="shared" si="11"/>
        <v>-1.5626167882651809E-2</v>
      </c>
    </row>
    <row r="140" spans="3:19">
      <c r="C140" s="9">
        <v>42758</v>
      </c>
      <c r="D140" s="10">
        <v>49876.18</v>
      </c>
      <c r="E140" s="11" t="s">
        <v>79</v>
      </c>
      <c r="F140" s="12">
        <f t="shared" si="8"/>
        <v>1.0358589303356203E-2</v>
      </c>
      <c r="I140" s="9">
        <v>43705</v>
      </c>
      <c r="J140" s="10">
        <v>5873</v>
      </c>
      <c r="K140" s="11" t="s">
        <v>84</v>
      </c>
      <c r="L140" s="12">
        <f t="shared" si="9"/>
        <v>1.2586206896551655E-2</v>
      </c>
      <c r="O140" s="9">
        <v>43705</v>
      </c>
      <c r="P140" s="10">
        <v>5873</v>
      </c>
      <c r="Q140" s="11" t="s">
        <v>84</v>
      </c>
      <c r="R140" s="12">
        <f t="shared" si="10"/>
        <v>1.2586206896551655E-2</v>
      </c>
      <c r="S140" s="12">
        <f t="shared" si="11"/>
        <v>1.7283066616315956E-3</v>
      </c>
    </row>
    <row r="141" spans="3:19">
      <c r="C141" s="9">
        <v>42759</v>
      </c>
      <c r="D141" s="10">
        <v>49968.92</v>
      </c>
      <c r="E141" s="11" t="s">
        <v>79</v>
      </c>
      <c r="F141" s="12">
        <f t="shared" si="8"/>
        <v>1.8594046296247502E-3</v>
      </c>
      <c r="I141" s="9">
        <v>43704</v>
      </c>
      <c r="J141" s="10">
        <v>6198</v>
      </c>
      <c r="K141" s="11" t="s">
        <v>84</v>
      </c>
      <c r="L141" s="12">
        <f t="shared" si="9"/>
        <v>5.5337987399965982E-2</v>
      </c>
      <c r="O141" s="9">
        <v>43704</v>
      </c>
      <c r="P141" s="10">
        <v>6198</v>
      </c>
      <c r="Q141" s="11" t="s">
        <v>84</v>
      </c>
      <c r="R141" s="12">
        <f t="shared" si="10"/>
        <v>5.5337987399965982E-2</v>
      </c>
      <c r="S141" s="12">
        <f t="shared" si="11"/>
        <v>2.1051355477939016E-3</v>
      </c>
    </row>
    <row r="142" spans="3:19">
      <c r="C142" s="9">
        <v>42760</v>
      </c>
      <c r="D142" s="10">
        <v>49756.77</v>
      </c>
      <c r="E142" s="11" t="s">
        <v>79</v>
      </c>
      <c r="F142" s="12">
        <f t="shared" si="8"/>
        <v>-4.2456390892579021E-3</v>
      </c>
      <c r="I142" s="9">
        <v>43703</v>
      </c>
      <c r="J142" s="10">
        <v>6275</v>
      </c>
      <c r="K142" s="11" t="s">
        <v>84</v>
      </c>
      <c r="L142" s="12">
        <f t="shared" si="9"/>
        <v>1.2423362374959668E-2</v>
      </c>
      <c r="O142" s="9">
        <v>43703</v>
      </c>
      <c r="P142" s="10">
        <v>6275</v>
      </c>
      <c r="Q142" s="11" t="s">
        <v>84</v>
      </c>
      <c r="R142" s="12">
        <f t="shared" si="10"/>
        <v>1.2423362374959668E-2</v>
      </c>
      <c r="S142" s="12">
        <f t="shared" si="11"/>
        <v>-2.6456450891084282E-2</v>
      </c>
    </row>
    <row r="143" spans="3:19">
      <c r="C143" s="9">
        <v>42761</v>
      </c>
      <c r="D143" s="10">
        <v>50192.36</v>
      </c>
      <c r="E143" s="11" t="s">
        <v>79</v>
      </c>
      <c r="F143" s="12">
        <f t="shared" si="8"/>
        <v>8.754386589000962E-3</v>
      </c>
      <c r="I143" s="9">
        <v>43699</v>
      </c>
      <c r="J143" s="10">
        <v>6199</v>
      </c>
      <c r="K143" s="11" t="s">
        <v>84</v>
      </c>
      <c r="L143" s="12">
        <f t="shared" si="9"/>
        <v>-1.2111553784860507E-2</v>
      </c>
      <c r="O143" s="9">
        <v>43699</v>
      </c>
      <c r="P143" s="10">
        <v>6199</v>
      </c>
      <c r="Q143" s="11" t="s">
        <v>84</v>
      </c>
      <c r="R143" s="12">
        <f t="shared" si="10"/>
        <v>-1.2111553784860507E-2</v>
      </c>
      <c r="S143" s="12">
        <f t="shared" si="11"/>
        <v>2.9435552219289507E-2</v>
      </c>
    </row>
    <row r="144" spans="3:19">
      <c r="C144" s="9">
        <v>42762</v>
      </c>
      <c r="D144" s="10">
        <v>49963.77</v>
      </c>
      <c r="E144" s="11" t="s">
        <v>79</v>
      </c>
      <c r="F144" s="12">
        <f t="shared" si="8"/>
        <v>-4.5542787786827521E-3</v>
      </c>
      <c r="I144" s="9">
        <v>43697</v>
      </c>
      <c r="J144" s="10">
        <v>6260</v>
      </c>
      <c r="K144" s="11" t="s">
        <v>84</v>
      </c>
      <c r="L144" s="12">
        <f t="shared" si="9"/>
        <v>9.8402968220681064E-3</v>
      </c>
      <c r="O144" s="9">
        <v>43697</v>
      </c>
      <c r="P144" s="10">
        <v>6260</v>
      </c>
      <c r="Q144" s="11" t="s">
        <v>84</v>
      </c>
      <c r="R144" s="12">
        <f t="shared" si="10"/>
        <v>9.8402968220681064E-3</v>
      </c>
      <c r="S144" s="12">
        <f t="shared" si="11"/>
        <v>2.8982742278879758E-2</v>
      </c>
    </row>
    <row r="145" spans="3:19">
      <c r="C145" s="9">
        <v>42765</v>
      </c>
      <c r="D145" s="10">
        <v>48972.24</v>
      </c>
      <c r="E145" s="11" t="s">
        <v>79</v>
      </c>
      <c r="F145" s="12">
        <f t="shared" si="8"/>
        <v>-1.9844979672270502E-2</v>
      </c>
      <c r="I145" s="9">
        <v>43696</v>
      </c>
      <c r="J145" s="10">
        <v>5980.3</v>
      </c>
      <c r="K145" s="11" t="s">
        <v>84</v>
      </c>
      <c r="L145" s="12">
        <f t="shared" si="9"/>
        <v>-4.4680511182108584E-2</v>
      </c>
      <c r="O145" s="9">
        <v>43696</v>
      </c>
      <c r="P145" s="10">
        <v>5980.3</v>
      </c>
      <c r="Q145" s="11" t="s">
        <v>84</v>
      </c>
      <c r="R145" s="12">
        <f t="shared" si="10"/>
        <v>-4.4680511182108584E-2</v>
      </c>
      <c r="S145" s="12">
        <f t="shared" si="11"/>
        <v>2.7735103841071362E-2</v>
      </c>
    </row>
    <row r="146" spans="3:19">
      <c r="C146" s="9">
        <v>42766</v>
      </c>
      <c r="D146" s="10">
        <v>48757.67</v>
      </c>
      <c r="E146" s="11" t="s">
        <v>79</v>
      </c>
      <c r="F146" s="12">
        <f t="shared" si="8"/>
        <v>-4.3814618240864966E-3</v>
      </c>
      <c r="I146" s="9">
        <v>43693</v>
      </c>
      <c r="J146" s="10">
        <v>6295</v>
      </c>
      <c r="K146" s="11" t="s">
        <v>84</v>
      </c>
      <c r="L146" s="12">
        <f t="shared" si="9"/>
        <v>5.2622778121498959E-2</v>
      </c>
      <c r="O146" s="9">
        <v>43693</v>
      </c>
      <c r="P146" s="10">
        <v>6295</v>
      </c>
      <c r="Q146" s="11" t="s">
        <v>84</v>
      </c>
      <c r="R146" s="12">
        <f t="shared" si="10"/>
        <v>5.2622778121498959E-2</v>
      </c>
      <c r="S146" s="12">
        <f t="shared" si="11"/>
        <v>-2.2577675747143866E-2</v>
      </c>
    </row>
    <row r="147" spans="3:19">
      <c r="C147" s="9">
        <v>42767</v>
      </c>
      <c r="D147" s="10">
        <v>49455.86</v>
      </c>
      <c r="E147" s="11" t="s">
        <v>79</v>
      </c>
      <c r="F147" s="12">
        <f t="shared" si="8"/>
        <v>1.4319593204515257E-2</v>
      </c>
      <c r="I147" s="9">
        <v>43686</v>
      </c>
      <c r="J147" s="10">
        <v>6300</v>
      </c>
      <c r="K147" s="11" t="s">
        <v>84</v>
      </c>
      <c r="L147" s="12">
        <f t="shared" si="9"/>
        <v>7.9428117553614896E-4</v>
      </c>
      <c r="O147" s="9">
        <v>43686</v>
      </c>
      <c r="P147" s="10">
        <v>6300</v>
      </c>
      <c r="Q147" s="11" t="s">
        <v>84</v>
      </c>
      <c r="R147" s="12">
        <f t="shared" si="10"/>
        <v>7.9428117553614896E-4</v>
      </c>
      <c r="S147" s="12">
        <f t="shared" si="11"/>
        <v>-1.0387726402398489E-2</v>
      </c>
    </row>
    <row r="148" spans="3:19">
      <c r="C148" s="9">
        <v>42768</v>
      </c>
      <c r="D148" s="10">
        <v>49665.97</v>
      </c>
      <c r="E148" s="11" t="s">
        <v>79</v>
      </c>
      <c r="F148" s="12">
        <f t="shared" si="8"/>
        <v>4.248434866970241E-3</v>
      </c>
      <c r="I148" s="9">
        <v>43685</v>
      </c>
      <c r="J148" s="10">
        <v>6013</v>
      </c>
      <c r="K148" s="11" t="s">
        <v>84</v>
      </c>
      <c r="L148" s="12">
        <f t="shared" si="9"/>
        <v>-4.5555555555555571E-2</v>
      </c>
      <c r="O148" s="9">
        <v>43685</v>
      </c>
      <c r="P148" s="10">
        <v>6013</v>
      </c>
      <c r="Q148" s="11" t="s">
        <v>84</v>
      </c>
      <c r="R148" s="12">
        <f t="shared" si="10"/>
        <v>-4.5555555555555571E-2</v>
      </c>
      <c r="S148" s="12">
        <f t="shared" si="11"/>
        <v>-1.7817550685411132E-2</v>
      </c>
    </row>
    <row r="149" spans="3:19">
      <c r="C149" s="9">
        <v>42769</v>
      </c>
      <c r="D149" s="10">
        <v>49555.83</v>
      </c>
      <c r="E149" s="11" t="s">
        <v>79</v>
      </c>
      <c r="F149" s="12">
        <f t="shared" si="8"/>
        <v>-2.2176149987607197E-3</v>
      </c>
      <c r="I149" s="9">
        <v>43682</v>
      </c>
      <c r="J149" s="10">
        <v>5899</v>
      </c>
      <c r="K149" s="11" t="s">
        <v>84</v>
      </c>
      <c r="L149" s="12">
        <f t="shared" si="9"/>
        <v>-1.8958922334941009E-2</v>
      </c>
      <c r="O149" s="9">
        <v>43682</v>
      </c>
      <c r="P149" s="10">
        <v>5899</v>
      </c>
      <c r="Q149" s="11" t="s">
        <v>84</v>
      </c>
      <c r="R149" s="12">
        <f t="shared" si="10"/>
        <v>-1.8958922334941009E-2</v>
      </c>
      <c r="S149" s="12">
        <f t="shared" si="11"/>
        <v>-1.5335176927223526E-2</v>
      </c>
    </row>
    <row r="150" spans="3:19">
      <c r="C150" s="9">
        <v>42772</v>
      </c>
      <c r="D150" s="10">
        <v>49630.04</v>
      </c>
      <c r="E150" s="11" t="s">
        <v>79</v>
      </c>
      <c r="F150" s="12">
        <f t="shared" si="8"/>
        <v>1.49750291741646E-3</v>
      </c>
      <c r="I150" s="9">
        <v>43679</v>
      </c>
      <c r="J150" s="10">
        <v>5700</v>
      </c>
      <c r="K150" s="11" t="s">
        <v>84</v>
      </c>
      <c r="L150" s="12">
        <f t="shared" si="9"/>
        <v>-3.3734531276487512E-2</v>
      </c>
      <c r="O150" s="9">
        <v>43679</v>
      </c>
      <c r="P150" s="10">
        <v>5700</v>
      </c>
      <c r="Q150" s="11" t="s">
        <v>84</v>
      </c>
      <c r="R150" s="12">
        <f t="shared" si="10"/>
        <v>-3.3734531276487512E-2</v>
      </c>
      <c r="S150" s="12">
        <f t="shared" si="11"/>
        <v>-5.4241465920372711E-3</v>
      </c>
    </row>
    <row r="151" spans="3:19">
      <c r="C151" s="9">
        <v>42773</v>
      </c>
      <c r="D151" s="10">
        <v>49859.39</v>
      </c>
      <c r="E151" s="11" t="s">
        <v>79</v>
      </c>
      <c r="F151" s="12">
        <f t="shared" si="8"/>
        <v>4.6211931322239774E-3</v>
      </c>
      <c r="I151" s="9">
        <v>43678</v>
      </c>
      <c r="J151" s="10">
        <v>5500</v>
      </c>
      <c r="K151" s="11" t="s">
        <v>84</v>
      </c>
      <c r="L151" s="12">
        <f t="shared" si="9"/>
        <v>-3.5087719298245612E-2</v>
      </c>
      <c r="O151" s="9">
        <v>43678</v>
      </c>
      <c r="P151" s="10">
        <v>5500</v>
      </c>
      <c r="Q151" s="11" t="s">
        <v>84</v>
      </c>
      <c r="R151" s="12">
        <f t="shared" si="10"/>
        <v>-3.5087719298245612E-2</v>
      </c>
      <c r="S151" s="12">
        <f t="shared" si="11"/>
        <v>-3.1112939626432023E-3</v>
      </c>
    </row>
    <row r="152" spans="3:19">
      <c r="C152" s="9">
        <v>42774</v>
      </c>
      <c r="D152" s="10">
        <v>49874.96</v>
      </c>
      <c r="E152" s="11" t="s">
        <v>79</v>
      </c>
      <c r="F152" s="12">
        <f t="shared" si="8"/>
        <v>3.1227818872237023E-4</v>
      </c>
      <c r="I152" s="9">
        <v>43677</v>
      </c>
      <c r="J152" s="10">
        <v>5700</v>
      </c>
      <c r="K152" s="11" t="s">
        <v>84</v>
      </c>
      <c r="L152" s="12">
        <f t="shared" si="9"/>
        <v>3.6363636363636376E-2</v>
      </c>
      <c r="O152" s="9">
        <v>43677</v>
      </c>
      <c r="P152" s="10">
        <v>5700</v>
      </c>
      <c r="Q152" s="11" t="s">
        <v>84</v>
      </c>
      <c r="R152" s="12">
        <f t="shared" si="10"/>
        <v>3.6363636363636376E-2</v>
      </c>
      <c r="S152" s="12">
        <f t="shared" si="11"/>
        <v>8.8558638352498331E-3</v>
      </c>
    </row>
    <row r="153" spans="3:19">
      <c r="C153" s="9">
        <v>42775</v>
      </c>
      <c r="D153" s="10">
        <v>49908.15</v>
      </c>
      <c r="E153" s="11" t="s">
        <v>79</v>
      </c>
      <c r="F153" s="12">
        <f t="shared" si="8"/>
        <v>6.6546419285362646E-4</v>
      </c>
      <c r="I153" s="9">
        <v>43676</v>
      </c>
      <c r="J153" s="10">
        <v>5555</v>
      </c>
      <c r="K153" s="11" t="s">
        <v>84</v>
      </c>
      <c r="L153" s="12">
        <f t="shared" si="9"/>
        <v>-2.5438596491228038E-2</v>
      </c>
      <c r="O153" s="9">
        <v>43676</v>
      </c>
      <c r="P153" s="10">
        <v>5555</v>
      </c>
      <c r="Q153" s="11" t="s">
        <v>84</v>
      </c>
      <c r="R153" s="12">
        <f t="shared" si="10"/>
        <v>-2.5438596491228038E-2</v>
      </c>
      <c r="S153" s="12">
        <f t="shared" si="11"/>
        <v>-2.3983566010582491E-3</v>
      </c>
    </row>
    <row r="154" spans="3:19">
      <c r="C154" s="9">
        <v>42776</v>
      </c>
      <c r="D154" s="10">
        <v>49925.08</v>
      </c>
      <c r="E154" s="11" t="s">
        <v>79</v>
      </c>
      <c r="F154" s="12">
        <f t="shared" si="8"/>
        <v>3.39223152932E-4</v>
      </c>
      <c r="I154" s="9">
        <v>43672</v>
      </c>
      <c r="J154" s="10">
        <v>5828.3</v>
      </c>
      <c r="K154" s="11" t="s">
        <v>84</v>
      </c>
      <c r="L154" s="12">
        <f t="shared" si="9"/>
        <v>4.9198919891989323E-2</v>
      </c>
      <c r="O154" s="9">
        <v>43672</v>
      </c>
      <c r="P154" s="10">
        <v>5828.3</v>
      </c>
      <c r="Q154" s="11" t="s">
        <v>84</v>
      </c>
      <c r="R154" s="12">
        <f t="shared" si="10"/>
        <v>4.9198919891989323E-2</v>
      </c>
      <c r="S154" s="12">
        <f t="shared" si="11"/>
        <v>-1.0575287242960751E-2</v>
      </c>
    </row>
    <row r="155" spans="3:19">
      <c r="C155" s="9">
        <v>42779</v>
      </c>
      <c r="D155" s="10">
        <v>49965.63</v>
      </c>
      <c r="E155" s="11" t="s">
        <v>79</v>
      </c>
      <c r="F155" s="12">
        <f t="shared" si="8"/>
        <v>8.1221702599165724E-4</v>
      </c>
      <c r="I155" s="9">
        <v>43671</v>
      </c>
      <c r="J155" s="10">
        <v>6135</v>
      </c>
      <c r="K155" s="11" t="s">
        <v>84</v>
      </c>
      <c r="L155" s="12">
        <f t="shared" si="9"/>
        <v>5.2622548599076779E-2</v>
      </c>
      <c r="O155" s="9">
        <v>43671</v>
      </c>
      <c r="P155" s="10">
        <v>6135</v>
      </c>
      <c r="Q155" s="11" t="s">
        <v>84</v>
      </c>
      <c r="R155" s="12">
        <f t="shared" si="10"/>
        <v>5.2622548599076779E-2</v>
      </c>
      <c r="S155" s="12">
        <f t="shared" si="11"/>
        <v>1.3888288777645919E-3</v>
      </c>
    </row>
    <row r="156" spans="3:19">
      <c r="C156" s="9">
        <v>42780</v>
      </c>
      <c r="D156" s="10">
        <v>49767.91</v>
      </c>
      <c r="E156" s="11" t="s">
        <v>79</v>
      </c>
      <c r="F156" s="12">
        <f t="shared" si="8"/>
        <v>-3.9571201243733256E-3</v>
      </c>
      <c r="I156" s="9">
        <v>43670</v>
      </c>
      <c r="J156" s="10">
        <v>5850</v>
      </c>
      <c r="K156" s="11" t="s">
        <v>84</v>
      </c>
      <c r="L156" s="12">
        <f t="shared" si="9"/>
        <v>-4.6454767726161417E-2</v>
      </c>
      <c r="O156" s="9">
        <v>43670</v>
      </c>
      <c r="P156" s="10">
        <v>5850</v>
      </c>
      <c r="Q156" s="11" t="s">
        <v>84</v>
      </c>
      <c r="R156" s="12">
        <f t="shared" si="10"/>
        <v>-4.6454767726161417E-2</v>
      </c>
      <c r="S156" s="12">
        <f t="shared" si="11"/>
        <v>-9.6124573143072656E-3</v>
      </c>
    </row>
    <row r="157" spans="3:19">
      <c r="C157" s="9">
        <v>42781</v>
      </c>
      <c r="D157" s="10">
        <v>49214.15</v>
      </c>
      <c r="E157" s="11" t="s">
        <v>79</v>
      </c>
      <c r="F157" s="12">
        <f t="shared" si="8"/>
        <v>-1.1126848605858664E-2</v>
      </c>
      <c r="I157" s="9">
        <v>43669</v>
      </c>
      <c r="J157" s="10">
        <v>6137.7</v>
      </c>
      <c r="K157" s="11" t="s">
        <v>84</v>
      </c>
      <c r="L157" s="12">
        <f t="shared" si="9"/>
        <v>4.9179487179487058E-2</v>
      </c>
      <c r="O157" s="9">
        <v>43669</v>
      </c>
      <c r="P157" s="10">
        <v>6137.7</v>
      </c>
      <c r="Q157" s="11" t="s">
        <v>84</v>
      </c>
      <c r="R157" s="12">
        <f t="shared" si="10"/>
        <v>4.9179487179487058E-2</v>
      </c>
      <c r="S157" s="12">
        <f t="shared" si="11"/>
        <v>4.03043773813061E-3</v>
      </c>
    </row>
    <row r="158" spans="3:19">
      <c r="C158" s="9">
        <v>42782</v>
      </c>
      <c r="D158" s="10">
        <v>49588.3</v>
      </c>
      <c r="E158" s="11" t="s">
        <v>79</v>
      </c>
      <c r="F158" s="12">
        <f t="shared" si="8"/>
        <v>7.6024883087486561E-3</v>
      </c>
      <c r="I158" s="9">
        <v>43665</v>
      </c>
      <c r="J158" s="10">
        <v>6460</v>
      </c>
      <c r="K158" s="11" t="s">
        <v>84</v>
      </c>
      <c r="L158" s="12">
        <f t="shared" si="9"/>
        <v>5.2511527119279311E-2</v>
      </c>
      <c r="O158" s="9">
        <v>43665</v>
      </c>
      <c r="P158" s="10">
        <v>6460</v>
      </c>
      <c r="Q158" s="11" t="s">
        <v>84</v>
      </c>
      <c r="R158" s="12">
        <f t="shared" si="10"/>
        <v>5.2511527119279311E-2</v>
      </c>
      <c r="S158" s="12">
        <f t="shared" si="11"/>
        <v>4.6187596604594372E-3</v>
      </c>
    </row>
    <row r="159" spans="3:19">
      <c r="C159" s="9">
        <v>42783</v>
      </c>
      <c r="D159" s="10">
        <v>49375.71</v>
      </c>
      <c r="E159" s="11" t="s">
        <v>79</v>
      </c>
      <c r="F159" s="12">
        <f t="shared" si="8"/>
        <v>-4.2870999812456567E-3</v>
      </c>
      <c r="I159" s="9">
        <v>43664</v>
      </c>
      <c r="J159" s="10">
        <v>6800</v>
      </c>
      <c r="K159" s="11" t="s">
        <v>84</v>
      </c>
      <c r="L159" s="12">
        <f t="shared" si="9"/>
        <v>5.2631578947368363E-2</v>
      </c>
      <c r="O159" s="9">
        <v>43664</v>
      </c>
      <c r="P159" s="10">
        <v>6800</v>
      </c>
      <c r="Q159" s="11" t="s">
        <v>84</v>
      </c>
      <c r="R159" s="12">
        <f t="shared" si="10"/>
        <v>5.2631578947368363E-2</v>
      </c>
      <c r="S159" s="12">
        <f t="shared" si="11"/>
        <v>-2.0388399850948868E-2</v>
      </c>
    </row>
    <row r="160" spans="3:19">
      <c r="C160" s="9">
        <v>42786</v>
      </c>
      <c r="D160" s="10">
        <v>48929.120000000003</v>
      </c>
      <c r="E160" s="11" t="s">
        <v>79</v>
      </c>
      <c r="F160" s="12">
        <f t="shared" si="8"/>
        <v>-9.0447306985559361E-3</v>
      </c>
      <c r="I160" s="9">
        <v>43663</v>
      </c>
      <c r="J160" s="10">
        <v>7100</v>
      </c>
      <c r="K160" s="11" t="s">
        <v>84</v>
      </c>
      <c r="L160" s="12">
        <f t="shared" si="9"/>
        <v>4.4117647058823595E-2</v>
      </c>
      <c r="O160" s="9">
        <v>43663</v>
      </c>
      <c r="P160" s="10">
        <v>7100</v>
      </c>
      <c r="Q160" s="11" t="s">
        <v>84</v>
      </c>
      <c r="R160" s="12">
        <f t="shared" si="10"/>
        <v>4.4117647058823595E-2</v>
      </c>
      <c r="S160" s="12">
        <f t="shared" si="11"/>
        <v>3.0237759166706901E-4</v>
      </c>
    </row>
    <row r="161" spans="3:19">
      <c r="C161" s="9">
        <v>42787</v>
      </c>
      <c r="D161" s="10">
        <v>49015.09</v>
      </c>
      <c r="E161" s="11" t="s">
        <v>79</v>
      </c>
      <c r="F161" s="12">
        <f t="shared" si="8"/>
        <v>1.75703139561878E-3</v>
      </c>
      <c r="I161" s="9">
        <v>43662</v>
      </c>
      <c r="J161" s="10">
        <v>7130</v>
      </c>
      <c r="K161" s="11" t="s">
        <v>84</v>
      </c>
      <c r="L161" s="12">
        <f t="shared" si="9"/>
        <v>4.2253521126760507E-3</v>
      </c>
      <c r="O161" s="9">
        <v>43662</v>
      </c>
      <c r="P161" s="10">
        <v>7130</v>
      </c>
      <c r="Q161" s="11" t="s">
        <v>84</v>
      </c>
      <c r="R161" s="12">
        <f t="shared" si="10"/>
        <v>4.2253521126760507E-3</v>
      </c>
      <c r="S161" s="12">
        <f t="shared" si="11"/>
        <v>4.1476590909428346E-4</v>
      </c>
    </row>
    <row r="162" spans="3:19">
      <c r="C162" s="9">
        <v>42788</v>
      </c>
      <c r="D162" s="10">
        <v>48981.65</v>
      </c>
      <c r="E162" s="11" t="s">
        <v>79</v>
      </c>
      <c r="F162" s="12">
        <f t="shared" si="8"/>
        <v>-6.8223887786378334E-4</v>
      </c>
      <c r="I162" s="9">
        <v>43656</v>
      </c>
      <c r="J162" s="10">
        <v>6800</v>
      </c>
      <c r="K162" s="11" t="s">
        <v>84</v>
      </c>
      <c r="L162" s="12">
        <f t="shared" si="9"/>
        <v>-4.628330995792429E-2</v>
      </c>
      <c r="O162" s="9">
        <v>43656</v>
      </c>
      <c r="P162" s="10">
        <v>6800</v>
      </c>
      <c r="Q162" s="11" t="s">
        <v>84</v>
      </c>
      <c r="R162" s="12">
        <f t="shared" si="10"/>
        <v>-4.628330995792429E-2</v>
      </c>
      <c r="S162" s="12">
        <f t="shared" si="11"/>
        <v>-4.5871315747647579E-4</v>
      </c>
    </row>
    <row r="163" spans="3:19">
      <c r="C163" s="9">
        <v>42789</v>
      </c>
      <c r="D163" s="10">
        <v>49062.26</v>
      </c>
      <c r="E163" s="11" t="s">
        <v>79</v>
      </c>
      <c r="F163" s="12">
        <f t="shared" si="8"/>
        <v>1.645718345543612E-3</v>
      </c>
      <c r="I163" s="9">
        <v>43655</v>
      </c>
      <c r="J163" s="10">
        <v>6799</v>
      </c>
      <c r="K163" s="11" t="s">
        <v>84</v>
      </c>
      <c r="L163" s="12">
        <f t="shared" si="9"/>
        <v>-1.4705882352938904E-4</v>
      </c>
      <c r="O163" s="9">
        <v>43655</v>
      </c>
      <c r="P163" s="10">
        <v>6799</v>
      </c>
      <c r="Q163" s="11" t="s">
        <v>84</v>
      </c>
      <c r="R163" s="12">
        <f t="shared" si="10"/>
        <v>-1.4705882352938904E-4</v>
      </c>
      <c r="S163" s="12">
        <f t="shared" si="11"/>
        <v>3.3459108760773848E-3</v>
      </c>
    </row>
    <row r="164" spans="3:19">
      <c r="C164" s="9">
        <v>42790</v>
      </c>
      <c r="D164" s="10">
        <v>49007.99</v>
      </c>
      <c r="E164" s="11" t="s">
        <v>79</v>
      </c>
      <c r="F164" s="12">
        <f t="shared" si="8"/>
        <v>-1.10614553834254E-3</v>
      </c>
      <c r="I164" s="9">
        <v>43654</v>
      </c>
      <c r="J164" s="10">
        <v>7100</v>
      </c>
      <c r="K164" s="11" t="s">
        <v>84</v>
      </c>
      <c r="L164" s="12">
        <f t="shared" si="9"/>
        <v>4.4271216355346477E-2</v>
      </c>
      <c r="O164" s="9">
        <v>43654</v>
      </c>
      <c r="P164" s="10">
        <v>7100</v>
      </c>
      <c r="Q164" s="11" t="s">
        <v>84</v>
      </c>
      <c r="R164" s="12">
        <f t="shared" si="10"/>
        <v>4.4271216355346477E-2</v>
      </c>
      <c r="S164" s="12">
        <f t="shared" si="11"/>
        <v>-1.308393501963423E-2</v>
      </c>
    </row>
    <row r="165" spans="3:19">
      <c r="C165" s="9">
        <v>42793</v>
      </c>
      <c r="D165" s="10">
        <v>48520.75</v>
      </c>
      <c r="E165" s="11" t="s">
        <v>79</v>
      </c>
      <c r="F165" s="12">
        <f t="shared" si="8"/>
        <v>-9.9420523061647392E-3</v>
      </c>
      <c r="I165" s="9">
        <v>43651</v>
      </c>
      <c r="J165" s="10">
        <v>6800</v>
      </c>
      <c r="K165" s="11" t="s">
        <v>84</v>
      </c>
      <c r="L165" s="12">
        <f t="shared" si="9"/>
        <v>-4.2253521126760618E-2</v>
      </c>
      <c r="O165" s="9">
        <v>43651</v>
      </c>
      <c r="P165" s="10">
        <v>6800</v>
      </c>
      <c r="Q165" s="11" t="s">
        <v>84</v>
      </c>
      <c r="R165" s="12">
        <f t="shared" si="10"/>
        <v>-4.2253521126760618E-2</v>
      </c>
      <c r="S165" s="12">
        <f t="shared" si="11"/>
        <v>-1.1009348400462748E-2</v>
      </c>
    </row>
    <row r="166" spans="3:19">
      <c r="C166" s="9">
        <v>42794</v>
      </c>
      <c r="D166" s="10">
        <v>48534.23</v>
      </c>
      <c r="E166" s="11" t="s">
        <v>79</v>
      </c>
      <c r="F166" s="12">
        <f t="shared" si="8"/>
        <v>2.7781928350245622E-4</v>
      </c>
      <c r="I166" s="9">
        <v>43649</v>
      </c>
      <c r="J166" s="10">
        <v>6749</v>
      </c>
      <c r="K166" s="11" t="s">
        <v>84</v>
      </c>
      <c r="L166" s="12">
        <f t="shared" si="9"/>
        <v>-7.4999999999999512E-3</v>
      </c>
      <c r="O166" s="9">
        <v>43649</v>
      </c>
      <c r="P166" s="10">
        <v>6749</v>
      </c>
      <c r="Q166" s="11" t="s">
        <v>84</v>
      </c>
      <c r="R166" s="12">
        <f t="shared" si="10"/>
        <v>-7.4999999999999512E-3</v>
      </c>
      <c r="S166" s="12">
        <f t="shared" si="11"/>
        <v>1.7181278166537473E-2</v>
      </c>
    </row>
    <row r="167" spans="3:19">
      <c r="C167" s="9">
        <v>42795</v>
      </c>
      <c r="D167" s="10">
        <v>48992.160000000003</v>
      </c>
      <c r="E167" s="11" t="s">
        <v>79</v>
      </c>
      <c r="F167" s="12">
        <f t="shared" si="8"/>
        <v>9.4351965612722299E-3</v>
      </c>
      <c r="I167" s="9">
        <v>43648</v>
      </c>
      <c r="J167" s="10">
        <v>6750</v>
      </c>
      <c r="K167" s="11" t="s">
        <v>84</v>
      </c>
      <c r="L167" s="12">
        <f t="shared" si="9"/>
        <v>1.4817009927403646E-4</v>
      </c>
      <c r="O167" s="9">
        <v>43648</v>
      </c>
      <c r="P167" s="10">
        <v>6750</v>
      </c>
      <c r="Q167" s="11" t="s">
        <v>84</v>
      </c>
      <c r="R167" s="12">
        <f t="shared" si="10"/>
        <v>1.4817009927403646E-4</v>
      </c>
      <c r="S167" s="12">
        <f t="shared" si="11"/>
        <v>9.1415749876531116E-3</v>
      </c>
    </row>
    <row r="168" spans="3:19">
      <c r="C168" s="9">
        <v>42796</v>
      </c>
      <c r="D168" s="10">
        <v>49696.08</v>
      </c>
      <c r="E168" s="11" t="s">
        <v>79</v>
      </c>
      <c r="F168" s="12">
        <f t="shared" si="8"/>
        <v>1.4368013167820992E-2</v>
      </c>
      <c r="I168" s="9">
        <v>43647</v>
      </c>
      <c r="J168" s="10">
        <v>6999</v>
      </c>
      <c r="K168" s="11" t="s">
        <v>84</v>
      </c>
      <c r="L168" s="12">
        <f t="shared" si="9"/>
        <v>3.6888888888888971E-2</v>
      </c>
      <c r="O168" s="9">
        <v>43647</v>
      </c>
      <c r="P168" s="10">
        <v>6999</v>
      </c>
      <c r="Q168" s="11" t="s">
        <v>84</v>
      </c>
      <c r="R168" s="12">
        <f t="shared" si="10"/>
        <v>3.6888888888888971E-2</v>
      </c>
      <c r="S168" s="12">
        <f t="shared" si="11"/>
        <v>2.7948549890595142E-3</v>
      </c>
    </row>
    <row r="169" spans="3:19">
      <c r="C169" s="9">
        <v>42797</v>
      </c>
      <c r="D169" s="10">
        <v>49623.81</v>
      </c>
      <c r="E169" s="11" t="s">
        <v>79</v>
      </c>
      <c r="F169" s="12">
        <f t="shared" si="8"/>
        <v>-1.4542394490673072E-3</v>
      </c>
      <c r="I169" s="9">
        <v>43643</v>
      </c>
      <c r="J169" s="10">
        <v>6750</v>
      </c>
      <c r="K169" s="11" t="s">
        <v>84</v>
      </c>
      <c r="L169" s="12">
        <f t="shared" si="9"/>
        <v>-3.5576510930132921E-2</v>
      </c>
      <c r="O169" s="9">
        <v>43643</v>
      </c>
      <c r="P169" s="10">
        <v>6750</v>
      </c>
      <c r="Q169" s="11" t="s">
        <v>84</v>
      </c>
      <c r="R169" s="12">
        <f t="shared" si="10"/>
        <v>-3.5576510930132921E-2</v>
      </c>
      <c r="S169" s="12">
        <f t="shared" si="11"/>
        <v>-9.2154083364037742E-3</v>
      </c>
    </row>
    <row r="170" spans="3:19">
      <c r="C170" s="9">
        <v>42800</v>
      </c>
      <c r="D170" s="10">
        <v>49434.89</v>
      </c>
      <c r="E170" s="11" t="s">
        <v>79</v>
      </c>
      <c r="F170" s="12">
        <f t="shared" si="8"/>
        <v>-3.8070434333840053E-3</v>
      </c>
      <c r="I170" s="9">
        <v>43642</v>
      </c>
      <c r="J170" s="10">
        <v>6799</v>
      </c>
      <c r="K170" s="11" t="s">
        <v>84</v>
      </c>
      <c r="L170" s="12">
        <f t="shared" si="9"/>
        <v>7.2592592592592986E-3</v>
      </c>
      <c r="O170" s="9">
        <v>43642</v>
      </c>
      <c r="P170" s="10">
        <v>6799</v>
      </c>
      <c r="Q170" s="11" t="s">
        <v>84</v>
      </c>
      <c r="R170" s="12">
        <f t="shared" si="10"/>
        <v>7.2592592592592986E-3</v>
      </c>
      <c r="S170" s="12">
        <f t="shared" si="11"/>
        <v>-2.985029227314584E-3</v>
      </c>
    </row>
    <row r="171" spans="3:19">
      <c r="C171" s="9">
        <v>42801</v>
      </c>
      <c r="D171" s="10">
        <v>49452.71</v>
      </c>
      <c r="E171" s="11" t="s">
        <v>79</v>
      </c>
      <c r="F171" s="12">
        <f t="shared" si="8"/>
        <v>3.6047415094886404E-4</v>
      </c>
      <c r="I171" s="9">
        <v>43641</v>
      </c>
      <c r="J171" s="10">
        <v>6571.6</v>
      </c>
      <c r="K171" s="11" t="s">
        <v>84</v>
      </c>
      <c r="L171" s="12">
        <f t="shared" si="9"/>
        <v>-3.3446095013972554E-2</v>
      </c>
      <c r="O171" s="9">
        <v>43641</v>
      </c>
      <c r="P171" s="10">
        <v>6571.6</v>
      </c>
      <c r="Q171" s="11" t="s">
        <v>84</v>
      </c>
      <c r="R171" s="12">
        <f t="shared" si="10"/>
        <v>-3.3446095013972554E-2</v>
      </c>
      <c r="S171" s="12">
        <f t="shared" si="11"/>
        <v>-8.1611281056045426E-3</v>
      </c>
    </row>
    <row r="172" spans="3:19">
      <c r="C172" s="9">
        <v>42802</v>
      </c>
      <c r="D172" s="10">
        <v>49754.720000000001</v>
      </c>
      <c r="E172" s="11" t="s">
        <v>79</v>
      </c>
      <c r="F172" s="12">
        <f t="shared" si="8"/>
        <v>6.1070465096857429E-3</v>
      </c>
      <c r="I172" s="9">
        <v>43640</v>
      </c>
      <c r="J172" s="10">
        <v>6947</v>
      </c>
      <c r="K172" s="11" t="s">
        <v>84</v>
      </c>
      <c r="L172" s="12">
        <f t="shared" si="9"/>
        <v>5.712459674964987E-2</v>
      </c>
      <c r="O172" s="9">
        <v>43640</v>
      </c>
      <c r="P172" s="10">
        <v>6947</v>
      </c>
      <c r="Q172" s="11" t="s">
        <v>84</v>
      </c>
      <c r="R172" s="12">
        <f t="shared" si="10"/>
        <v>5.712459674964987E-2</v>
      </c>
      <c r="S172" s="12">
        <f t="shared" si="11"/>
        <v>-1.859915587789418E-2</v>
      </c>
    </row>
    <row r="173" spans="3:19">
      <c r="C173" s="9">
        <v>42803</v>
      </c>
      <c r="D173" s="10">
        <v>49392.44</v>
      </c>
      <c r="E173" s="11" t="s">
        <v>79</v>
      </c>
      <c r="F173" s="12">
        <f t="shared" si="8"/>
        <v>-7.2813192396620208E-3</v>
      </c>
      <c r="I173" s="9">
        <v>43637</v>
      </c>
      <c r="J173" s="10">
        <v>6848</v>
      </c>
      <c r="K173" s="11" t="s">
        <v>84</v>
      </c>
      <c r="L173" s="12">
        <f t="shared" si="9"/>
        <v>-1.4250755721894381E-2</v>
      </c>
      <c r="O173" s="9">
        <v>43637</v>
      </c>
      <c r="P173" s="10">
        <v>6848</v>
      </c>
      <c r="Q173" s="11" t="s">
        <v>84</v>
      </c>
      <c r="R173" s="12">
        <f t="shared" si="10"/>
        <v>-1.4250755721894381E-2</v>
      </c>
      <c r="S173" s="12">
        <f t="shared" si="11"/>
        <v>3.69586045912218E-3</v>
      </c>
    </row>
    <row r="174" spans="3:19">
      <c r="C174" s="9">
        <v>42804</v>
      </c>
      <c r="D174" s="10">
        <v>49191.75</v>
      </c>
      <c r="E174" s="11" t="s">
        <v>79</v>
      </c>
      <c r="F174" s="12">
        <f t="shared" si="8"/>
        <v>-4.0631724207186304E-3</v>
      </c>
      <c r="I174" s="9">
        <v>43636</v>
      </c>
      <c r="J174" s="10">
        <v>6700</v>
      </c>
      <c r="K174" s="11" t="s">
        <v>84</v>
      </c>
      <c r="L174" s="12">
        <f t="shared" si="9"/>
        <v>-2.161214953271029E-2</v>
      </c>
      <c r="O174" s="9">
        <v>43636</v>
      </c>
      <c r="P174" s="10">
        <v>6700</v>
      </c>
      <c r="Q174" s="11" t="s">
        <v>84</v>
      </c>
      <c r="R174" s="12">
        <f t="shared" si="10"/>
        <v>-2.161214953271029E-2</v>
      </c>
      <c r="S174" s="12">
        <f t="shared" si="11"/>
        <v>9.8046174817030263E-3</v>
      </c>
    </row>
    <row r="175" spans="3:19">
      <c r="C175" s="9">
        <v>42807</v>
      </c>
      <c r="D175" s="10">
        <v>48655.72</v>
      </c>
      <c r="E175" s="11" t="s">
        <v>79</v>
      </c>
      <c r="F175" s="12">
        <f t="shared" si="8"/>
        <v>-1.0896745897431948E-2</v>
      </c>
      <c r="I175" s="9">
        <v>43635</v>
      </c>
      <c r="J175" s="10">
        <v>6849</v>
      </c>
      <c r="K175" s="11" t="s">
        <v>84</v>
      </c>
      <c r="L175" s="12">
        <f t="shared" si="9"/>
        <v>2.2238805970149267E-2</v>
      </c>
      <c r="O175" s="9">
        <v>43635</v>
      </c>
      <c r="P175" s="10">
        <v>6849</v>
      </c>
      <c r="Q175" s="11" t="s">
        <v>84</v>
      </c>
      <c r="R175" s="12">
        <f t="shared" si="10"/>
        <v>2.2238805970149267E-2</v>
      </c>
      <c r="S175" s="12">
        <f t="shared" si="11"/>
        <v>-7.3814101492075679E-4</v>
      </c>
    </row>
    <row r="176" spans="3:19">
      <c r="C176" s="9">
        <v>42808</v>
      </c>
      <c r="D176" s="10">
        <v>48539.06</v>
      </c>
      <c r="E176" s="11" t="s">
        <v>79</v>
      </c>
      <c r="F176" s="12">
        <f t="shared" si="8"/>
        <v>-2.3976625975322685E-3</v>
      </c>
      <c r="I176" s="9">
        <v>43634</v>
      </c>
      <c r="J176" s="10">
        <v>6640.5</v>
      </c>
      <c r="K176" s="11" t="s">
        <v>84</v>
      </c>
      <c r="L176" s="12">
        <f t="shared" si="9"/>
        <v>-3.0442400350416121E-2</v>
      </c>
      <c r="O176" s="9">
        <v>43634</v>
      </c>
      <c r="P176" s="10">
        <v>6640.5</v>
      </c>
      <c r="Q176" s="11" t="s">
        <v>84</v>
      </c>
      <c r="R176" s="12">
        <f t="shared" si="10"/>
        <v>-3.0442400350416121E-2</v>
      </c>
      <c r="S176" s="12">
        <f t="shared" si="11"/>
        <v>-1.3850336747152747E-2</v>
      </c>
    </row>
    <row r="177" spans="3:19">
      <c r="C177" s="9">
        <v>42809</v>
      </c>
      <c r="D177" s="10">
        <v>48305.83</v>
      </c>
      <c r="E177" s="11" t="s">
        <v>79</v>
      </c>
      <c r="F177" s="12">
        <f t="shared" si="8"/>
        <v>-4.8049962236598187E-3</v>
      </c>
      <c r="I177" s="9">
        <v>43633</v>
      </c>
      <c r="J177" s="10">
        <v>7070</v>
      </c>
      <c r="K177" s="11" t="s">
        <v>84</v>
      </c>
      <c r="L177" s="12">
        <f t="shared" si="9"/>
        <v>6.4678864543332493E-2</v>
      </c>
      <c r="O177" s="9">
        <v>43633</v>
      </c>
      <c r="P177" s="10">
        <v>7070</v>
      </c>
      <c r="Q177" s="11" t="s">
        <v>84</v>
      </c>
      <c r="R177" s="12">
        <f t="shared" si="10"/>
        <v>6.4678864543332493E-2</v>
      </c>
      <c r="S177" s="12">
        <f t="shared" si="11"/>
        <v>-1.1360598432235691E-2</v>
      </c>
    </row>
    <row r="178" spans="3:19">
      <c r="C178" s="9">
        <v>42810</v>
      </c>
      <c r="D178" s="10">
        <v>48289.66</v>
      </c>
      <c r="E178" s="11" t="s">
        <v>79</v>
      </c>
      <c r="F178" s="12">
        <f t="shared" si="8"/>
        <v>-3.3474220399476451E-4</v>
      </c>
      <c r="I178" s="9">
        <v>43630</v>
      </c>
      <c r="J178" s="10">
        <v>7087</v>
      </c>
      <c r="K178" s="11" t="s">
        <v>84</v>
      </c>
      <c r="L178" s="12">
        <f t="shared" si="9"/>
        <v>2.4045261669023432E-3</v>
      </c>
      <c r="O178" s="9">
        <v>43630</v>
      </c>
      <c r="P178" s="10">
        <v>7087</v>
      </c>
      <c r="Q178" s="11" t="s">
        <v>84</v>
      </c>
      <c r="R178" s="12">
        <f t="shared" si="10"/>
        <v>2.4045261669023432E-3</v>
      </c>
      <c r="S178" s="12">
        <f t="shared" si="11"/>
        <v>4.7984539193917097E-3</v>
      </c>
    </row>
    <row r="179" spans="3:19">
      <c r="C179" s="9">
        <v>42811</v>
      </c>
      <c r="D179" s="10">
        <v>48409.35</v>
      </c>
      <c r="E179" s="11" t="s">
        <v>79</v>
      </c>
      <c r="F179" s="12">
        <f t="shared" si="8"/>
        <v>2.4785844423007575E-3</v>
      </c>
      <c r="I179" s="9">
        <v>43626</v>
      </c>
      <c r="J179" s="10">
        <v>6999</v>
      </c>
      <c r="K179" s="11" t="s">
        <v>84</v>
      </c>
      <c r="L179" s="12">
        <f t="shared" si="9"/>
        <v>-1.24171017355722E-2</v>
      </c>
      <c r="O179" s="9">
        <v>43626</v>
      </c>
      <c r="P179" s="10">
        <v>6999</v>
      </c>
      <c r="Q179" s="11" t="s">
        <v>84</v>
      </c>
      <c r="R179" s="12">
        <f t="shared" si="10"/>
        <v>-1.24171017355722E-2</v>
      </c>
      <c r="S179" s="12">
        <f t="shared" si="11"/>
        <v>-2.6411275615549012E-2</v>
      </c>
    </row>
    <row r="180" spans="3:19">
      <c r="C180" s="9">
        <v>42814</v>
      </c>
      <c r="D180" s="10">
        <v>48697.65</v>
      </c>
      <c r="E180" s="11" t="s">
        <v>79</v>
      </c>
      <c r="F180" s="12">
        <f t="shared" si="8"/>
        <v>5.9554610834477995E-3</v>
      </c>
      <c r="I180" s="9">
        <v>43615</v>
      </c>
      <c r="J180" s="10">
        <v>7199</v>
      </c>
      <c r="K180" s="11" t="s">
        <v>84</v>
      </c>
      <c r="L180" s="12">
        <f t="shared" si="9"/>
        <v>2.8575510787255398E-2</v>
      </c>
      <c r="O180" s="9">
        <v>43615</v>
      </c>
      <c r="P180" s="10">
        <v>7199</v>
      </c>
      <c r="Q180" s="11" t="s">
        <v>84</v>
      </c>
      <c r="R180" s="12">
        <f t="shared" si="10"/>
        <v>2.8575510787255398E-2</v>
      </c>
      <c r="S180" s="12">
        <f t="shared" si="11"/>
        <v>4.2714803877585972E-4</v>
      </c>
    </row>
    <row r="181" spans="3:19">
      <c r="C181" s="9">
        <v>42815</v>
      </c>
      <c r="D181" s="10">
        <v>49020.21</v>
      </c>
      <c r="E181" s="11" t="s">
        <v>79</v>
      </c>
      <c r="F181" s="12">
        <f t="shared" si="8"/>
        <v>6.6237282497203509E-3</v>
      </c>
      <c r="I181" s="9">
        <v>43614</v>
      </c>
      <c r="J181" s="10">
        <v>7000.1</v>
      </c>
      <c r="K181" s="11" t="s">
        <v>84</v>
      </c>
      <c r="L181" s="12">
        <f t="shared" si="9"/>
        <v>-2.7628837338519174E-2</v>
      </c>
      <c r="O181" s="9">
        <v>43614</v>
      </c>
      <c r="P181" s="10">
        <v>7000.1</v>
      </c>
      <c r="Q181" s="11" t="s">
        <v>84</v>
      </c>
      <c r="R181" s="12">
        <f t="shared" si="10"/>
        <v>-2.7628837338519174E-2</v>
      </c>
      <c r="S181" s="12">
        <f t="shared" si="11"/>
        <v>2.8903313601882585E-2</v>
      </c>
    </row>
    <row r="182" spans="3:19">
      <c r="C182" s="9">
        <v>42816</v>
      </c>
      <c r="D182" s="10">
        <v>49016.79</v>
      </c>
      <c r="E182" s="11" t="s">
        <v>79</v>
      </c>
      <c r="F182" s="12">
        <f t="shared" si="8"/>
        <v>-6.976714298034814E-5</v>
      </c>
      <c r="I182" s="9">
        <v>43613</v>
      </c>
      <c r="J182" s="10">
        <v>7400</v>
      </c>
      <c r="K182" s="11" t="s">
        <v>84</v>
      </c>
      <c r="L182" s="12">
        <f t="shared" si="9"/>
        <v>5.7127755317781137E-2</v>
      </c>
      <c r="O182" s="9">
        <v>43613</v>
      </c>
      <c r="P182" s="10">
        <v>7400</v>
      </c>
      <c r="Q182" s="11" t="s">
        <v>84</v>
      </c>
      <c r="R182" s="12">
        <f t="shared" si="10"/>
        <v>5.7127755317781137E-2</v>
      </c>
      <c r="S182" s="12">
        <f t="shared" si="11"/>
        <v>-2.0956445810993984E-2</v>
      </c>
    </row>
    <row r="183" spans="3:19">
      <c r="C183" s="9">
        <v>42818</v>
      </c>
      <c r="D183" s="10">
        <v>48971.05</v>
      </c>
      <c r="E183" s="11" t="s">
        <v>79</v>
      </c>
      <c r="F183" s="12">
        <f t="shared" si="8"/>
        <v>-9.3314964117396926E-4</v>
      </c>
      <c r="I183" s="9">
        <v>43609</v>
      </c>
      <c r="J183" s="10">
        <v>7089</v>
      </c>
      <c r="K183" s="11" t="s">
        <v>84</v>
      </c>
      <c r="L183" s="12">
        <f t="shared" si="9"/>
        <v>-4.2027027027026986E-2</v>
      </c>
      <c r="O183" s="9">
        <v>43609</v>
      </c>
      <c r="P183" s="10">
        <v>7089</v>
      </c>
      <c r="Q183" s="11" t="s">
        <v>84</v>
      </c>
      <c r="R183" s="12">
        <f t="shared" si="10"/>
        <v>-4.2027027027026986E-2</v>
      </c>
      <c r="S183" s="12">
        <f t="shared" si="11"/>
        <v>3.4419726744412404E-3</v>
      </c>
    </row>
    <row r="184" spans="3:19">
      <c r="C184" s="9">
        <v>42821</v>
      </c>
      <c r="D184" s="10">
        <v>48680.160000000003</v>
      </c>
      <c r="E184" s="11" t="s">
        <v>79</v>
      </c>
      <c r="F184" s="12">
        <f t="shared" si="8"/>
        <v>-5.9400400849073387E-3</v>
      </c>
      <c r="I184" s="9">
        <v>43608</v>
      </c>
      <c r="J184" s="10">
        <v>6800</v>
      </c>
      <c r="K184" s="11" t="s">
        <v>84</v>
      </c>
      <c r="L184" s="12">
        <f t="shared" si="9"/>
        <v>-4.0767386091127067E-2</v>
      </c>
      <c r="O184" s="9">
        <v>43608</v>
      </c>
      <c r="P184" s="10">
        <v>6800</v>
      </c>
      <c r="Q184" s="11" t="s">
        <v>84</v>
      </c>
      <c r="R184" s="12">
        <f t="shared" si="10"/>
        <v>-4.0767386091127067E-2</v>
      </c>
      <c r="S184" s="12">
        <f t="shared" si="11"/>
        <v>2.7259756434855786E-2</v>
      </c>
    </row>
    <row r="185" spans="3:19">
      <c r="C185" s="9">
        <v>42822</v>
      </c>
      <c r="D185" s="10">
        <v>48523.41</v>
      </c>
      <c r="E185" s="11" t="s">
        <v>79</v>
      </c>
      <c r="F185" s="12">
        <f t="shared" si="8"/>
        <v>-3.2199976335328673E-3</v>
      </c>
      <c r="I185" s="9">
        <v>43606</v>
      </c>
      <c r="J185" s="10">
        <v>7079</v>
      </c>
      <c r="K185" s="11" t="s">
        <v>84</v>
      </c>
      <c r="L185" s="12">
        <f t="shared" si="9"/>
        <v>4.102941176470587E-2</v>
      </c>
      <c r="O185" s="9">
        <v>43606</v>
      </c>
      <c r="P185" s="10">
        <v>7079</v>
      </c>
      <c r="Q185" s="11" t="s">
        <v>84</v>
      </c>
      <c r="R185" s="12">
        <f t="shared" si="10"/>
        <v>4.102941176470587E-2</v>
      </c>
      <c r="S185" s="12">
        <f t="shared" si="11"/>
        <v>5.7611094436360588E-3</v>
      </c>
    </row>
    <row r="186" spans="3:19">
      <c r="C186" s="9">
        <v>42823</v>
      </c>
      <c r="D186" s="10">
        <v>48375.63</v>
      </c>
      <c r="E186" s="11" t="s">
        <v>79</v>
      </c>
      <c r="F186" s="12">
        <f t="shared" si="8"/>
        <v>-3.0455402866370607E-3</v>
      </c>
      <c r="I186" s="9">
        <v>43605</v>
      </c>
      <c r="J186" s="10">
        <v>7198</v>
      </c>
      <c r="K186" s="11" t="s">
        <v>84</v>
      </c>
      <c r="L186" s="12">
        <f t="shared" si="9"/>
        <v>1.6810283938409443E-2</v>
      </c>
      <c r="O186" s="9">
        <v>43605</v>
      </c>
      <c r="P186" s="10">
        <v>7198</v>
      </c>
      <c r="Q186" s="11" t="s">
        <v>84</v>
      </c>
      <c r="R186" s="12">
        <f t="shared" si="10"/>
        <v>1.6810283938409443E-2</v>
      </c>
      <c r="S186" s="12">
        <f t="shared" si="11"/>
        <v>2.5302548164389815E-3</v>
      </c>
    </row>
    <row r="187" spans="3:19">
      <c r="C187" s="9">
        <v>42824</v>
      </c>
      <c r="D187" s="10">
        <v>47949.33</v>
      </c>
      <c r="E187" s="11" t="s">
        <v>79</v>
      </c>
      <c r="F187" s="12">
        <f t="shared" si="8"/>
        <v>-8.8122883360898241E-3</v>
      </c>
      <c r="I187" s="9">
        <v>43602</v>
      </c>
      <c r="J187" s="10">
        <v>7189</v>
      </c>
      <c r="K187" s="11" t="s">
        <v>84</v>
      </c>
      <c r="L187" s="12">
        <f t="shared" si="9"/>
        <v>-1.2503473186996628E-3</v>
      </c>
      <c r="O187" s="9">
        <v>43602</v>
      </c>
      <c r="P187" s="10">
        <v>7189</v>
      </c>
      <c r="Q187" s="11" t="s">
        <v>84</v>
      </c>
      <c r="R187" s="12">
        <f t="shared" si="10"/>
        <v>-1.2503473186996628E-3</v>
      </c>
      <c r="S187" s="12">
        <f t="shared" si="11"/>
        <v>-2.3681880373682129E-2</v>
      </c>
    </row>
    <row r="188" spans="3:19">
      <c r="C188" s="9">
        <v>42825</v>
      </c>
      <c r="D188" s="10">
        <v>48155.93</v>
      </c>
      <c r="E188" s="11" t="s">
        <v>79</v>
      </c>
      <c r="F188" s="12">
        <f t="shared" si="8"/>
        <v>4.3087150539955488E-3</v>
      </c>
      <c r="I188" s="9">
        <v>43601</v>
      </c>
      <c r="J188" s="10">
        <v>7249</v>
      </c>
      <c r="K188" s="11" t="s">
        <v>84</v>
      </c>
      <c r="L188" s="12">
        <f t="shared" si="9"/>
        <v>8.3460842954514725E-3</v>
      </c>
      <c r="O188" s="9">
        <v>43601</v>
      </c>
      <c r="P188" s="10">
        <v>7249</v>
      </c>
      <c r="Q188" s="11" t="s">
        <v>84</v>
      </c>
      <c r="R188" s="12">
        <f t="shared" si="10"/>
        <v>8.3460842954514725E-3</v>
      </c>
      <c r="S188" s="12">
        <f t="shared" si="11"/>
        <v>-9.3471734372653215E-3</v>
      </c>
    </row>
    <row r="189" spans="3:19">
      <c r="C189" s="9">
        <v>42828</v>
      </c>
      <c r="D189" s="10">
        <v>48227.75</v>
      </c>
      <c r="E189" s="11" t="s">
        <v>79</v>
      </c>
      <c r="F189" s="12">
        <f t="shared" si="8"/>
        <v>1.4914051083636526E-3</v>
      </c>
      <c r="I189" s="9">
        <v>43600</v>
      </c>
      <c r="J189" s="10">
        <v>7191.5</v>
      </c>
      <c r="K189" s="11" t="s">
        <v>84</v>
      </c>
      <c r="L189" s="12">
        <f t="shared" si="9"/>
        <v>-7.932128569457908E-3</v>
      </c>
      <c r="O189" s="9">
        <v>43600</v>
      </c>
      <c r="P189" s="10">
        <v>7191.5</v>
      </c>
      <c r="Q189" s="11" t="s">
        <v>84</v>
      </c>
      <c r="R189" s="12">
        <f t="shared" si="10"/>
        <v>-7.932128569457908E-3</v>
      </c>
      <c r="S189" s="12">
        <f t="shared" si="11"/>
        <v>1.1998197437280034E-2</v>
      </c>
    </row>
    <row r="190" spans="3:19">
      <c r="C190" s="9">
        <v>42829</v>
      </c>
      <c r="D190" s="10">
        <v>48088.37</v>
      </c>
      <c r="E190" s="11" t="s">
        <v>79</v>
      </c>
      <c r="F190" s="12">
        <f t="shared" si="8"/>
        <v>-2.8900373747479113E-3</v>
      </c>
      <c r="I190" s="9">
        <v>43595</v>
      </c>
      <c r="J190" s="10">
        <v>7570</v>
      </c>
      <c r="K190" s="11" t="s">
        <v>84</v>
      </c>
      <c r="L190" s="12">
        <f t="shared" si="9"/>
        <v>5.2631578947368363E-2</v>
      </c>
      <c r="O190" s="9">
        <v>43595</v>
      </c>
      <c r="P190" s="10">
        <v>7570</v>
      </c>
      <c r="Q190" s="11" t="s">
        <v>84</v>
      </c>
      <c r="R190" s="12">
        <f t="shared" si="10"/>
        <v>5.2631578947368363E-2</v>
      </c>
      <c r="S190" s="12">
        <f t="shared" si="11"/>
        <v>-4.9046023176116949E-3</v>
      </c>
    </row>
    <row r="191" spans="3:19">
      <c r="C191" s="9">
        <v>42830</v>
      </c>
      <c r="D191" s="10">
        <v>47577.31</v>
      </c>
      <c r="E191" s="11" t="s">
        <v>79</v>
      </c>
      <c r="F191" s="12">
        <f t="shared" si="8"/>
        <v>-1.0627517630562355E-2</v>
      </c>
      <c r="I191" s="9">
        <v>43594</v>
      </c>
      <c r="J191" s="10">
        <v>7235</v>
      </c>
      <c r="K191" s="11" t="s">
        <v>84</v>
      </c>
      <c r="L191" s="12">
        <f t="shared" si="9"/>
        <v>-4.4253632760898332E-2</v>
      </c>
      <c r="O191" s="9">
        <v>43594</v>
      </c>
      <c r="P191" s="10">
        <v>7235</v>
      </c>
      <c r="Q191" s="11" t="s">
        <v>84</v>
      </c>
      <c r="R191" s="12">
        <f t="shared" si="10"/>
        <v>-4.4253632760898332E-2</v>
      </c>
      <c r="S191" s="12">
        <f t="shared" si="11"/>
        <v>-4.2069323188819174E-3</v>
      </c>
    </row>
    <row r="192" spans="3:19">
      <c r="C192" s="9">
        <v>42831</v>
      </c>
      <c r="D192" s="10">
        <v>47356.6</v>
      </c>
      <c r="E192" s="11" t="s">
        <v>79</v>
      </c>
      <c r="F192" s="12">
        <f t="shared" si="8"/>
        <v>-4.6389760160883142E-3</v>
      </c>
      <c r="I192" s="9">
        <v>43593</v>
      </c>
      <c r="J192" s="10">
        <v>7091.8</v>
      </c>
      <c r="K192" s="11" t="s">
        <v>84</v>
      </c>
      <c r="L192" s="12">
        <f t="shared" si="9"/>
        <v>-1.9792674498963381E-2</v>
      </c>
      <c r="O192" s="9">
        <v>43593</v>
      </c>
      <c r="P192" s="10">
        <v>7091.8</v>
      </c>
      <c r="Q192" s="11" t="s">
        <v>84</v>
      </c>
      <c r="R192" s="12">
        <f t="shared" si="10"/>
        <v>-1.9792674498963381E-2</v>
      </c>
      <c r="S192" s="12">
        <f t="shared" si="11"/>
        <v>-1.6727821176243385E-2</v>
      </c>
    </row>
    <row r="193" spans="3:19">
      <c r="C193" s="9">
        <v>42832</v>
      </c>
      <c r="D193" s="10">
        <v>47889.37</v>
      </c>
      <c r="E193" s="11" t="s">
        <v>79</v>
      </c>
      <c r="F193" s="12">
        <f t="shared" si="8"/>
        <v>1.125017421014185E-2</v>
      </c>
      <c r="I193" s="9">
        <v>43592</v>
      </c>
      <c r="J193" s="10">
        <v>7465</v>
      </c>
      <c r="K193" s="11" t="s">
        <v>84</v>
      </c>
      <c r="L193" s="12">
        <f t="shared" si="9"/>
        <v>5.2624157477650257E-2</v>
      </c>
      <c r="O193" s="9">
        <v>43592</v>
      </c>
      <c r="P193" s="10">
        <v>7465</v>
      </c>
      <c r="Q193" s="11" t="s">
        <v>84</v>
      </c>
      <c r="R193" s="12">
        <f t="shared" si="10"/>
        <v>5.2624157477650257E-2</v>
      </c>
      <c r="S193" s="12">
        <f t="shared" si="11"/>
        <v>7.2011508360247944E-4</v>
      </c>
    </row>
    <row r="194" spans="3:19">
      <c r="C194" s="9">
        <v>42835</v>
      </c>
      <c r="D194" s="10">
        <v>47942.95</v>
      </c>
      <c r="E194" s="11" t="s">
        <v>79</v>
      </c>
      <c r="F194" s="12">
        <f t="shared" si="8"/>
        <v>1.118828666988092E-3</v>
      </c>
      <c r="I194" s="9">
        <v>43588</v>
      </c>
      <c r="J194" s="10">
        <v>7240</v>
      </c>
      <c r="K194" s="11" t="s">
        <v>84</v>
      </c>
      <c r="L194" s="12">
        <f t="shared" si="9"/>
        <v>-3.0140656396517085E-2</v>
      </c>
      <c r="O194" s="9">
        <v>43588</v>
      </c>
      <c r="P194" s="10">
        <v>7240</v>
      </c>
      <c r="Q194" s="11" t="s">
        <v>84</v>
      </c>
      <c r="R194" s="12">
        <f t="shared" si="10"/>
        <v>-3.0140656396517085E-2</v>
      </c>
      <c r="S194" s="12">
        <f t="shared" si="11"/>
        <v>-1.1619905312601708E-2</v>
      </c>
    </row>
    <row r="195" spans="3:19">
      <c r="C195" s="9">
        <v>42836</v>
      </c>
      <c r="D195" s="10">
        <v>48250.07</v>
      </c>
      <c r="E195" s="11" t="s">
        <v>79</v>
      </c>
      <c r="F195" s="12">
        <f t="shared" si="8"/>
        <v>6.4059470683386355E-3</v>
      </c>
      <c r="I195" s="9">
        <v>43587</v>
      </c>
      <c r="J195" s="10">
        <v>7362.5</v>
      </c>
      <c r="K195" s="11" t="s">
        <v>84</v>
      </c>
      <c r="L195" s="12">
        <f t="shared" si="9"/>
        <v>1.6919889502762464E-2</v>
      </c>
      <c r="O195" s="9">
        <v>43587</v>
      </c>
      <c r="P195" s="10">
        <v>7362.5</v>
      </c>
      <c r="Q195" s="11" t="s">
        <v>84</v>
      </c>
      <c r="R195" s="12">
        <f t="shared" si="10"/>
        <v>1.6919889502762464E-2</v>
      </c>
      <c r="S195" s="12">
        <f t="shared" si="11"/>
        <v>-6.4377764076333222E-3</v>
      </c>
    </row>
    <row r="196" spans="3:19">
      <c r="C196" s="9">
        <v>42837</v>
      </c>
      <c r="D196" s="10">
        <v>48457.26</v>
      </c>
      <c r="E196" s="11" t="s">
        <v>79</v>
      </c>
      <c r="F196" s="12">
        <f t="shared" si="8"/>
        <v>4.2940870344851945E-3</v>
      </c>
      <c r="I196" s="9">
        <v>43585</v>
      </c>
      <c r="J196" s="10">
        <v>7750</v>
      </c>
      <c r="K196" s="11" t="s">
        <v>84</v>
      </c>
      <c r="L196" s="12">
        <f t="shared" si="9"/>
        <v>5.2631578947368363E-2</v>
      </c>
      <c r="O196" s="9">
        <v>43585</v>
      </c>
      <c r="P196" s="10">
        <v>7750</v>
      </c>
      <c r="Q196" s="11" t="s">
        <v>84</v>
      </c>
      <c r="R196" s="12">
        <f t="shared" si="10"/>
        <v>5.2631578947368363E-2</v>
      </c>
      <c r="S196" s="12">
        <f t="shared" si="11"/>
        <v>-6.5313087167568895E-3</v>
      </c>
    </row>
    <row r="197" spans="3:19">
      <c r="C197" s="9">
        <v>42838</v>
      </c>
      <c r="D197" s="10">
        <v>47950.58</v>
      </c>
      <c r="E197" s="11" t="s">
        <v>79</v>
      </c>
      <c r="F197" s="12">
        <f t="shared" si="8"/>
        <v>-1.0456224722569907E-2</v>
      </c>
      <c r="I197" s="9">
        <v>43584</v>
      </c>
      <c r="J197" s="10">
        <v>7630</v>
      </c>
      <c r="K197" s="11" t="s">
        <v>84</v>
      </c>
      <c r="L197" s="12">
        <f t="shared" si="9"/>
        <v>-1.5483870967741953E-2</v>
      </c>
      <c r="O197" s="9">
        <v>43584</v>
      </c>
      <c r="P197" s="10">
        <v>7630</v>
      </c>
      <c r="Q197" s="11" t="s">
        <v>84</v>
      </c>
      <c r="R197" s="12">
        <f t="shared" si="10"/>
        <v>-1.5483870967741953E-2</v>
      </c>
      <c r="S197" s="12">
        <f t="shared" si="11"/>
        <v>-2.8106175413668E-3</v>
      </c>
    </row>
    <row r="198" spans="3:19">
      <c r="C198" s="9">
        <v>42839</v>
      </c>
      <c r="D198" s="10">
        <v>47577.06</v>
      </c>
      <c r="E198" s="11" t="s">
        <v>79</v>
      </c>
      <c r="F198" s="12">
        <f t="shared" si="8"/>
        <v>-7.7896867983662244E-3</v>
      </c>
      <c r="I198" s="9">
        <v>43581</v>
      </c>
      <c r="J198" s="10">
        <v>7740</v>
      </c>
      <c r="K198" s="11" t="s">
        <v>84</v>
      </c>
      <c r="L198" s="12">
        <f t="shared" si="9"/>
        <v>1.4416775884665833E-2</v>
      </c>
      <c r="O198" s="9">
        <v>43581</v>
      </c>
      <c r="P198" s="10">
        <v>7740</v>
      </c>
      <c r="Q198" s="11" t="s">
        <v>84</v>
      </c>
      <c r="R198" s="12">
        <f t="shared" si="10"/>
        <v>1.4416775884665833E-2</v>
      </c>
      <c r="S198" s="12">
        <f t="shared" si="11"/>
        <v>9.093372301305358E-3</v>
      </c>
    </row>
    <row r="199" spans="3:19">
      <c r="C199" s="9">
        <v>42842</v>
      </c>
      <c r="D199" s="10">
        <v>47125.120000000003</v>
      </c>
      <c r="E199" s="11" t="s">
        <v>79</v>
      </c>
      <c r="F199" s="12">
        <f t="shared" ref="F199:F262" si="12">D199/D198-1</f>
        <v>-9.4991157503215851E-3</v>
      </c>
      <c r="I199" s="9">
        <v>43580</v>
      </c>
      <c r="J199" s="10">
        <v>7700</v>
      </c>
      <c r="K199" s="11" t="s">
        <v>84</v>
      </c>
      <c r="L199" s="12">
        <f t="shared" ref="L199:L262" si="13">J199/J198-1</f>
        <v>-5.1679586563307955E-3</v>
      </c>
      <c r="O199" s="9">
        <v>43580</v>
      </c>
      <c r="P199" s="10">
        <v>7700</v>
      </c>
      <c r="Q199" s="11" t="s">
        <v>84</v>
      </c>
      <c r="R199" s="12">
        <f t="shared" ref="R199:R262" si="14">P199/P198-1</f>
        <v>-5.1679586563307955E-3</v>
      </c>
      <c r="S199" s="12">
        <f t="shared" ref="S199:S262" si="15">VLOOKUP(O199,$C$5:$F$989,4,)</f>
        <v>7.9930419060794122E-3</v>
      </c>
    </row>
    <row r="200" spans="3:19">
      <c r="C200" s="9">
        <v>42843</v>
      </c>
      <c r="D200" s="10">
        <v>46874.37</v>
      </c>
      <c r="E200" s="11" t="s">
        <v>79</v>
      </c>
      <c r="F200" s="12">
        <f t="shared" si="12"/>
        <v>-5.3209413578151343E-3</v>
      </c>
      <c r="I200" s="9">
        <v>43579</v>
      </c>
      <c r="J200" s="10">
        <v>7999</v>
      </c>
      <c r="K200" s="11" t="s">
        <v>84</v>
      </c>
      <c r="L200" s="12">
        <f t="shared" si="13"/>
        <v>3.8831168831168883E-2</v>
      </c>
      <c r="O200" s="9">
        <v>43579</v>
      </c>
      <c r="P200" s="10">
        <v>7999</v>
      </c>
      <c r="Q200" s="11" t="s">
        <v>84</v>
      </c>
      <c r="R200" s="12">
        <f t="shared" si="14"/>
        <v>3.8831168831168883E-2</v>
      </c>
      <c r="S200" s="12">
        <f t="shared" si="15"/>
        <v>2.752991907764013E-3</v>
      </c>
    </row>
    <row r="201" spans="3:19">
      <c r="C201" s="9">
        <v>42844</v>
      </c>
      <c r="D201" s="10">
        <v>47603.48</v>
      </c>
      <c r="E201" s="11" t="s">
        <v>79</v>
      </c>
      <c r="F201" s="12">
        <f t="shared" si="12"/>
        <v>1.5554555719895502E-2</v>
      </c>
      <c r="I201" s="9">
        <v>43578</v>
      </c>
      <c r="J201" s="10">
        <v>7790</v>
      </c>
      <c r="K201" s="11" t="s">
        <v>84</v>
      </c>
      <c r="L201" s="12">
        <f t="shared" si="13"/>
        <v>-2.6128266033254133E-2</v>
      </c>
      <c r="O201" s="9">
        <v>43578</v>
      </c>
      <c r="P201" s="10">
        <v>7790</v>
      </c>
      <c r="Q201" s="11" t="s">
        <v>84</v>
      </c>
      <c r="R201" s="12">
        <f t="shared" si="14"/>
        <v>-2.6128266033254133E-2</v>
      </c>
      <c r="S201" s="12">
        <f t="shared" si="15"/>
        <v>-1.3486103210991196E-2</v>
      </c>
    </row>
    <row r="202" spans="3:19">
      <c r="C202" s="9">
        <v>42845</v>
      </c>
      <c r="D202" s="10">
        <v>48743.56</v>
      </c>
      <c r="E202" s="11" t="s">
        <v>79</v>
      </c>
      <c r="F202" s="12">
        <f t="shared" si="12"/>
        <v>2.3949509573669703E-2</v>
      </c>
      <c r="I202" s="9">
        <v>43577</v>
      </c>
      <c r="J202" s="10">
        <v>7789</v>
      </c>
      <c r="K202" s="11" t="s">
        <v>84</v>
      </c>
      <c r="L202" s="12">
        <f t="shared" si="13"/>
        <v>-1.2836970474972009E-4</v>
      </c>
      <c r="O202" s="9">
        <v>43577</v>
      </c>
      <c r="P202" s="10">
        <v>7789</v>
      </c>
      <c r="Q202" s="11" t="s">
        <v>84</v>
      </c>
      <c r="R202" s="12">
        <f t="shared" si="14"/>
        <v>-1.2836970474972009E-4</v>
      </c>
      <c r="S202" s="12">
        <f t="shared" si="15"/>
        <v>-1.0478791026713896E-2</v>
      </c>
    </row>
    <row r="203" spans="3:19">
      <c r="C203" s="9">
        <v>42846</v>
      </c>
      <c r="D203" s="10">
        <v>49708.65</v>
      </c>
      <c r="E203" s="11" t="s">
        <v>79</v>
      </c>
      <c r="F203" s="12">
        <f t="shared" si="12"/>
        <v>1.9799333491439697E-2</v>
      </c>
      <c r="I203" s="9">
        <v>43574</v>
      </c>
      <c r="J203" s="10">
        <v>7900</v>
      </c>
      <c r="K203" s="11" t="s">
        <v>84</v>
      </c>
      <c r="L203" s="12">
        <f t="shared" si="13"/>
        <v>1.4250866606753121E-2</v>
      </c>
      <c r="O203" s="9">
        <v>43574</v>
      </c>
      <c r="P203" s="10">
        <v>7900</v>
      </c>
      <c r="Q203" s="11" t="s">
        <v>84</v>
      </c>
      <c r="R203" s="12">
        <f t="shared" si="14"/>
        <v>1.4250866606753121E-2</v>
      </c>
      <c r="S203" s="12">
        <f t="shared" si="15"/>
        <v>1.305584667550086E-2</v>
      </c>
    </row>
    <row r="204" spans="3:19">
      <c r="C204" s="9">
        <v>42849</v>
      </c>
      <c r="D204" s="10">
        <v>50111.67</v>
      </c>
      <c r="E204" s="11" t="s">
        <v>79</v>
      </c>
      <c r="F204" s="12">
        <f t="shared" si="12"/>
        <v>8.1076432371427476E-3</v>
      </c>
      <c r="I204" s="9">
        <v>43573</v>
      </c>
      <c r="J204" s="10">
        <v>7915</v>
      </c>
      <c r="K204" s="11" t="s">
        <v>84</v>
      </c>
      <c r="L204" s="12">
        <f t="shared" si="13"/>
        <v>1.8987341772152E-3</v>
      </c>
      <c r="O204" s="9">
        <v>43573</v>
      </c>
      <c r="P204" s="10">
        <v>7915</v>
      </c>
      <c r="Q204" s="11" t="s">
        <v>84</v>
      </c>
      <c r="R204" s="12">
        <f t="shared" si="14"/>
        <v>1.8987341772152E-3</v>
      </c>
      <c r="S204" s="12">
        <f t="shared" si="15"/>
        <v>1.6132205176400127E-3</v>
      </c>
    </row>
    <row r="205" spans="3:19">
      <c r="C205" s="9">
        <v>42850</v>
      </c>
      <c r="D205" s="10">
        <v>49785.17</v>
      </c>
      <c r="E205" s="11" t="s">
        <v>79</v>
      </c>
      <c r="F205" s="12">
        <f t="shared" si="12"/>
        <v>-6.5154483975489175E-3</v>
      </c>
      <c r="I205" s="9">
        <v>43572</v>
      </c>
      <c r="J205" s="10">
        <v>7700</v>
      </c>
      <c r="K205" s="11" t="s">
        <v>84</v>
      </c>
      <c r="L205" s="12">
        <f t="shared" si="13"/>
        <v>-2.7163613392293118E-2</v>
      </c>
      <c r="O205" s="9">
        <v>43572</v>
      </c>
      <c r="P205" s="10">
        <v>7700</v>
      </c>
      <c r="Q205" s="11" t="s">
        <v>84</v>
      </c>
      <c r="R205" s="12">
        <f t="shared" si="14"/>
        <v>-2.7163613392293118E-2</v>
      </c>
      <c r="S205" s="12">
        <f t="shared" si="15"/>
        <v>-1.6836467867513583E-2</v>
      </c>
    </row>
    <row r="206" spans="3:19">
      <c r="C206" s="9">
        <v>42851</v>
      </c>
      <c r="D206" s="10">
        <v>49827.51</v>
      </c>
      <c r="E206" s="11" t="s">
        <v>79</v>
      </c>
      <c r="F206" s="12">
        <f t="shared" si="12"/>
        <v>8.504540609182154E-4</v>
      </c>
      <c r="I206" s="9">
        <v>43571</v>
      </c>
      <c r="J206" s="10">
        <v>7899</v>
      </c>
      <c r="K206" s="11" t="s">
        <v>84</v>
      </c>
      <c r="L206" s="12">
        <f t="shared" si="13"/>
        <v>2.5844155844155781E-2</v>
      </c>
      <c r="O206" s="9">
        <v>43571</v>
      </c>
      <c r="P206" s="10">
        <v>7899</v>
      </c>
      <c r="Q206" s="11" t="s">
        <v>84</v>
      </c>
      <c r="R206" s="12">
        <f t="shared" si="14"/>
        <v>2.5844155844155781E-2</v>
      </c>
      <c r="S206" s="12">
        <f t="shared" si="15"/>
        <v>-3.2564456987080881E-3</v>
      </c>
    </row>
    <row r="207" spans="3:19">
      <c r="C207" s="9">
        <v>42852</v>
      </c>
      <c r="D207" s="10">
        <v>49481.7</v>
      </c>
      <c r="E207" s="11" t="s">
        <v>79</v>
      </c>
      <c r="F207" s="12">
        <f t="shared" si="12"/>
        <v>-6.9401421022243781E-3</v>
      </c>
      <c r="I207" s="9">
        <v>43570</v>
      </c>
      <c r="J207" s="10">
        <v>8000</v>
      </c>
      <c r="K207" s="11" t="s">
        <v>84</v>
      </c>
      <c r="L207" s="12">
        <f t="shared" si="13"/>
        <v>1.2786428661855975E-2</v>
      </c>
      <c r="O207" s="9">
        <v>43570</v>
      </c>
      <c r="P207" s="10">
        <v>8000</v>
      </c>
      <c r="Q207" s="11" t="s">
        <v>84</v>
      </c>
      <c r="R207" s="12">
        <f t="shared" si="14"/>
        <v>1.2786428661855975E-2</v>
      </c>
      <c r="S207" s="12">
        <f t="shared" si="15"/>
        <v>4.4515126331523547E-3</v>
      </c>
    </row>
    <row r="208" spans="3:19">
      <c r="C208" s="9">
        <v>42853</v>
      </c>
      <c r="D208" s="10">
        <v>49300.9</v>
      </c>
      <c r="E208" s="11" t="s">
        <v>79</v>
      </c>
      <c r="F208" s="12">
        <f t="shared" si="12"/>
        <v>-3.6538760794393443E-3</v>
      </c>
      <c r="I208" s="9">
        <v>43567</v>
      </c>
      <c r="J208" s="10">
        <v>7780</v>
      </c>
      <c r="K208" s="11" t="s">
        <v>84</v>
      </c>
      <c r="L208" s="12">
        <f t="shared" si="13"/>
        <v>-2.7499999999999969E-2</v>
      </c>
      <c r="O208" s="9">
        <v>43567</v>
      </c>
      <c r="P208" s="10">
        <v>7780</v>
      </c>
      <c r="Q208" s="11" t="s">
        <v>84</v>
      </c>
      <c r="R208" s="12">
        <f t="shared" si="14"/>
        <v>-2.7499999999999969E-2</v>
      </c>
      <c r="S208" s="12">
        <f t="shared" si="15"/>
        <v>1.4956925750061689E-2</v>
      </c>
    </row>
    <row r="209" spans="3:19">
      <c r="C209" s="9">
        <v>42857</v>
      </c>
      <c r="D209" s="10">
        <v>48689.42</v>
      </c>
      <c r="E209" s="11" t="s">
        <v>79</v>
      </c>
      <c r="F209" s="12">
        <f t="shared" si="12"/>
        <v>-1.2403019011823391E-2</v>
      </c>
      <c r="I209" s="9">
        <v>43566</v>
      </c>
      <c r="J209" s="10">
        <v>7789</v>
      </c>
      <c r="K209" s="11" t="s">
        <v>84</v>
      </c>
      <c r="L209" s="12">
        <f t="shared" si="13"/>
        <v>1.1568123393315144E-3</v>
      </c>
      <c r="O209" s="9">
        <v>43566</v>
      </c>
      <c r="P209" s="10">
        <v>7789</v>
      </c>
      <c r="Q209" s="11" t="s">
        <v>84</v>
      </c>
      <c r="R209" s="12">
        <f t="shared" si="14"/>
        <v>1.1568123393315144E-3</v>
      </c>
      <c r="S209" s="12">
        <f t="shared" si="15"/>
        <v>5.6950211212236646E-3</v>
      </c>
    </row>
    <row r="210" spans="3:19">
      <c r="C210" s="9">
        <v>42858</v>
      </c>
      <c r="D210" s="10">
        <v>48605.14</v>
      </c>
      <c r="E210" s="11" t="s">
        <v>79</v>
      </c>
      <c r="F210" s="12">
        <f t="shared" si="12"/>
        <v>-1.7309715334460352E-3</v>
      </c>
      <c r="I210" s="9">
        <v>43565</v>
      </c>
      <c r="J210" s="10">
        <v>7768</v>
      </c>
      <c r="K210" s="11" t="s">
        <v>84</v>
      </c>
      <c r="L210" s="12">
        <f t="shared" si="13"/>
        <v>-2.6961098985749388E-3</v>
      </c>
      <c r="O210" s="9">
        <v>43565</v>
      </c>
      <c r="P210" s="10">
        <v>7768</v>
      </c>
      <c r="Q210" s="11" t="s">
        <v>84</v>
      </c>
      <c r="R210" s="12">
        <f t="shared" si="14"/>
        <v>-2.6961098985749388E-3</v>
      </c>
      <c r="S210" s="12">
        <f t="shared" si="15"/>
        <v>-1.4830337864533694E-2</v>
      </c>
    </row>
    <row r="211" spans="3:19">
      <c r="C211" s="9">
        <v>42859</v>
      </c>
      <c r="D211" s="10">
        <v>49283.64</v>
      </c>
      <c r="E211" s="11" t="s">
        <v>79</v>
      </c>
      <c r="F211" s="12">
        <f t="shared" si="12"/>
        <v>1.395942898220226E-2</v>
      </c>
      <c r="I211" s="9">
        <v>43564</v>
      </c>
      <c r="J211" s="10">
        <v>7780</v>
      </c>
      <c r="K211" s="11" t="s">
        <v>84</v>
      </c>
      <c r="L211" s="12">
        <f t="shared" si="13"/>
        <v>1.544799176107059E-3</v>
      </c>
      <c r="O211" s="9">
        <v>43564</v>
      </c>
      <c r="P211" s="10">
        <v>7780</v>
      </c>
      <c r="Q211" s="11" t="s">
        <v>84</v>
      </c>
      <c r="R211" s="12">
        <f t="shared" si="14"/>
        <v>1.544799176107059E-3</v>
      </c>
      <c r="S211" s="12">
        <f t="shared" si="15"/>
        <v>5.6351364271240989E-3</v>
      </c>
    </row>
    <row r="212" spans="3:19">
      <c r="C212" s="9">
        <v>42860</v>
      </c>
      <c r="D212" s="10">
        <v>49851.13</v>
      </c>
      <c r="E212" s="11" t="s">
        <v>79</v>
      </c>
      <c r="F212" s="12">
        <f t="shared" si="12"/>
        <v>1.1514774476885092E-2</v>
      </c>
      <c r="I212" s="9">
        <v>43563</v>
      </c>
      <c r="J212" s="10">
        <v>7065</v>
      </c>
      <c r="K212" s="11" t="s">
        <v>84</v>
      </c>
      <c r="L212" s="12">
        <f t="shared" si="13"/>
        <v>-9.1902313624678711E-2</v>
      </c>
      <c r="O212" s="9">
        <v>43563</v>
      </c>
      <c r="P212" s="10">
        <v>7065</v>
      </c>
      <c r="Q212" s="11" t="s">
        <v>84</v>
      </c>
      <c r="R212" s="12">
        <f t="shared" si="14"/>
        <v>-9.1902313624678711E-2</v>
      </c>
      <c r="S212" s="12">
        <f t="shared" si="15"/>
        <v>-1.5988034692356101E-2</v>
      </c>
    </row>
    <row r="213" spans="3:19">
      <c r="C213" s="9">
        <v>42863</v>
      </c>
      <c r="D213" s="10">
        <v>50935.91</v>
      </c>
      <c r="E213" s="11" t="s">
        <v>79</v>
      </c>
      <c r="F213" s="12">
        <f t="shared" si="12"/>
        <v>2.1760389383350009E-2</v>
      </c>
      <c r="I213" s="9">
        <v>43560</v>
      </c>
      <c r="J213" s="10">
        <v>7298</v>
      </c>
      <c r="K213" s="11" t="s">
        <v>84</v>
      </c>
      <c r="L213" s="12">
        <f t="shared" si="13"/>
        <v>3.2979476291578269E-2</v>
      </c>
      <c r="O213" s="9">
        <v>43560</v>
      </c>
      <c r="P213" s="10">
        <v>7298</v>
      </c>
      <c r="Q213" s="11" t="s">
        <v>84</v>
      </c>
      <c r="R213" s="12">
        <f t="shared" si="14"/>
        <v>3.2979476291578269E-2</v>
      </c>
      <c r="S213" s="12">
        <f t="shared" si="15"/>
        <v>1.5193472884034165E-4</v>
      </c>
    </row>
    <row r="214" spans="3:19">
      <c r="C214" s="9">
        <v>42864</v>
      </c>
      <c r="D214" s="10">
        <v>51073.14</v>
      </c>
      <c r="E214" s="11" t="s">
        <v>79</v>
      </c>
      <c r="F214" s="12">
        <f t="shared" si="12"/>
        <v>2.6941699873428426E-3</v>
      </c>
      <c r="I214" s="9">
        <v>43559</v>
      </c>
      <c r="J214" s="10">
        <v>7299</v>
      </c>
      <c r="K214" s="11" t="s">
        <v>84</v>
      </c>
      <c r="L214" s="12">
        <f t="shared" si="13"/>
        <v>1.3702384214853147E-4</v>
      </c>
      <c r="O214" s="9">
        <v>43559</v>
      </c>
      <c r="P214" s="10">
        <v>7299</v>
      </c>
      <c r="Q214" s="11" t="s">
        <v>84</v>
      </c>
      <c r="R214" s="12">
        <f t="shared" si="14"/>
        <v>1.3702384214853147E-4</v>
      </c>
      <c r="S214" s="12">
        <f t="shared" si="15"/>
        <v>-1.332595179734275E-2</v>
      </c>
    </row>
    <row r="215" spans="3:19">
      <c r="C215" s="9">
        <v>42865</v>
      </c>
      <c r="D215" s="10">
        <v>51103.53</v>
      </c>
      <c r="E215" s="11" t="s">
        <v>79</v>
      </c>
      <c r="F215" s="12">
        <f t="shared" si="12"/>
        <v>5.9502901133545727E-4</v>
      </c>
      <c r="I215" s="9">
        <v>43558</v>
      </c>
      <c r="J215" s="10">
        <v>7144</v>
      </c>
      <c r="K215" s="11" t="s">
        <v>84</v>
      </c>
      <c r="L215" s="12">
        <f t="shared" si="13"/>
        <v>-2.123578572407181E-2</v>
      </c>
      <c r="O215" s="9">
        <v>43558</v>
      </c>
      <c r="P215" s="10">
        <v>7144</v>
      </c>
      <c r="Q215" s="11" t="s">
        <v>84</v>
      </c>
      <c r="R215" s="12">
        <f t="shared" si="14"/>
        <v>-2.123578572407181E-2</v>
      </c>
      <c r="S215" s="12">
        <f t="shared" si="15"/>
        <v>-3.4782809877886844E-4</v>
      </c>
    </row>
    <row r="216" spans="3:19">
      <c r="C216" s="9">
        <v>42866</v>
      </c>
      <c r="D216" s="10">
        <v>51426.01</v>
      </c>
      <c r="E216" s="11" t="s">
        <v>79</v>
      </c>
      <c r="F216" s="12">
        <f t="shared" si="12"/>
        <v>6.3103272905022934E-3</v>
      </c>
      <c r="I216" s="9">
        <v>43557</v>
      </c>
      <c r="J216" s="10">
        <v>6800</v>
      </c>
      <c r="K216" s="11" t="s">
        <v>84</v>
      </c>
      <c r="L216" s="12">
        <f t="shared" si="13"/>
        <v>-4.8152295632698738E-2</v>
      </c>
      <c r="O216" s="9">
        <v>43557</v>
      </c>
      <c r="P216" s="10">
        <v>6800</v>
      </c>
      <c r="Q216" s="11" t="s">
        <v>84</v>
      </c>
      <c r="R216" s="12">
        <f t="shared" si="14"/>
        <v>-4.8152295632698738E-2</v>
      </c>
      <c r="S216" s="12">
        <f t="shared" si="15"/>
        <v>-8.3123777045145397E-3</v>
      </c>
    </row>
    <row r="217" spans="3:19">
      <c r="C217" s="9">
        <v>42867</v>
      </c>
      <c r="D217" s="10">
        <v>51750.91</v>
      </c>
      <c r="E217" s="11" t="s">
        <v>79</v>
      </c>
      <c r="F217" s="12">
        <f t="shared" si="12"/>
        <v>6.3178146622691056E-3</v>
      </c>
      <c r="I217" s="9">
        <v>43556</v>
      </c>
      <c r="J217" s="10">
        <v>7000</v>
      </c>
      <c r="K217" s="11" t="s">
        <v>84</v>
      </c>
      <c r="L217" s="12">
        <f t="shared" si="13"/>
        <v>2.9411764705882248E-2</v>
      </c>
      <c r="O217" s="9">
        <v>43556</v>
      </c>
      <c r="P217" s="10">
        <v>7000</v>
      </c>
      <c r="Q217" s="11" t="s">
        <v>84</v>
      </c>
      <c r="R217" s="12">
        <f t="shared" si="14"/>
        <v>2.9411764705882248E-2</v>
      </c>
      <c r="S217" s="12">
        <f t="shared" si="15"/>
        <v>-7.6195350295761299E-3</v>
      </c>
    </row>
    <row r="218" spans="3:19">
      <c r="C218" s="9">
        <v>42870</v>
      </c>
      <c r="D218" s="10">
        <v>52387.87</v>
      </c>
      <c r="E218" s="11" t="s">
        <v>79</v>
      </c>
      <c r="F218" s="12">
        <f t="shared" si="12"/>
        <v>1.2308189363240185E-2</v>
      </c>
      <c r="I218" s="9">
        <v>43553</v>
      </c>
      <c r="J218" s="10">
        <v>7300</v>
      </c>
      <c r="K218" s="11" t="s">
        <v>84</v>
      </c>
      <c r="L218" s="12">
        <f t="shared" si="13"/>
        <v>4.2857142857142927E-2</v>
      </c>
      <c r="O218" s="9">
        <v>43553</v>
      </c>
      <c r="P218" s="10">
        <v>7300</v>
      </c>
      <c r="Q218" s="11" t="s">
        <v>84</v>
      </c>
      <c r="R218" s="12">
        <f t="shared" si="14"/>
        <v>4.2857142857142927E-2</v>
      </c>
      <c r="S218" s="12">
        <f t="shared" si="15"/>
        <v>2.500197779936375E-3</v>
      </c>
    </row>
    <row r="219" spans="3:19">
      <c r="C219" s="9">
        <v>42871</v>
      </c>
      <c r="D219" s="10">
        <v>51813.19</v>
      </c>
      <c r="E219" s="11" t="s">
        <v>79</v>
      </c>
      <c r="F219" s="12">
        <f t="shared" si="12"/>
        <v>-1.0969714935919361E-2</v>
      </c>
      <c r="I219" s="9">
        <v>43552</v>
      </c>
      <c r="J219" s="10">
        <v>7349.5</v>
      </c>
      <c r="K219" s="11" t="s">
        <v>84</v>
      </c>
      <c r="L219" s="12">
        <f t="shared" si="13"/>
        <v>6.7808219178082663E-3</v>
      </c>
      <c r="O219" s="9">
        <v>43552</v>
      </c>
      <c r="P219" s="10">
        <v>7349.5</v>
      </c>
      <c r="Q219" s="11" t="s">
        <v>84</v>
      </c>
      <c r="R219" s="12">
        <f t="shared" si="14"/>
        <v>6.7808219178082663E-3</v>
      </c>
      <c r="S219" s="12">
        <f t="shared" si="15"/>
        <v>-1.0575128814287571E-2</v>
      </c>
    </row>
    <row r="220" spans="3:19">
      <c r="C220" s="9">
        <v>42872</v>
      </c>
      <c r="D220" s="10">
        <v>51511.41</v>
      </c>
      <c r="E220" s="11" t="s">
        <v>79</v>
      </c>
      <c r="F220" s="12">
        <f t="shared" si="12"/>
        <v>-5.8243856438872088E-3</v>
      </c>
      <c r="I220" s="9">
        <v>43551</v>
      </c>
      <c r="J220" s="10">
        <v>6955.1</v>
      </c>
      <c r="K220" s="11" t="s">
        <v>84</v>
      </c>
      <c r="L220" s="12">
        <f t="shared" si="13"/>
        <v>-5.3663514524797562E-2</v>
      </c>
      <c r="O220" s="9">
        <v>43551</v>
      </c>
      <c r="P220" s="10">
        <v>6955.1</v>
      </c>
      <c r="Q220" s="11" t="s">
        <v>84</v>
      </c>
      <c r="R220" s="12">
        <f t="shared" si="14"/>
        <v>-5.3663514524797562E-2</v>
      </c>
      <c r="S220" s="12">
        <f t="shared" si="15"/>
        <v>1.658999304184583E-2</v>
      </c>
    </row>
    <row r="221" spans="3:19">
      <c r="C221" s="9">
        <v>42873</v>
      </c>
      <c r="D221" s="10">
        <v>50956.6</v>
      </c>
      <c r="E221" s="11" t="s">
        <v>79</v>
      </c>
      <c r="F221" s="12">
        <f t="shared" si="12"/>
        <v>-1.0770623440515492E-2</v>
      </c>
      <c r="I221" s="9">
        <v>43550</v>
      </c>
      <c r="J221" s="10">
        <v>7690</v>
      </c>
      <c r="K221" s="11" t="s">
        <v>84</v>
      </c>
      <c r="L221" s="12">
        <f t="shared" si="13"/>
        <v>0.10566346997167542</v>
      </c>
      <c r="O221" s="9">
        <v>43550</v>
      </c>
      <c r="P221" s="10">
        <v>7690</v>
      </c>
      <c r="Q221" s="11" t="s">
        <v>84</v>
      </c>
      <c r="R221" s="12">
        <f t="shared" si="14"/>
        <v>0.10566346997167542</v>
      </c>
      <c r="S221" s="12">
        <f t="shared" si="15"/>
        <v>5.2577247666190097E-3</v>
      </c>
    </row>
    <row r="222" spans="3:19">
      <c r="C222" s="9">
        <v>42874</v>
      </c>
      <c r="D222" s="10">
        <v>50742.03</v>
      </c>
      <c r="E222" s="11" t="s">
        <v>79</v>
      </c>
      <c r="F222" s="12">
        <f t="shared" si="12"/>
        <v>-4.2108382427399338E-3</v>
      </c>
      <c r="I222" s="9">
        <v>43549</v>
      </c>
      <c r="J222" s="10">
        <v>7399.6</v>
      </c>
      <c r="K222" s="11" t="s">
        <v>84</v>
      </c>
      <c r="L222" s="12">
        <f t="shared" si="13"/>
        <v>-3.7763328998699608E-2</v>
      </c>
      <c r="O222" s="9">
        <v>43549</v>
      </c>
      <c r="P222" s="10">
        <v>7399.6</v>
      </c>
      <c r="Q222" s="11" t="s">
        <v>84</v>
      </c>
      <c r="R222" s="12">
        <f t="shared" si="14"/>
        <v>-3.7763328998699608E-2</v>
      </c>
      <c r="S222" s="12">
        <f t="shared" si="15"/>
        <v>-1.0464324726518592E-2</v>
      </c>
    </row>
    <row r="223" spans="3:19">
      <c r="C223" s="9">
        <v>42877</v>
      </c>
      <c r="D223" s="10">
        <v>51373.51</v>
      </c>
      <c r="E223" s="11" t="s">
        <v>79</v>
      </c>
      <c r="F223" s="12">
        <f t="shared" si="12"/>
        <v>1.2444910067650028E-2</v>
      </c>
      <c r="I223" s="9">
        <v>43546</v>
      </c>
      <c r="J223" s="10">
        <v>7789</v>
      </c>
      <c r="K223" s="11" t="s">
        <v>84</v>
      </c>
      <c r="L223" s="12">
        <f t="shared" si="13"/>
        <v>5.2624466187361385E-2</v>
      </c>
      <c r="O223" s="9">
        <v>43546</v>
      </c>
      <c r="P223" s="10">
        <v>7789</v>
      </c>
      <c r="Q223" s="11" t="s">
        <v>84</v>
      </c>
      <c r="R223" s="12">
        <f t="shared" si="14"/>
        <v>5.2624466187361385E-2</v>
      </c>
      <c r="S223" s="12">
        <f t="shared" si="15"/>
        <v>3.8338182052177761E-3</v>
      </c>
    </row>
    <row r="224" spans="3:19">
      <c r="C224" s="9">
        <v>42878</v>
      </c>
      <c r="D224" s="10">
        <v>52146.97</v>
      </c>
      <c r="E224" s="11" t="s">
        <v>79</v>
      </c>
      <c r="F224" s="12">
        <f t="shared" si="12"/>
        <v>1.5055619131338238E-2</v>
      </c>
      <c r="I224" s="9">
        <v>43545</v>
      </c>
      <c r="J224" s="10">
        <v>8199</v>
      </c>
      <c r="K224" s="11" t="s">
        <v>84</v>
      </c>
      <c r="L224" s="12">
        <f t="shared" si="13"/>
        <v>5.263833611503399E-2</v>
      </c>
      <c r="O224" s="9">
        <v>43545</v>
      </c>
      <c r="P224" s="10">
        <v>8199</v>
      </c>
      <c r="Q224" s="11" t="s">
        <v>84</v>
      </c>
      <c r="R224" s="12">
        <f t="shared" si="14"/>
        <v>5.263833611503399E-2</v>
      </c>
      <c r="S224" s="12">
        <f t="shared" si="15"/>
        <v>-4.2298177637301038E-3</v>
      </c>
    </row>
    <row r="225" spans="3:19">
      <c r="C225" s="9">
        <v>42879</v>
      </c>
      <c r="D225" s="10">
        <v>52876.46</v>
      </c>
      <c r="E225" s="11" t="s">
        <v>79</v>
      </c>
      <c r="F225" s="12">
        <f t="shared" si="12"/>
        <v>1.3989115762622406E-2</v>
      </c>
      <c r="I225" s="9">
        <v>43536</v>
      </c>
      <c r="J225" s="10">
        <v>8200</v>
      </c>
      <c r="K225" s="11" t="s">
        <v>84</v>
      </c>
      <c r="L225" s="12">
        <f t="shared" si="13"/>
        <v>1.2196609342596254E-4</v>
      </c>
      <c r="O225" s="9">
        <v>43536</v>
      </c>
      <c r="P225" s="10">
        <v>8200</v>
      </c>
      <c r="Q225" s="11" t="s">
        <v>84</v>
      </c>
      <c r="R225" s="12">
        <f t="shared" si="14"/>
        <v>1.2196609342596254E-4</v>
      </c>
      <c r="S225" s="12">
        <f t="shared" si="15"/>
        <v>-7.0958590960723544E-4</v>
      </c>
    </row>
    <row r="226" spans="3:19">
      <c r="C226" s="9">
        <v>42880</v>
      </c>
      <c r="D226" s="10">
        <v>52869.01</v>
      </c>
      <c r="E226" s="11" t="s">
        <v>79</v>
      </c>
      <c r="F226" s="12">
        <f t="shared" si="12"/>
        <v>-1.4089445473464135E-4</v>
      </c>
      <c r="I226" s="9">
        <v>43531</v>
      </c>
      <c r="J226" s="10">
        <v>8200</v>
      </c>
      <c r="K226" s="11" t="s">
        <v>84</v>
      </c>
      <c r="L226" s="12">
        <f t="shared" si="13"/>
        <v>0</v>
      </c>
      <c r="O226" s="9">
        <v>43531</v>
      </c>
      <c r="P226" s="10">
        <v>8200</v>
      </c>
      <c r="Q226" s="11" t="s">
        <v>84</v>
      </c>
      <c r="R226" s="12">
        <f t="shared" si="14"/>
        <v>0</v>
      </c>
      <c r="S226" s="12">
        <f t="shared" si="15"/>
        <v>-6.9247702063025551E-3</v>
      </c>
    </row>
    <row r="227" spans="3:19">
      <c r="C227" s="9">
        <v>42881</v>
      </c>
      <c r="D227" s="10">
        <v>52636.87</v>
      </c>
      <c r="E227" s="11" t="s">
        <v>79</v>
      </c>
      <c r="F227" s="12">
        <f t="shared" si="12"/>
        <v>-4.3908520322207822E-3</v>
      </c>
      <c r="I227" s="9">
        <v>43528</v>
      </c>
      <c r="J227" s="10">
        <v>8200</v>
      </c>
      <c r="K227" s="11" t="s">
        <v>84</v>
      </c>
      <c r="L227" s="12">
        <f t="shared" si="13"/>
        <v>0</v>
      </c>
      <c r="O227" s="9">
        <v>43528</v>
      </c>
      <c r="P227" s="10">
        <v>8200</v>
      </c>
      <c r="Q227" s="11" t="s">
        <v>84</v>
      </c>
      <c r="R227" s="12">
        <f t="shared" si="14"/>
        <v>0</v>
      </c>
      <c r="S227" s="12">
        <f t="shared" si="15"/>
        <v>5.3296731506426998E-3</v>
      </c>
    </row>
    <row r="228" spans="3:19">
      <c r="C228" s="9">
        <v>42884</v>
      </c>
      <c r="D228" s="10">
        <v>52138.9</v>
      </c>
      <c r="E228" s="11" t="s">
        <v>79</v>
      </c>
      <c r="F228" s="12">
        <f t="shared" si="12"/>
        <v>-9.4604789380523524E-3</v>
      </c>
      <c r="I228" s="9">
        <v>43525</v>
      </c>
      <c r="J228" s="10">
        <v>8200</v>
      </c>
      <c r="K228" s="11" t="s">
        <v>84</v>
      </c>
      <c r="L228" s="12">
        <f t="shared" si="13"/>
        <v>0</v>
      </c>
      <c r="O228" s="9">
        <v>43525</v>
      </c>
      <c r="P228" s="10">
        <v>8200</v>
      </c>
      <c r="Q228" s="11" t="s">
        <v>84</v>
      </c>
      <c r="R228" s="12">
        <f t="shared" si="14"/>
        <v>0</v>
      </c>
      <c r="S228" s="12">
        <f t="shared" si="15"/>
        <v>1.240340446451893E-2</v>
      </c>
    </row>
    <row r="229" spans="3:19">
      <c r="C229" s="9">
        <v>42885</v>
      </c>
      <c r="D229" s="10">
        <v>51453.16</v>
      </c>
      <c r="E229" s="11" t="s">
        <v>79</v>
      </c>
      <c r="F229" s="12">
        <f t="shared" si="12"/>
        <v>-1.3152176206249089E-2</v>
      </c>
      <c r="I229" s="9">
        <v>43524</v>
      </c>
      <c r="J229" s="10">
        <v>8200</v>
      </c>
      <c r="K229" s="11" t="s">
        <v>84</v>
      </c>
      <c r="L229" s="12">
        <f t="shared" si="13"/>
        <v>0</v>
      </c>
      <c r="O229" s="9">
        <v>43524</v>
      </c>
      <c r="P229" s="10">
        <v>8200</v>
      </c>
      <c r="Q229" s="11" t="s">
        <v>84</v>
      </c>
      <c r="R229" s="12">
        <f t="shared" si="14"/>
        <v>0</v>
      </c>
      <c r="S229" s="12">
        <f t="shared" si="15"/>
        <v>9.3534463486513175E-3</v>
      </c>
    </row>
    <row r="230" spans="3:19">
      <c r="C230" s="9">
        <v>42886</v>
      </c>
      <c r="D230" s="10">
        <v>50591.57</v>
      </c>
      <c r="E230" s="11" t="s">
        <v>79</v>
      </c>
      <c r="F230" s="12">
        <f t="shared" si="12"/>
        <v>-1.6745132854814049E-2</v>
      </c>
      <c r="I230" s="9">
        <v>43522</v>
      </c>
      <c r="J230" s="10">
        <v>8500</v>
      </c>
      <c r="K230" s="11" t="s">
        <v>84</v>
      </c>
      <c r="L230" s="12">
        <f t="shared" si="13"/>
        <v>3.6585365853658569E-2</v>
      </c>
      <c r="O230" s="9">
        <v>43522</v>
      </c>
      <c r="P230" s="10">
        <v>8500</v>
      </c>
      <c r="Q230" s="11" t="s">
        <v>84</v>
      </c>
      <c r="R230" s="12">
        <f t="shared" si="14"/>
        <v>3.6585365853658569E-2</v>
      </c>
      <c r="S230" s="12">
        <f t="shared" si="15"/>
        <v>-1.9822863705945437E-2</v>
      </c>
    </row>
    <row r="231" spans="3:19">
      <c r="C231" s="9">
        <v>42887</v>
      </c>
      <c r="D231" s="10">
        <v>48780.81</v>
      </c>
      <c r="E231" s="11" t="s">
        <v>79</v>
      </c>
      <c r="F231" s="12">
        <f t="shared" si="12"/>
        <v>-3.5791733682113525E-2</v>
      </c>
      <c r="I231" s="9">
        <v>43521</v>
      </c>
      <c r="J231" s="10">
        <v>8600</v>
      </c>
      <c r="K231" s="11" t="s">
        <v>84</v>
      </c>
      <c r="L231" s="12">
        <f t="shared" si="13"/>
        <v>1.1764705882352899E-2</v>
      </c>
      <c r="O231" s="9">
        <v>43521</v>
      </c>
      <c r="P231" s="10">
        <v>8600</v>
      </c>
      <c r="Q231" s="11" t="s">
        <v>84</v>
      </c>
      <c r="R231" s="12">
        <f t="shared" si="14"/>
        <v>1.1764705882352899E-2</v>
      </c>
      <c r="S231" s="12">
        <f t="shared" si="15"/>
        <v>-1.0229375004529362E-2</v>
      </c>
    </row>
    <row r="232" spans="3:19">
      <c r="C232" s="9">
        <v>42888</v>
      </c>
      <c r="D232" s="10">
        <v>48555.3</v>
      </c>
      <c r="E232" s="11" t="s">
        <v>79</v>
      </c>
      <c r="F232" s="12">
        <f t="shared" si="12"/>
        <v>-4.6229244655837665E-3</v>
      </c>
      <c r="I232" s="9">
        <v>43514</v>
      </c>
      <c r="J232" s="10">
        <v>8900</v>
      </c>
      <c r="K232" s="11" t="s">
        <v>84</v>
      </c>
      <c r="L232" s="12">
        <f t="shared" si="13"/>
        <v>3.488372093023262E-2</v>
      </c>
      <c r="O232" s="9">
        <v>43514</v>
      </c>
      <c r="P232" s="10">
        <v>8900</v>
      </c>
      <c r="Q232" s="11" t="s">
        <v>84</v>
      </c>
      <c r="R232" s="12">
        <f t="shared" si="14"/>
        <v>3.488372093023262E-2</v>
      </c>
      <c r="S232" s="12">
        <f t="shared" si="15"/>
        <v>-6.5997030627610309E-3</v>
      </c>
    </row>
    <row r="233" spans="3:19">
      <c r="C233" s="9">
        <v>42891</v>
      </c>
      <c r="D233" s="10">
        <v>50120.93</v>
      </c>
      <c r="E233" s="11" t="s">
        <v>79</v>
      </c>
      <c r="F233" s="12">
        <f t="shared" si="12"/>
        <v>3.224426581650186E-2</v>
      </c>
      <c r="I233" s="9">
        <v>43510</v>
      </c>
      <c r="J233" s="10">
        <v>8800</v>
      </c>
      <c r="K233" s="11" t="s">
        <v>84</v>
      </c>
      <c r="L233" s="12">
        <f t="shared" si="13"/>
        <v>-1.1235955056179803E-2</v>
      </c>
      <c r="O233" s="9">
        <v>43510</v>
      </c>
      <c r="P233" s="10">
        <v>8800</v>
      </c>
      <c r="Q233" s="11" t="s">
        <v>84</v>
      </c>
      <c r="R233" s="12">
        <f t="shared" si="14"/>
        <v>-1.1235955056179803E-2</v>
      </c>
      <c r="S233" s="12">
        <f t="shared" si="15"/>
        <v>-9.1579270083863573E-4</v>
      </c>
    </row>
    <row r="234" spans="3:19">
      <c r="C234" s="9">
        <v>42892</v>
      </c>
      <c r="D234" s="10">
        <v>50144.63</v>
      </c>
      <c r="E234" s="11" t="s">
        <v>79</v>
      </c>
      <c r="F234" s="12">
        <f t="shared" si="12"/>
        <v>4.7285634963278866E-4</v>
      </c>
      <c r="I234" s="9">
        <v>43509</v>
      </c>
      <c r="J234" s="10">
        <v>8800</v>
      </c>
      <c r="K234" s="11" t="s">
        <v>84</v>
      </c>
      <c r="L234" s="12">
        <f t="shared" si="13"/>
        <v>0</v>
      </c>
      <c r="O234" s="9">
        <v>43509</v>
      </c>
      <c r="P234" s="10">
        <v>8800</v>
      </c>
      <c r="Q234" s="11" t="s">
        <v>84</v>
      </c>
      <c r="R234" s="12">
        <f t="shared" si="14"/>
        <v>0</v>
      </c>
      <c r="S234" s="12">
        <f t="shared" si="15"/>
        <v>-1.2850931169062774E-3</v>
      </c>
    </row>
    <row r="235" spans="3:19">
      <c r="C235" s="9">
        <v>42893</v>
      </c>
      <c r="D235" s="10">
        <v>50162.81</v>
      </c>
      <c r="E235" s="11" t="s">
        <v>79</v>
      </c>
      <c r="F235" s="12">
        <f t="shared" si="12"/>
        <v>3.6255128415541016E-4</v>
      </c>
      <c r="I235" s="9">
        <v>43504</v>
      </c>
      <c r="J235" s="10">
        <v>8800</v>
      </c>
      <c r="K235" s="11" t="s">
        <v>84</v>
      </c>
      <c r="L235" s="12">
        <f t="shared" si="13"/>
        <v>0</v>
      </c>
      <c r="O235" s="9">
        <v>43504</v>
      </c>
      <c r="P235" s="10">
        <v>8800</v>
      </c>
      <c r="Q235" s="11" t="s">
        <v>84</v>
      </c>
      <c r="R235" s="12">
        <f t="shared" si="14"/>
        <v>0</v>
      </c>
      <c r="S235" s="12">
        <f t="shared" si="15"/>
        <v>-1.0775958531672902E-2</v>
      </c>
    </row>
    <row r="236" spans="3:19">
      <c r="C236" s="9">
        <v>42894</v>
      </c>
      <c r="D236" s="10">
        <v>49958.33</v>
      </c>
      <c r="E236" s="11" t="s">
        <v>79</v>
      </c>
      <c r="F236" s="12">
        <f t="shared" si="12"/>
        <v>-4.0763266651129282E-3</v>
      </c>
      <c r="I236" s="9">
        <v>43503</v>
      </c>
      <c r="J236" s="10">
        <v>8800</v>
      </c>
      <c r="K236" s="11" t="s">
        <v>84</v>
      </c>
      <c r="L236" s="12">
        <f t="shared" si="13"/>
        <v>0</v>
      </c>
      <c r="O236" s="9">
        <v>43503</v>
      </c>
      <c r="P236" s="10">
        <v>8800</v>
      </c>
      <c r="Q236" s="11" t="s">
        <v>84</v>
      </c>
      <c r="R236" s="12">
        <f t="shared" si="14"/>
        <v>0</v>
      </c>
      <c r="S236" s="12">
        <f t="shared" si="15"/>
        <v>-4.1664177047575635E-3</v>
      </c>
    </row>
    <row r="237" spans="3:19">
      <c r="C237" s="9">
        <v>42895</v>
      </c>
      <c r="D237" s="10">
        <v>49526.92</v>
      </c>
      <c r="E237" s="11" t="s">
        <v>79</v>
      </c>
      <c r="F237" s="12">
        <f t="shared" si="12"/>
        <v>-8.6353967396428644E-3</v>
      </c>
      <c r="I237" s="9">
        <v>43502</v>
      </c>
      <c r="J237" s="10">
        <v>9000</v>
      </c>
      <c r="K237" s="11" t="s">
        <v>84</v>
      </c>
      <c r="L237" s="12">
        <f t="shared" si="13"/>
        <v>2.2727272727272707E-2</v>
      </c>
      <c r="O237" s="9">
        <v>43502</v>
      </c>
      <c r="P237" s="10">
        <v>9000</v>
      </c>
      <c r="Q237" s="11" t="s">
        <v>84</v>
      </c>
      <c r="R237" s="12">
        <f t="shared" si="14"/>
        <v>2.2727272727272707E-2</v>
      </c>
      <c r="S237" s="12">
        <f t="shared" si="15"/>
        <v>-2.6123175180507996E-3</v>
      </c>
    </row>
    <row r="238" spans="3:19">
      <c r="C238" s="9">
        <v>42898</v>
      </c>
      <c r="D238" s="10">
        <v>47671.8</v>
      </c>
      <c r="E238" s="11" t="s">
        <v>79</v>
      </c>
      <c r="F238" s="12">
        <f t="shared" si="12"/>
        <v>-3.7456801270904672E-2</v>
      </c>
      <c r="I238" s="9">
        <v>43500</v>
      </c>
      <c r="J238" s="10">
        <v>8900</v>
      </c>
      <c r="K238" s="11" t="s">
        <v>84</v>
      </c>
      <c r="L238" s="12">
        <f t="shared" si="13"/>
        <v>-1.1111111111111072E-2</v>
      </c>
      <c r="O238" s="9">
        <v>43500</v>
      </c>
      <c r="P238" s="10">
        <v>8900</v>
      </c>
      <c r="Q238" s="11" t="s">
        <v>84</v>
      </c>
      <c r="R238" s="12">
        <f t="shared" si="14"/>
        <v>-1.1111111111111072E-2</v>
      </c>
      <c r="S238" s="12">
        <f t="shared" si="15"/>
        <v>1.2202552446676451E-2</v>
      </c>
    </row>
    <row r="239" spans="3:19">
      <c r="C239" s="9">
        <v>42899</v>
      </c>
      <c r="D239" s="10">
        <v>48071.040000000001</v>
      </c>
      <c r="E239" s="11" t="s">
        <v>79</v>
      </c>
      <c r="F239" s="12">
        <f t="shared" si="12"/>
        <v>8.374762438170924E-3</v>
      </c>
      <c r="I239" s="9">
        <v>43497</v>
      </c>
      <c r="J239" s="10">
        <v>8510</v>
      </c>
      <c r="K239" s="11" t="s">
        <v>84</v>
      </c>
      <c r="L239" s="12">
        <f t="shared" si="13"/>
        <v>-4.3820224719101075E-2</v>
      </c>
      <c r="O239" s="9">
        <v>43497</v>
      </c>
      <c r="P239" s="10">
        <v>8510</v>
      </c>
      <c r="Q239" s="11" t="s">
        <v>84</v>
      </c>
      <c r="R239" s="12">
        <f t="shared" si="14"/>
        <v>-4.3820224719101075E-2</v>
      </c>
      <c r="S239" s="12">
        <f t="shared" si="15"/>
        <v>7.6763157997938869E-3</v>
      </c>
    </row>
    <row r="240" spans="3:19">
      <c r="C240" s="9">
        <v>42900</v>
      </c>
      <c r="D240" s="10">
        <v>47608.639999999999</v>
      </c>
      <c r="E240" s="11" t="s">
        <v>79</v>
      </c>
      <c r="F240" s="12">
        <f t="shared" si="12"/>
        <v>-9.6190970696702349E-3</v>
      </c>
      <c r="I240" s="9">
        <v>43495</v>
      </c>
      <c r="J240" s="10">
        <v>8600</v>
      </c>
      <c r="K240" s="11" t="s">
        <v>84</v>
      </c>
      <c r="L240" s="12">
        <f t="shared" si="13"/>
        <v>1.0575793184488758E-2</v>
      </c>
      <c r="O240" s="9">
        <v>43495</v>
      </c>
      <c r="P240" s="10">
        <v>8600</v>
      </c>
      <c r="Q240" s="11" t="s">
        <v>84</v>
      </c>
      <c r="R240" s="12">
        <f t="shared" si="14"/>
        <v>1.0575793184488758E-2</v>
      </c>
      <c r="S240" s="12">
        <f t="shared" si="15"/>
        <v>-4.2511407555900771E-4</v>
      </c>
    </row>
    <row r="241" spans="3:19">
      <c r="C241" s="9">
        <v>42901</v>
      </c>
      <c r="D241" s="10">
        <v>47442.73</v>
      </c>
      <c r="E241" s="11" t="s">
        <v>79</v>
      </c>
      <c r="F241" s="12">
        <f t="shared" si="12"/>
        <v>-3.4848716535484936E-3</v>
      </c>
      <c r="I241" s="9">
        <v>43494</v>
      </c>
      <c r="J241" s="10">
        <v>8200</v>
      </c>
      <c r="K241" s="11" t="s">
        <v>84</v>
      </c>
      <c r="L241" s="12">
        <f t="shared" si="13"/>
        <v>-4.6511627906976716E-2</v>
      </c>
      <c r="O241" s="9">
        <v>43494</v>
      </c>
      <c r="P241" s="10">
        <v>8200</v>
      </c>
      <c r="Q241" s="11" t="s">
        <v>84</v>
      </c>
      <c r="R241" s="12">
        <f t="shared" si="14"/>
        <v>-4.6511627906976716E-2</v>
      </c>
      <c r="S241" s="12">
        <f t="shared" si="15"/>
        <v>5.054417246473264E-3</v>
      </c>
    </row>
    <row r="242" spans="3:19">
      <c r="C242" s="9">
        <v>42902</v>
      </c>
      <c r="D242" s="10">
        <v>46858.559999999998</v>
      </c>
      <c r="E242" s="11" t="s">
        <v>79</v>
      </c>
      <c r="F242" s="12">
        <f t="shared" si="12"/>
        <v>-1.2313161573965226E-2</v>
      </c>
      <c r="I242" s="9">
        <v>43489</v>
      </c>
      <c r="J242" s="10">
        <v>8200</v>
      </c>
      <c r="K242" s="11" t="s">
        <v>84</v>
      </c>
      <c r="L242" s="12">
        <f t="shared" si="13"/>
        <v>0</v>
      </c>
      <c r="O242" s="9">
        <v>43489</v>
      </c>
      <c r="P242" s="10">
        <v>8200</v>
      </c>
      <c r="Q242" s="11" t="s">
        <v>84</v>
      </c>
      <c r="R242" s="12">
        <f t="shared" si="14"/>
        <v>0</v>
      </c>
      <c r="S242" s="12">
        <f t="shared" si="15"/>
        <v>5.7743987757705728E-3</v>
      </c>
    </row>
    <row r="243" spans="3:19">
      <c r="C243" s="9">
        <v>42905</v>
      </c>
      <c r="D243" s="10">
        <v>46593.34</v>
      </c>
      <c r="E243" s="11" t="s">
        <v>79</v>
      </c>
      <c r="F243" s="12">
        <f t="shared" si="12"/>
        <v>-5.6600117459862931E-3</v>
      </c>
      <c r="I243" s="9">
        <v>43487</v>
      </c>
      <c r="J243" s="10">
        <v>8100</v>
      </c>
      <c r="K243" s="11" t="s">
        <v>84</v>
      </c>
      <c r="L243" s="12">
        <f t="shared" si="13"/>
        <v>-1.2195121951219523E-2</v>
      </c>
      <c r="O243" s="9">
        <v>43487</v>
      </c>
      <c r="P243" s="10">
        <v>8100</v>
      </c>
      <c r="Q243" s="11" t="s">
        <v>84</v>
      </c>
      <c r="R243" s="12">
        <f t="shared" si="14"/>
        <v>-1.2195121951219523E-2</v>
      </c>
      <c r="S243" s="12">
        <f t="shared" si="15"/>
        <v>9.0643861220112143E-3</v>
      </c>
    </row>
    <row r="244" spans="3:19">
      <c r="C244" s="9">
        <v>42906</v>
      </c>
      <c r="D244" s="10">
        <v>44914.44</v>
      </c>
      <c r="E244" s="11" t="s">
        <v>79</v>
      </c>
      <c r="F244" s="12">
        <f t="shared" si="12"/>
        <v>-3.6033046783080946E-2</v>
      </c>
      <c r="I244" s="9">
        <v>43486</v>
      </c>
      <c r="J244" s="10">
        <v>8031</v>
      </c>
      <c r="K244" s="11" t="s">
        <v>84</v>
      </c>
      <c r="L244" s="12">
        <f t="shared" si="13"/>
        <v>-8.5185185185184809E-3</v>
      </c>
      <c r="O244" s="9">
        <v>43486</v>
      </c>
      <c r="P244" s="10">
        <v>8031</v>
      </c>
      <c r="Q244" s="11" t="s">
        <v>84</v>
      </c>
      <c r="R244" s="12">
        <f t="shared" si="14"/>
        <v>-8.5185185185184809E-3</v>
      </c>
      <c r="S244" s="12">
        <f t="shared" si="15"/>
        <v>6.0364061923598999E-3</v>
      </c>
    </row>
    <row r="245" spans="3:19">
      <c r="C245" s="9">
        <v>42907</v>
      </c>
      <c r="D245" s="10">
        <v>45474.46</v>
      </c>
      <c r="E245" s="11" t="s">
        <v>79</v>
      </c>
      <c r="F245" s="12">
        <f t="shared" si="12"/>
        <v>1.2468595845790187E-2</v>
      </c>
      <c r="I245" s="9">
        <v>43483</v>
      </c>
      <c r="J245" s="10">
        <v>7900</v>
      </c>
      <c r="K245" s="11" t="s">
        <v>84</v>
      </c>
      <c r="L245" s="12">
        <f t="shared" si="13"/>
        <v>-1.6311791806748799E-2</v>
      </c>
      <c r="O245" s="9">
        <v>43483</v>
      </c>
      <c r="P245" s="10">
        <v>7900</v>
      </c>
      <c r="Q245" s="11" t="s">
        <v>84</v>
      </c>
      <c r="R245" s="12">
        <f t="shared" si="14"/>
        <v>-1.6311791806748799E-2</v>
      </c>
      <c r="S245" s="12">
        <f t="shared" si="15"/>
        <v>1.5954075908377607E-3</v>
      </c>
    </row>
    <row r="246" spans="3:19">
      <c r="C246" s="9">
        <v>42908</v>
      </c>
      <c r="D246" s="10">
        <v>46332.31</v>
      </c>
      <c r="E246" s="11" t="s">
        <v>79</v>
      </c>
      <c r="F246" s="12">
        <f t="shared" si="12"/>
        <v>1.8864435113687961E-2</v>
      </c>
      <c r="I246" s="9">
        <v>43480</v>
      </c>
      <c r="J246" s="10">
        <v>8100</v>
      </c>
      <c r="K246" s="11" t="s">
        <v>84</v>
      </c>
      <c r="L246" s="12">
        <f t="shared" si="13"/>
        <v>2.5316455696202445E-2</v>
      </c>
      <c r="O246" s="9">
        <v>43480</v>
      </c>
      <c r="P246" s="10">
        <v>8100</v>
      </c>
      <c r="Q246" s="11" t="s">
        <v>84</v>
      </c>
      <c r="R246" s="12">
        <f t="shared" si="14"/>
        <v>2.5316455696202445E-2</v>
      </c>
      <c r="S246" s="12">
        <f t="shared" si="15"/>
        <v>5.1156294124585777E-3</v>
      </c>
    </row>
    <row r="247" spans="3:19">
      <c r="C247" s="9">
        <v>42915</v>
      </c>
      <c r="D247" s="10">
        <v>46711.85</v>
      </c>
      <c r="E247" s="11" t="s">
        <v>79</v>
      </c>
      <c r="F247" s="12">
        <f t="shared" si="12"/>
        <v>8.1916917157811575E-3</v>
      </c>
      <c r="I247" s="9">
        <v>43474</v>
      </c>
      <c r="J247" s="10">
        <v>8300</v>
      </c>
      <c r="K247" s="11" t="s">
        <v>84</v>
      </c>
      <c r="L247" s="12">
        <f t="shared" si="13"/>
        <v>2.4691358024691468E-2</v>
      </c>
      <c r="O247" s="9">
        <v>43474</v>
      </c>
      <c r="P247" s="10">
        <v>8300</v>
      </c>
      <c r="Q247" s="11" t="s">
        <v>84</v>
      </c>
      <c r="R247" s="12">
        <f t="shared" si="14"/>
        <v>2.4691358024691468E-2</v>
      </c>
      <c r="S247" s="12">
        <f t="shared" si="15"/>
        <v>-3.3495934959348883E-3</v>
      </c>
    </row>
    <row r="248" spans="3:19">
      <c r="C248" s="9">
        <v>42916</v>
      </c>
      <c r="D248" s="10">
        <v>46565.29</v>
      </c>
      <c r="E248" s="11" t="s">
        <v>79</v>
      </c>
      <c r="F248" s="12">
        <f t="shared" si="12"/>
        <v>-3.1375336236949547E-3</v>
      </c>
      <c r="I248" s="9">
        <v>43473</v>
      </c>
      <c r="J248" s="10">
        <v>8199</v>
      </c>
      <c r="K248" s="11" t="s">
        <v>84</v>
      </c>
      <c r="L248" s="12">
        <f t="shared" si="13"/>
        <v>-1.2168674698795234E-2</v>
      </c>
      <c r="O248" s="9">
        <v>43473</v>
      </c>
      <c r="P248" s="10">
        <v>8199</v>
      </c>
      <c r="Q248" s="11" t="s">
        <v>84</v>
      </c>
      <c r="R248" s="12">
        <f t="shared" si="14"/>
        <v>-1.2168674698795234E-2</v>
      </c>
      <c r="S248" s="12">
        <f t="shared" si="15"/>
        <v>1.2709271207186346E-2</v>
      </c>
    </row>
    <row r="249" spans="3:19">
      <c r="C249" s="9">
        <v>42919</v>
      </c>
      <c r="D249" s="10">
        <v>44665.41</v>
      </c>
      <c r="E249" s="11" t="s">
        <v>79</v>
      </c>
      <c r="F249" s="12">
        <f t="shared" si="12"/>
        <v>-4.0800347211410015E-2</v>
      </c>
      <c r="I249" s="9">
        <v>43469</v>
      </c>
      <c r="J249" s="10">
        <v>8200</v>
      </c>
      <c r="K249" s="11" t="s">
        <v>84</v>
      </c>
      <c r="L249" s="12">
        <f t="shared" si="13"/>
        <v>1.2196609342596254E-4</v>
      </c>
      <c r="O249" s="9">
        <v>43469</v>
      </c>
      <c r="P249" s="10">
        <v>8200</v>
      </c>
      <c r="Q249" s="11" t="s">
        <v>84</v>
      </c>
      <c r="R249" s="12">
        <f t="shared" si="14"/>
        <v>1.2196609342596254E-4</v>
      </c>
      <c r="S249" s="12">
        <f t="shared" si="15"/>
        <v>1.4596980822267902E-4</v>
      </c>
    </row>
    <row r="250" spans="3:19">
      <c r="C250" s="9">
        <v>42920</v>
      </c>
      <c r="D250" s="10">
        <v>45394.06</v>
      </c>
      <c r="E250" s="11" t="s">
        <v>79</v>
      </c>
      <c r="F250" s="12">
        <f t="shared" si="12"/>
        <v>1.631351867138342E-2</v>
      </c>
      <c r="I250" s="9">
        <v>43468</v>
      </c>
      <c r="J250" s="10">
        <v>8501</v>
      </c>
      <c r="K250" s="11" t="s">
        <v>84</v>
      </c>
      <c r="L250" s="12">
        <f t="shared" si="13"/>
        <v>3.6707317073170653E-2</v>
      </c>
      <c r="O250" s="9">
        <v>43468</v>
      </c>
      <c r="P250" s="10">
        <v>8501</v>
      </c>
      <c r="Q250" s="11" t="s">
        <v>84</v>
      </c>
      <c r="R250" s="12">
        <f t="shared" si="14"/>
        <v>3.6707317073170653E-2</v>
      </c>
      <c r="S250" s="12">
        <f t="shared" si="15"/>
        <v>-6.7003128700034997E-3</v>
      </c>
    </row>
    <row r="251" spans="3:19">
      <c r="C251" s="9">
        <v>42921</v>
      </c>
      <c r="D251" s="10">
        <v>45413.42</v>
      </c>
      <c r="E251" s="11" t="s">
        <v>79</v>
      </c>
      <c r="F251" s="12">
        <f t="shared" si="12"/>
        <v>4.2648751841101173E-4</v>
      </c>
      <c r="I251" s="9">
        <v>43467</v>
      </c>
      <c r="J251" s="10">
        <v>8930</v>
      </c>
      <c r="K251" s="11" t="s">
        <v>84</v>
      </c>
      <c r="L251" s="12">
        <f t="shared" si="13"/>
        <v>5.0464651217503764E-2</v>
      </c>
      <c r="O251" s="9">
        <v>43467</v>
      </c>
      <c r="P251" s="10">
        <v>8930</v>
      </c>
      <c r="Q251" s="11" t="s">
        <v>84</v>
      </c>
      <c r="R251" s="12">
        <f t="shared" si="14"/>
        <v>5.0464651217503764E-2</v>
      </c>
      <c r="S251" s="12">
        <f t="shared" si="15"/>
        <v>-5.2771677681930917E-3</v>
      </c>
    </row>
    <row r="252" spans="3:19">
      <c r="C252" s="9">
        <v>42922</v>
      </c>
      <c r="D252" s="10">
        <v>44823.11</v>
      </c>
      <c r="E252" s="11" t="s">
        <v>79</v>
      </c>
      <c r="F252" s="12">
        <f t="shared" si="12"/>
        <v>-1.2998580595779741E-2</v>
      </c>
      <c r="I252" s="9">
        <v>43466</v>
      </c>
      <c r="J252" s="10">
        <v>9425</v>
      </c>
      <c r="K252" s="11" t="s">
        <v>84</v>
      </c>
      <c r="L252" s="12">
        <f t="shared" si="13"/>
        <v>5.5431131019036961E-2</v>
      </c>
      <c r="O252" s="9">
        <v>43466</v>
      </c>
      <c r="P252" s="10">
        <v>9425</v>
      </c>
      <c r="Q252" s="11" t="s">
        <v>84</v>
      </c>
      <c r="R252" s="12">
        <f t="shared" si="14"/>
        <v>5.5431131019036961E-2</v>
      </c>
      <c r="S252" s="12">
        <f t="shared" si="15"/>
        <v>2.5065375443761306E-2</v>
      </c>
    </row>
    <row r="253" spans="3:19">
      <c r="C253" s="9">
        <v>42923</v>
      </c>
      <c r="D253" s="10">
        <v>45222.15</v>
      </c>
      <c r="E253" s="11" t="s">
        <v>79</v>
      </c>
      <c r="F253" s="12">
        <f t="shared" si="12"/>
        <v>8.9025504923687659E-3</v>
      </c>
      <c r="I253" s="9">
        <v>43462</v>
      </c>
      <c r="J253" s="10">
        <v>9000</v>
      </c>
      <c r="K253" s="11" t="s">
        <v>84</v>
      </c>
      <c r="L253" s="12">
        <f t="shared" si="13"/>
        <v>-4.5092838196286511E-2</v>
      </c>
      <c r="O253" s="9">
        <v>43462</v>
      </c>
      <c r="P253" s="10">
        <v>9000</v>
      </c>
      <c r="Q253" s="11" t="s">
        <v>84</v>
      </c>
      <c r="R253" s="12">
        <f t="shared" si="14"/>
        <v>-4.5092838196286511E-2</v>
      </c>
      <c r="S253" s="12">
        <f t="shared" si="15"/>
        <v>-1.813699474052255E-2</v>
      </c>
    </row>
    <row r="254" spans="3:19">
      <c r="C254" s="9">
        <v>42926</v>
      </c>
      <c r="D254" s="10">
        <v>46273.81</v>
      </c>
      <c r="E254" s="11" t="s">
        <v>79</v>
      </c>
      <c r="F254" s="12">
        <f t="shared" si="12"/>
        <v>2.3255417975483139E-2</v>
      </c>
      <c r="I254" s="9">
        <v>43461</v>
      </c>
      <c r="J254" s="10">
        <v>9000</v>
      </c>
      <c r="K254" s="11" t="s">
        <v>84</v>
      </c>
      <c r="L254" s="12">
        <f t="shared" si="13"/>
        <v>0</v>
      </c>
      <c r="O254" s="9">
        <v>43461</v>
      </c>
      <c r="P254" s="10">
        <v>9000</v>
      </c>
      <c r="Q254" s="11" t="s">
        <v>84</v>
      </c>
      <c r="R254" s="12">
        <f t="shared" si="14"/>
        <v>0</v>
      </c>
      <c r="S254" s="12">
        <f t="shared" si="15"/>
        <v>-9.5373732896506525E-3</v>
      </c>
    </row>
    <row r="255" spans="3:19">
      <c r="C255" s="9">
        <v>42927</v>
      </c>
      <c r="D255" s="10">
        <v>44120.58</v>
      </c>
      <c r="E255" s="11" t="s">
        <v>79</v>
      </c>
      <c r="F255" s="12">
        <f t="shared" si="12"/>
        <v>-4.6532368957732162E-2</v>
      </c>
      <c r="I255" s="9">
        <v>43453</v>
      </c>
      <c r="J255" s="10">
        <v>9000</v>
      </c>
      <c r="K255" s="11" t="s">
        <v>84</v>
      </c>
      <c r="L255" s="12">
        <f t="shared" si="13"/>
        <v>0</v>
      </c>
      <c r="O255" s="9">
        <v>43453</v>
      </c>
      <c r="P255" s="10">
        <v>9000</v>
      </c>
      <c r="Q255" s="11" t="s">
        <v>84</v>
      </c>
      <c r="R255" s="12">
        <f t="shared" si="14"/>
        <v>0</v>
      </c>
      <c r="S255" s="12">
        <f t="shared" si="15"/>
        <v>-1.3815789301079295E-3</v>
      </c>
    </row>
    <row r="256" spans="3:19">
      <c r="C256" s="9">
        <v>42928</v>
      </c>
      <c r="D256" s="10">
        <v>43792.19</v>
      </c>
      <c r="E256" s="11" t="s">
        <v>79</v>
      </c>
      <c r="F256" s="12">
        <f t="shared" si="12"/>
        <v>-7.443011855238546E-3</v>
      </c>
      <c r="I256" s="9">
        <v>43452</v>
      </c>
      <c r="J256" s="10">
        <v>9100</v>
      </c>
      <c r="K256" s="11" t="s">
        <v>84</v>
      </c>
      <c r="L256" s="12">
        <f t="shared" si="13"/>
        <v>1.1111111111111072E-2</v>
      </c>
      <c r="O256" s="9">
        <v>43452</v>
      </c>
      <c r="P256" s="10">
        <v>9100</v>
      </c>
      <c r="Q256" s="11" t="s">
        <v>84</v>
      </c>
      <c r="R256" s="12">
        <f t="shared" si="14"/>
        <v>1.1111111111111072E-2</v>
      </c>
      <c r="S256" s="12">
        <f t="shared" si="15"/>
        <v>-5.0473555026120387E-3</v>
      </c>
    </row>
    <row r="257" spans="3:19">
      <c r="C257" s="9">
        <v>42929</v>
      </c>
      <c r="D257" s="10">
        <v>43783.55</v>
      </c>
      <c r="E257" s="11" t="s">
        <v>79</v>
      </c>
      <c r="F257" s="12">
        <f t="shared" si="12"/>
        <v>-1.9729545382407565E-4</v>
      </c>
      <c r="I257" s="9">
        <v>43451</v>
      </c>
      <c r="J257" s="10">
        <v>8850</v>
      </c>
      <c r="K257" s="11" t="s">
        <v>84</v>
      </c>
      <c r="L257" s="12">
        <f t="shared" si="13"/>
        <v>-2.7472527472527486E-2</v>
      </c>
      <c r="O257" s="9">
        <v>43451</v>
      </c>
      <c r="P257" s="10">
        <v>8850</v>
      </c>
      <c r="Q257" s="11" t="s">
        <v>84</v>
      </c>
      <c r="R257" s="12">
        <f t="shared" si="14"/>
        <v>-2.7472527472527486E-2</v>
      </c>
      <c r="S257" s="12">
        <f t="shared" si="15"/>
        <v>-7.1656154125653293E-3</v>
      </c>
    </row>
    <row r="258" spans="3:19">
      <c r="C258" s="9">
        <v>42930</v>
      </c>
      <c r="D258" s="10">
        <v>44337.440000000002</v>
      </c>
      <c r="E258" s="11" t="s">
        <v>79</v>
      </c>
      <c r="F258" s="12">
        <f t="shared" si="12"/>
        <v>1.2650641622253156E-2</v>
      </c>
      <c r="I258" s="9">
        <v>43446</v>
      </c>
      <c r="J258" s="10">
        <v>8500</v>
      </c>
      <c r="K258" s="11" t="s">
        <v>84</v>
      </c>
      <c r="L258" s="12">
        <f t="shared" si="13"/>
        <v>-3.9548022598870025E-2</v>
      </c>
      <c r="O258" s="9">
        <v>43446</v>
      </c>
      <c r="P258" s="10">
        <v>8500</v>
      </c>
      <c r="Q258" s="11" t="s">
        <v>84</v>
      </c>
      <c r="R258" s="12">
        <f t="shared" si="14"/>
        <v>-3.9548022598870025E-2</v>
      </c>
      <c r="S258" s="12">
        <f t="shared" si="15"/>
        <v>-1.4015251740195245E-2</v>
      </c>
    </row>
    <row r="259" spans="3:19">
      <c r="C259" s="9">
        <v>42933</v>
      </c>
      <c r="D259" s="10">
        <v>44523.21</v>
      </c>
      <c r="E259" s="11" t="s">
        <v>79</v>
      </c>
      <c r="F259" s="12">
        <f t="shared" si="12"/>
        <v>4.189912633656645E-3</v>
      </c>
      <c r="I259" s="9">
        <v>43445</v>
      </c>
      <c r="J259" s="10">
        <v>8500</v>
      </c>
      <c r="K259" s="11" t="s">
        <v>84</v>
      </c>
      <c r="L259" s="12">
        <f t="shared" si="13"/>
        <v>0</v>
      </c>
      <c r="O259" s="9">
        <v>43445</v>
      </c>
      <c r="P259" s="10">
        <v>8500</v>
      </c>
      <c r="Q259" s="11" t="s">
        <v>84</v>
      </c>
      <c r="R259" s="12">
        <f t="shared" si="14"/>
        <v>0</v>
      </c>
      <c r="S259" s="12">
        <f t="shared" si="15"/>
        <v>-1.1390949836156294E-2</v>
      </c>
    </row>
    <row r="260" spans="3:19">
      <c r="C260" s="9">
        <v>42934</v>
      </c>
      <c r="D260" s="10">
        <v>45636.36</v>
      </c>
      <c r="E260" s="11" t="s">
        <v>79</v>
      </c>
      <c r="F260" s="12">
        <f t="shared" si="12"/>
        <v>2.5001566598634728E-2</v>
      </c>
      <c r="I260" s="9">
        <v>43441</v>
      </c>
      <c r="J260" s="10">
        <v>8500</v>
      </c>
      <c r="K260" s="11" t="s">
        <v>84</v>
      </c>
      <c r="L260" s="12">
        <f t="shared" si="13"/>
        <v>0</v>
      </c>
      <c r="O260" s="9">
        <v>43441</v>
      </c>
      <c r="P260" s="10">
        <v>8500</v>
      </c>
      <c r="Q260" s="11" t="s">
        <v>84</v>
      </c>
      <c r="R260" s="12">
        <f t="shared" si="14"/>
        <v>0</v>
      </c>
      <c r="S260" s="12">
        <f t="shared" si="15"/>
        <v>6.8257380689920044E-3</v>
      </c>
    </row>
    <row r="261" spans="3:19">
      <c r="C261" s="9">
        <v>42935</v>
      </c>
      <c r="D261" s="10">
        <v>45418.7</v>
      </c>
      <c r="E261" s="11" t="s">
        <v>79</v>
      </c>
      <c r="F261" s="12">
        <f t="shared" si="12"/>
        <v>-4.7694426111110078E-3</v>
      </c>
      <c r="I261" s="9">
        <v>43440</v>
      </c>
      <c r="J261" s="10">
        <v>8750</v>
      </c>
      <c r="K261" s="11" t="s">
        <v>84</v>
      </c>
      <c r="L261" s="12">
        <f t="shared" si="13"/>
        <v>2.9411764705882248E-2</v>
      </c>
      <c r="O261" s="9">
        <v>43440</v>
      </c>
      <c r="P261" s="10">
        <v>8750</v>
      </c>
      <c r="Q261" s="11" t="s">
        <v>84</v>
      </c>
      <c r="R261" s="12">
        <f t="shared" si="14"/>
        <v>2.9411764705882248E-2</v>
      </c>
      <c r="S261" s="12">
        <f t="shared" si="15"/>
        <v>-2.5506632935663354E-2</v>
      </c>
    </row>
    <row r="262" spans="3:19">
      <c r="C262" s="9">
        <v>42936</v>
      </c>
      <c r="D262" s="10">
        <v>45059.93</v>
      </c>
      <c r="E262" s="11" t="s">
        <v>79</v>
      </c>
      <c r="F262" s="12">
        <f t="shared" si="12"/>
        <v>-7.8991692848979778E-3</v>
      </c>
      <c r="I262" s="9">
        <v>43439</v>
      </c>
      <c r="J262" s="10">
        <v>8700</v>
      </c>
      <c r="K262" s="11" t="s">
        <v>84</v>
      </c>
      <c r="L262" s="12">
        <f t="shared" si="13"/>
        <v>-5.7142857142856718E-3</v>
      </c>
      <c r="O262" s="9">
        <v>43439</v>
      </c>
      <c r="P262" s="10">
        <v>8700</v>
      </c>
      <c r="Q262" s="11" t="s">
        <v>84</v>
      </c>
      <c r="R262" s="12">
        <f t="shared" si="14"/>
        <v>-5.7142857142856718E-3</v>
      </c>
      <c r="S262" s="12">
        <f t="shared" si="15"/>
        <v>-7.5691483975782736E-3</v>
      </c>
    </row>
    <row r="263" spans="3:19">
      <c r="C263" s="9">
        <v>42937</v>
      </c>
      <c r="D263" s="10">
        <v>45294.39</v>
      </c>
      <c r="E263" s="11" t="s">
        <v>79</v>
      </c>
      <c r="F263" s="12">
        <f t="shared" ref="F263:F326" si="16">D263/D262-1</f>
        <v>5.2032925927758544E-3</v>
      </c>
      <c r="I263" s="9">
        <v>43438</v>
      </c>
      <c r="J263" s="10">
        <v>9041</v>
      </c>
      <c r="K263" s="11" t="s">
        <v>84</v>
      </c>
      <c r="L263" s="12">
        <f t="shared" ref="L263:L326" si="17">J263/J262-1</f>
        <v>3.9195402298850546E-2</v>
      </c>
      <c r="O263" s="9">
        <v>43438</v>
      </c>
      <c r="P263" s="10">
        <v>9041</v>
      </c>
      <c r="Q263" s="11" t="s">
        <v>84</v>
      </c>
      <c r="R263" s="12">
        <f t="shared" ref="R263:R326" si="18">P263/P262-1</f>
        <v>3.9195402298850546E-2</v>
      </c>
      <c r="S263" s="12">
        <f t="shared" ref="S263:S326" si="19">VLOOKUP(O263,$C$5:$F$989,4,)</f>
        <v>1.1293749329683411E-2</v>
      </c>
    </row>
    <row r="264" spans="3:19">
      <c r="C264" s="9">
        <v>42940</v>
      </c>
      <c r="D264" s="10">
        <v>45529.2</v>
      </c>
      <c r="E264" s="11" t="s">
        <v>79</v>
      </c>
      <c r="F264" s="12">
        <f t="shared" si="16"/>
        <v>5.1840857112768202E-3</v>
      </c>
      <c r="I264" s="9">
        <v>43437</v>
      </c>
      <c r="J264" s="10">
        <v>8611</v>
      </c>
      <c r="K264" s="11" t="s">
        <v>84</v>
      </c>
      <c r="L264" s="12">
        <f t="shared" si="17"/>
        <v>-4.756111049662648E-2</v>
      </c>
      <c r="O264" s="9">
        <v>43437</v>
      </c>
      <c r="P264" s="10">
        <v>8611</v>
      </c>
      <c r="Q264" s="11" t="s">
        <v>84</v>
      </c>
      <c r="R264" s="12">
        <f t="shared" si="18"/>
        <v>-4.756111049662648E-2</v>
      </c>
      <c r="S264" s="12">
        <f t="shared" si="19"/>
        <v>-3.2976812788809151E-2</v>
      </c>
    </row>
    <row r="265" spans="3:19">
      <c r="C265" s="9">
        <v>42941</v>
      </c>
      <c r="D265" s="10">
        <v>45917.9</v>
      </c>
      <c r="E265" s="11" t="s">
        <v>79</v>
      </c>
      <c r="F265" s="12">
        <f t="shared" si="16"/>
        <v>8.5373782100279794E-3</v>
      </c>
      <c r="I265" s="9">
        <v>43434</v>
      </c>
      <c r="J265" s="10">
        <v>8800</v>
      </c>
      <c r="K265" s="11" t="s">
        <v>84</v>
      </c>
      <c r="L265" s="12">
        <f t="shared" si="17"/>
        <v>2.1948670305423246E-2</v>
      </c>
      <c r="O265" s="9">
        <v>43434</v>
      </c>
      <c r="P265" s="10">
        <v>8800</v>
      </c>
      <c r="Q265" s="11" t="s">
        <v>84</v>
      </c>
      <c r="R265" s="12">
        <f t="shared" si="18"/>
        <v>2.1948670305423246E-2</v>
      </c>
      <c r="S265" s="12">
        <f t="shared" si="19"/>
        <v>-3.5138806899707165E-3</v>
      </c>
    </row>
    <row r="266" spans="3:19">
      <c r="C266" s="9">
        <v>42942</v>
      </c>
      <c r="D266" s="10">
        <v>45908.39</v>
      </c>
      <c r="E266" s="11" t="s">
        <v>79</v>
      </c>
      <c r="F266" s="12">
        <f t="shared" si="16"/>
        <v>-2.0710877457374988E-4</v>
      </c>
      <c r="I266" s="9">
        <v>43430</v>
      </c>
      <c r="J266" s="10">
        <v>8995</v>
      </c>
      <c r="K266" s="11" t="s">
        <v>84</v>
      </c>
      <c r="L266" s="12">
        <f t="shared" si="17"/>
        <v>2.2159090909090962E-2</v>
      </c>
      <c r="O266" s="9">
        <v>43430</v>
      </c>
      <c r="P266" s="10">
        <v>8995</v>
      </c>
      <c r="Q266" s="11" t="s">
        <v>84</v>
      </c>
      <c r="R266" s="12">
        <f t="shared" si="18"/>
        <v>2.2159090909090962E-2</v>
      </c>
      <c r="S266" s="12">
        <f t="shared" si="19"/>
        <v>-2.3912826455468883E-3</v>
      </c>
    </row>
    <row r="267" spans="3:19">
      <c r="C267" s="9">
        <v>42943</v>
      </c>
      <c r="D267" s="10">
        <v>45905.760000000002</v>
      </c>
      <c r="E267" s="11" t="s">
        <v>79</v>
      </c>
      <c r="F267" s="12">
        <f t="shared" si="16"/>
        <v>-5.7288003347477634E-5</v>
      </c>
      <c r="I267" s="9">
        <v>43426</v>
      </c>
      <c r="J267" s="10">
        <v>9000</v>
      </c>
      <c r="K267" s="11" t="s">
        <v>84</v>
      </c>
      <c r="L267" s="12">
        <f t="shared" si="17"/>
        <v>5.558643690939391E-4</v>
      </c>
      <c r="O267" s="9">
        <v>43426</v>
      </c>
      <c r="P267" s="10">
        <v>9000</v>
      </c>
      <c r="Q267" s="11" t="s">
        <v>84</v>
      </c>
      <c r="R267" s="12">
        <f t="shared" si="18"/>
        <v>5.558643690939391E-4</v>
      </c>
      <c r="S267" s="12">
        <f t="shared" si="19"/>
        <v>-1.3163206278048567E-2</v>
      </c>
    </row>
    <row r="268" spans="3:19">
      <c r="C268" s="9">
        <v>42944</v>
      </c>
      <c r="D268" s="10">
        <v>45912.03</v>
      </c>
      <c r="E268" s="11" t="s">
        <v>79</v>
      </c>
      <c r="F268" s="12">
        <f t="shared" si="16"/>
        <v>1.3658416721562538E-4</v>
      </c>
      <c r="I268" s="9">
        <v>43423</v>
      </c>
      <c r="J268" s="10">
        <v>9000</v>
      </c>
      <c r="K268" s="11" t="s">
        <v>84</v>
      </c>
      <c r="L268" s="12">
        <f t="shared" si="17"/>
        <v>0</v>
      </c>
      <c r="O268" s="9">
        <v>43423</v>
      </c>
      <c r="P268" s="10">
        <v>9000</v>
      </c>
      <c r="Q268" s="11" t="s">
        <v>84</v>
      </c>
      <c r="R268" s="12">
        <f t="shared" si="18"/>
        <v>0</v>
      </c>
      <c r="S268" s="12">
        <f t="shared" si="19"/>
        <v>-7.3925697449038763E-3</v>
      </c>
    </row>
    <row r="269" spans="3:19">
      <c r="C269" s="9">
        <v>42947</v>
      </c>
      <c r="D269" s="10">
        <v>46010.45</v>
      </c>
      <c r="E269" s="11" t="s">
        <v>79</v>
      </c>
      <c r="F269" s="12">
        <f t="shared" si="16"/>
        <v>2.1436647432055977E-3</v>
      </c>
      <c r="I269" s="9">
        <v>43420</v>
      </c>
      <c r="J269" s="10">
        <v>9000</v>
      </c>
      <c r="K269" s="11" t="s">
        <v>84</v>
      </c>
      <c r="L269" s="12">
        <f t="shared" si="17"/>
        <v>0</v>
      </c>
      <c r="O269" s="9">
        <v>43420</v>
      </c>
      <c r="P269" s="10">
        <v>9000</v>
      </c>
      <c r="Q269" s="11" t="s">
        <v>84</v>
      </c>
      <c r="R269" s="12">
        <f t="shared" si="18"/>
        <v>0</v>
      </c>
      <c r="S269" s="12">
        <f t="shared" si="19"/>
        <v>5.6028886303989278E-3</v>
      </c>
    </row>
    <row r="270" spans="3:19">
      <c r="C270" s="9">
        <v>42948</v>
      </c>
      <c r="D270" s="10">
        <v>46533.43</v>
      </c>
      <c r="E270" s="11" t="s">
        <v>79</v>
      </c>
      <c r="F270" s="12">
        <f t="shared" si="16"/>
        <v>1.13665482515386E-2</v>
      </c>
      <c r="I270" s="9">
        <v>43419</v>
      </c>
      <c r="J270" s="10">
        <v>8950</v>
      </c>
      <c r="K270" s="11" t="s">
        <v>84</v>
      </c>
      <c r="L270" s="12">
        <f t="shared" si="17"/>
        <v>-5.5555555555555358E-3</v>
      </c>
      <c r="O270" s="9">
        <v>43419</v>
      </c>
      <c r="P270" s="10">
        <v>8950</v>
      </c>
      <c r="Q270" s="11" t="s">
        <v>84</v>
      </c>
      <c r="R270" s="12">
        <f t="shared" si="18"/>
        <v>-5.5555555555555358E-3</v>
      </c>
      <c r="S270" s="12">
        <f t="shared" si="19"/>
        <v>1.0601050640275611E-2</v>
      </c>
    </row>
    <row r="271" spans="3:19">
      <c r="C271" s="9">
        <v>42949</v>
      </c>
      <c r="D271" s="10">
        <v>46949.04</v>
      </c>
      <c r="E271" s="11" t="s">
        <v>79</v>
      </c>
      <c r="F271" s="12">
        <f t="shared" si="16"/>
        <v>8.9314284375769937E-3</v>
      </c>
      <c r="I271" s="9">
        <v>43416</v>
      </c>
      <c r="J271" s="10">
        <v>9120</v>
      </c>
      <c r="K271" s="11" t="s">
        <v>84</v>
      </c>
      <c r="L271" s="12">
        <f t="shared" si="17"/>
        <v>1.8994413407821265E-2</v>
      </c>
      <c r="O271" s="9">
        <v>43416</v>
      </c>
      <c r="P271" s="10">
        <v>9120</v>
      </c>
      <c r="Q271" s="11" t="s">
        <v>84</v>
      </c>
      <c r="R271" s="12">
        <f t="shared" si="18"/>
        <v>1.8994413407821265E-2</v>
      </c>
      <c r="S271" s="12">
        <f t="shared" si="19"/>
        <v>-7.0683236656801096E-3</v>
      </c>
    </row>
    <row r="272" spans="3:19">
      <c r="C272" s="9">
        <v>42950</v>
      </c>
      <c r="D272" s="10">
        <v>47084.34</v>
      </c>
      <c r="E272" s="11" t="s">
        <v>79</v>
      </c>
      <c r="F272" s="12">
        <f t="shared" si="16"/>
        <v>2.8818480633467924E-3</v>
      </c>
      <c r="I272" s="9">
        <v>43410</v>
      </c>
      <c r="J272" s="10">
        <v>9600</v>
      </c>
      <c r="K272" s="11" t="s">
        <v>84</v>
      </c>
      <c r="L272" s="12">
        <f t="shared" si="17"/>
        <v>5.2631578947368363E-2</v>
      </c>
      <c r="O272" s="9">
        <v>43410</v>
      </c>
      <c r="P272" s="10">
        <v>9600</v>
      </c>
      <c r="Q272" s="11" t="s">
        <v>84</v>
      </c>
      <c r="R272" s="12">
        <f t="shared" si="18"/>
        <v>5.2631578947368363E-2</v>
      </c>
      <c r="S272" s="12">
        <f t="shared" si="19"/>
        <v>-1.2903805758717635E-2</v>
      </c>
    </row>
    <row r="273" spans="3:19">
      <c r="C273" s="9">
        <v>42951</v>
      </c>
      <c r="D273" s="10">
        <v>46877.37</v>
      </c>
      <c r="E273" s="11" t="s">
        <v>79</v>
      </c>
      <c r="F273" s="12">
        <f t="shared" si="16"/>
        <v>-4.3957290258288539E-3</v>
      </c>
      <c r="I273" s="9">
        <v>43402</v>
      </c>
      <c r="J273" s="10">
        <v>9500</v>
      </c>
      <c r="K273" s="11" t="s">
        <v>84</v>
      </c>
      <c r="L273" s="12">
        <f t="shared" si="17"/>
        <v>-1.041666666666663E-2</v>
      </c>
      <c r="O273" s="9">
        <v>43402</v>
      </c>
      <c r="P273" s="10">
        <v>9500</v>
      </c>
      <c r="Q273" s="11" t="s">
        <v>84</v>
      </c>
      <c r="R273" s="12">
        <f t="shared" si="18"/>
        <v>-1.041666666666663E-2</v>
      </c>
      <c r="S273" s="12">
        <f t="shared" si="19"/>
        <v>2.2124964093257704E-2</v>
      </c>
    </row>
    <row r="274" spans="3:19">
      <c r="C274" s="9">
        <v>42954</v>
      </c>
      <c r="D274" s="10">
        <v>46465.66</v>
      </c>
      <c r="E274" s="11" t="s">
        <v>79</v>
      </c>
      <c r="F274" s="12">
        <f t="shared" si="16"/>
        <v>-8.7827026132225594E-3</v>
      </c>
      <c r="I274" s="9">
        <v>43399</v>
      </c>
      <c r="J274" s="10">
        <v>9445</v>
      </c>
      <c r="K274" s="11" t="s">
        <v>84</v>
      </c>
      <c r="L274" s="12">
        <f t="shared" si="17"/>
        <v>-5.7894736842105665E-3</v>
      </c>
      <c r="O274" s="9">
        <v>43399</v>
      </c>
      <c r="P274" s="10">
        <v>9445</v>
      </c>
      <c r="Q274" s="11" t="s">
        <v>84</v>
      </c>
      <c r="R274" s="12">
        <f t="shared" si="18"/>
        <v>-5.7894736842105665E-3</v>
      </c>
      <c r="S274" s="12">
        <f t="shared" si="19"/>
        <v>2.3328171667729158E-2</v>
      </c>
    </row>
    <row r="275" spans="3:19">
      <c r="C275" s="9">
        <v>42955</v>
      </c>
      <c r="D275" s="10">
        <v>45979.7</v>
      </c>
      <c r="E275" s="11" t="s">
        <v>79</v>
      </c>
      <c r="F275" s="12">
        <f t="shared" si="16"/>
        <v>-1.0458476216629764E-2</v>
      </c>
      <c r="I275" s="9">
        <v>43389</v>
      </c>
      <c r="J275" s="10">
        <v>8550</v>
      </c>
      <c r="K275" s="11" t="s">
        <v>84</v>
      </c>
      <c r="L275" s="12">
        <f t="shared" si="17"/>
        <v>-9.4759131815775555E-2</v>
      </c>
      <c r="O275" s="9">
        <v>43389</v>
      </c>
      <c r="P275" s="10">
        <v>8550</v>
      </c>
      <c r="Q275" s="11" t="s">
        <v>84</v>
      </c>
      <c r="R275" s="12">
        <f t="shared" si="18"/>
        <v>-9.4759131815775555E-2</v>
      </c>
      <c r="S275" s="12">
        <f t="shared" si="19"/>
        <v>-2.8337472397550467E-3</v>
      </c>
    </row>
    <row r="276" spans="3:19">
      <c r="C276" s="9">
        <v>42956</v>
      </c>
      <c r="D276" s="10">
        <v>45998.81</v>
      </c>
      <c r="E276" s="11" t="s">
        <v>79</v>
      </c>
      <c r="F276" s="12">
        <f t="shared" si="16"/>
        <v>4.1561819672586431E-4</v>
      </c>
      <c r="I276" s="9">
        <v>43378</v>
      </c>
      <c r="J276" s="10">
        <v>9025</v>
      </c>
      <c r="K276" s="11" t="s">
        <v>84</v>
      </c>
      <c r="L276" s="12">
        <f t="shared" si="17"/>
        <v>5.555555555555558E-2</v>
      </c>
      <c r="O276" s="9">
        <v>43378</v>
      </c>
      <c r="P276" s="10">
        <v>9025</v>
      </c>
      <c r="Q276" s="11" t="s">
        <v>84</v>
      </c>
      <c r="R276" s="12">
        <f t="shared" si="18"/>
        <v>5.555555555555558E-2</v>
      </c>
      <c r="S276" s="12">
        <f t="shared" si="19"/>
        <v>-2.1472482932173853E-2</v>
      </c>
    </row>
    <row r="277" spans="3:19">
      <c r="C277" s="9">
        <v>42957</v>
      </c>
      <c r="D277" s="10">
        <v>45634.02</v>
      </c>
      <c r="E277" s="11" t="s">
        <v>79</v>
      </c>
      <c r="F277" s="12">
        <f t="shared" si="16"/>
        <v>-7.9304225478876722E-3</v>
      </c>
      <c r="I277" s="9">
        <v>43375</v>
      </c>
      <c r="J277" s="10">
        <v>9500</v>
      </c>
      <c r="K277" s="11" t="s">
        <v>84</v>
      </c>
      <c r="L277" s="12">
        <f t="shared" si="17"/>
        <v>5.2631578947368363E-2</v>
      </c>
      <c r="O277" s="9">
        <v>43375</v>
      </c>
      <c r="P277" s="10">
        <v>9500</v>
      </c>
      <c r="Q277" s="11" t="s">
        <v>84</v>
      </c>
      <c r="R277" s="12">
        <f t="shared" si="18"/>
        <v>5.2631578947368363E-2</v>
      </c>
      <c r="S277" s="12">
        <f t="shared" si="19"/>
        <v>-3.1564077104402344E-3</v>
      </c>
    </row>
    <row r="278" spans="3:19">
      <c r="C278" s="9">
        <v>42958</v>
      </c>
      <c r="D278" s="10">
        <v>45288.49</v>
      </c>
      <c r="E278" s="11" t="s">
        <v>79</v>
      </c>
      <c r="F278" s="12">
        <f t="shared" si="16"/>
        <v>-7.5717633467311529E-3</v>
      </c>
      <c r="I278" s="9">
        <v>43370</v>
      </c>
      <c r="J278" s="10">
        <v>9401</v>
      </c>
      <c r="K278" s="11" t="s">
        <v>84</v>
      </c>
      <c r="L278" s="12">
        <f t="shared" si="17"/>
        <v>-1.0421052631578998E-2</v>
      </c>
      <c r="O278" s="9">
        <v>43370</v>
      </c>
      <c r="P278" s="10">
        <v>9401</v>
      </c>
      <c r="Q278" s="11" t="s">
        <v>84</v>
      </c>
      <c r="R278" s="12">
        <f t="shared" si="18"/>
        <v>-1.0421052631578998E-2</v>
      </c>
      <c r="S278" s="12">
        <f t="shared" si="19"/>
        <v>-1.420438226336862E-3</v>
      </c>
    </row>
    <row r="279" spans="3:19">
      <c r="C279" s="9">
        <v>42962</v>
      </c>
      <c r="D279" s="10">
        <v>43899.45</v>
      </c>
      <c r="E279" s="11" t="s">
        <v>79</v>
      </c>
      <c r="F279" s="12">
        <f t="shared" si="16"/>
        <v>-3.0670927646295976E-2</v>
      </c>
      <c r="I279" s="9">
        <v>43368</v>
      </c>
      <c r="J279" s="10">
        <v>9499</v>
      </c>
      <c r="K279" s="11" t="s">
        <v>84</v>
      </c>
      <c r="L279" s="12">
        <f t="shared" si="17"/>
        <v>1.0424422933730471E-2</v>
      </c>
      <c r="O279" s="9">
        <v>43368</v>
      </c>
      <c r="P279" s="10">
        <v>9499</v>
      </c>
      <c r="Q279" s="11" t="s">
        <v>84</v>
      </c>
      <c r="R279" s="12">
        <f t="shared" si="18"/>
        <v>1.0424422933730471E-2</v>
      </c>
      <c r="S279" s="12">
        <f t="shared" si="19"/>
        <v>7.743043150090223E-4</v>
      </c>
    </row>
    <row r="280" spans="3:19">
      <c r="C280" s="9">
        <v>42963</v>
      </c>
      <c r="D280" s="10">
        <v>44186.96</v>
      </c>
      <c r="E280" s="11" t="s">
        <v>79</v>
      </c>
      <c r="F280" s="12">
        <f t="shared" si="16"/>
        <v>6.549284786028009E-3</v>
      </c>
      <c r="I280" s="9">
        <v>43367</v>
      </c>
      <c r="J280" s="10">
        <v>9435</v>
      </c>
      <c r="K280" s="11" t="s">
        <v>84</v>
      </c>
      <c r="L280" s="12">
        <f t="shared" si="17"/>
        <v>-6.7375513211916926E-3</v>
      </c>
      <c r="O280" s="9">
        <v>43367</v>
      </c>
      <c r="P280" s="10">
        <v>9435</v>
      </c>
      <c r="Q280" s="11" t="s">
        <v>84</v>
      </c>
      <c r="R280" s="12">
        <f t="shared" si="18"/>
        <v>-6.7375513211916926E-3</v>
      </c>
      <c r="S280" s="12">
        <f t="shared" si="19"/>
        <v>-7.6374396692361346E-3</v>
      </c>
    </row>
    <row r="281" spans="3:19">
      <c r="C281" s="9">
        <v>42964</v>
      </c>
      <c r="D281" s="10">
        <v>43136.06</v>
      </c>
      <c r="E281" s="11" t="s">
        <v>79</v>
      </c>
      <c r="F281" s="12">
        <f t="shared" si="16"/>
        <v>-2.3783034632841926E-2</v>
      </c>
      <c r="I281" s="9">
        <v>43362</v>
      </c>
      <c r="J281" s="10">
        <v>8986</v>
      </c>
      <c r="K281" s="11" t="s">
        <v>84</v>
      </c>
      <c r="L281" s="12">
        <f t="shared" si="17"/>
        <v>-4.7588765235824004E-2</v>
      </c>
      <c r="O281" s="9">
        <v>43362</v>
      </c>
      <c r="P281" s="10">
        <v>8986</v>
      </c>
      <c r="Q281" s="11" t="s">
        <v>84</v>
      </c>
      <c r="R281" s="12">
        <f t="shared" si="18"/>
        <v>-4.7588765235824004E-2</v>
      </c>
      <c r="S281" s="12">
        <f t="shared" si="19"/>
        <v>1.9899088390895603E-3</v>
      </c>
    </row>
    <row r="282" spans="3:19">
      <c r="C282" s="9">
        <v>42965</v>
      </c>
      <c r="D282" s="10">
        <v>43078.38</v>
      </c>
      <c r="E282" s="11" t="s">
        <v>79</v>
      </c>
      <c r="F282" s="12">
        <f t="shared" si="16"/>
        <v>-1.3371643121786736E-3</v>
      </c>
      <c r="I282" s="9">
        <v>43355</v>
      </c>
      <c r="J282" s="10">
        <v>9458.2999999999993</v>
      </c>
      <c r="K282" s="11" t="s">
        <v>84</v>
      </c>
      <c r="L282" s="12">
        <f t="shared" si="17"/>
        <v>5.2559537057645045E-2</v>
      </c>
      <c r="O282" s="9">
        <v>43355</v>
      </c>
      <c r="P282" s="10">
        <v>9458.2999999999993</v>
      </c>
      <c r="Q282" s="11" t="s">
        <v>84</v>
      </c>
      <c r="R282" s="12">
        <f t="shared" si="18"/>
        <v>5.2559537057645045E-2</v>
      </c>
      <c r="S282" s="12">
        <f t="shared" si="19"/>
        <v>-5.8266128191369893E-3</v>
      </c>
    </row>
    <row r="283" spans="3:19">
      <c r="C283" s="9">
        <v>42968</v>
      </c>
      <c r="D283" s="10">
        <v>42153.38</v>
      </c>
      <c r="E283" s="11" t="s">
        <v>79</v>
      </c>
      <c r="F283" s="12">
        <f t="shared" si="16"/>
        <v>-2.1472488055493288E-2</v>
      </c>
      <c r="I283" s="9">
        <v>43349</v>
      </c>
      <c r="J283" s="10">
        <v>9956.1</v>
      </c>
      <c r="K283" s="11" t="s">
        <v>84</v>
      </c>
      <c r="L283" s="12">
        <f t="shared" si="17"/>
        <v>5.2631022488185186E-2</v>
      </c>
      <c r="O283" s="9">
        <v>43349</v>
      </c>
      <c r="P283" s="10">
        <v>9956.1</v>
      </c>
      <c r="Q283" s="11" t="s">
        <v>84</v>
      </c>
      <c r="R283" s="12">
        <f t="shared" si="18"/>
        <v>5.2631022488185186E-2</v>
      </c>
      <c r="S283" s="12">
        <f t="shared" si="19"/>
        <v>-8.5190250296965919E-3</v>
      </c>
    </row>
    <row r="284" spans="3:19">
      <c r="C284" s="9">
        <v>42969</v>
      </c>
      <c r="D284" s="10">
        <v>41983.16</v>
      </c>
      <c r="E284" s="11" t="s">
        <v>79</v>
      </c>
      <c r="F284" s="12">
        <f t="shared" si="16"/>
        <v>-4.0381103484463665E-3</v>
      </c>
      <c r="I284" s="9">
        <v>43342</v>
      </c>
      <c r="J284" s="10">
        <v>10480</v>
      </c>
      <c r="K284" s="11" t="s">
        <v>84</v>
      </c>
      <c r="L284" s="12">
        <f t="shared" si="17"/>
        <v>5.262100621729382E-2</v>
      </c>
      <c r="O284" s="9">
        <v>43342</v>
      </c>
      <c r="P284" s="10">
        <v>10480</v>
      </c>
      <c r="Q284" s="11" t="s">
        <v>84</v>
      </c>
      <c r="R284" s="12">
        <f t="shared" si="18"/>
        <v>5.262100621729382E-2</v>
      </c>
      <c r="S284" s="12">
        <f t="shared" si="19"/>
        <v>-9.1343222537388913E-3</v>
      </c>
    </row>
    <row r="285" spans="3:19">
      <c r="C285" s="9">
        <v>42970</v>
      </c>
      <c r="D285" s="10">
        <v>42910.79</v>
      </c>
      <c r="E285" s="11" t="s">
        <v>79</v>
      </c>
      <c r="F285" s="12">
        <f t="shared" si="16"/>
        <v>2.2095287729651636E-2</v>
      </c>
      <c r="I285" s="9">
        <v>43341</v>
      </c>
      <c r="J285" s="10">
        <v>10560</v>
      </c>
      <c r="K285" s="11" t="s">
        <v>84</v>
      </c>
      <c r="L285" s="12">
        <f t="shared" si="17"/>
        <v>7.6335877862594437E-3</v>
      </c>
      <c r="O285" s="9">
        <v>43341</v>
      </c>
      <c r="P285" s="10">
        <v>10560</v>
      </c>
      <c r="Q285" s="11" t="s">
        <v>84</v>
      </c>
      <c r="R285" s="12">
        <f t="shared" si="18"/>
        <v>7.6335877862594437E-3</v>
      </c>
      <c r="S285" s="12">
        <f t="shared" si="19"/>
        <v>-6.9346262863304586E-3</v>
      </c>
    </row>
    <row r="286" spans="3:19">
      <c r="C286" s="9">
        <v>42971</v>
      </c>
      <c r="D286" s="10">
        <v>42268.62</v>
      </c>
      <c r="E286" s="11" t="s">
        <v>79</v>
      </c>
      <c r="F286" s="12">
        <f t="shared" si="16"/>
        <v>-1.4965233685979684E-2</v>
      </c>
      <c r="I286" s="9">
        <v>43340</v>
      </c>
      <c r="J286" s="10">
        <v>10185</v>
      </c>
      <c r="K286" s="11" t="s">
        <v>84</v>
      </c>
      <c r="L286" s="12">
        <f t="shared" si="17"/>
        <v>-3.5511363636363646E-2</v>
      </c>
      <c r="O286" s="9">
        <v>43340</v>
      </c>
      <c r="P286" s="10">
        <v>10185</v>
      </c>
      <c r="Q286" s="11" t="s">
        <v>84</v>
      </c>
      <c r="R286" s="12">
        <f t="shared" si="18"/>
        <v>-3.5511363636363646E-2</v>
      </c>
      <c r="S286" s="12">
        <f t="shared" si="19"/>
        <v>-4.7094707360585408E-3</v>
      </c>
    </row>
    <row r="287" spans="3:19">
      <c r="C287" s="9">
        <v>42972</v>
      </c>
      <c r="D287" s="10">
        <v>42641.75</v>
      </c>
      <c r="E287" s="11" t="s">
        <v>79</v>
      </c>
      <c r="F287" s="12">
        <f t="shared" si="16"/>
        <v>8.8275888827218374E-3</v>
      </c>
      <c r="I287" s="9">
        <v>43332</v>
      </c>
      <c r="J287" s="10">
        <v>10400</v>
      </c>
      <c r="K287" s="11" t="s">
        <v>84</v>
      </c>
      <c r="L287" s="12">
        <f t="shared" si="17"/>
        <v>2.1109474717722065E-2</v>
      </c>
      <c r="O287" s="9">
        <v>43332</v>
      </c>
      <c r="P287" s="10">
        <v>10400</v>
      </c>
      <c r="Q287" s="11" t="s">
        <v>84</v>
      </c>
      <c r="R287" s="12">
        <f t="shared" si="18"/>
        <v>2.1109474717722065E-2</v>
      </c>
      <c r="S287" s="12">
        <f t="shared" si="19"/>
        <v>-5.0698972026519407E-4</v>
      </c>
    </row>
    <row r="288" spans="3:19">
      <c r="C288" s="9">
        <v>42975</v>
      </c>
      <c r="D288" s="10">
        <v>41974.22</v>
      </c>
      <c r="E288" s="11" t="s">
        <v>79</v>
      </c>
      <c r="F288" s="12">
        <f t="shared" si="16"/>
        <v>-1.5654376286151406E-2</v>
      </c>
      <c r="I288" s="9">
        <v>43329</v>
      </c>
      <c r="J288" s="10">
        <v>10300</v>
      </c>
      <c r="K288" s="11" t="s">
        <v>84</v>
      </c>
      <c r="L288" s="12">
        <f t="shared" si="17"/>
        <v>-9.6153846153845812E-3</v>
      </c>
      <c r="O288" s="9">
        <v>43329</v>
      </c>
      <c r="P288" s="10">
        <v>10300</v>
      </c>
      <c r="Q288" s="11" t="s">
        <v>84</v>
      </c>
      <c r="R288" s="12">
        <f t="shared" si="18"/>
        <v>-9.6153846153845812E-3</v>
      </c>
      <c r="S288" s="12">
        <f t="shared" si="19"/>
        <v>1.1577948942822713E-2</v>
      </c>
    </row>
    <row r="289" spans="3:19">
      <c r="C289" s="9">
        <v>42976</v>
      </c>
      <c r="D289" s="10">
        <v>41233.08</v>
      </c>
      <c r="E289" s="11" t="s">
        <v>79</v>
      </c>
      <c r="F289" s="12">
        <f t="shared" si="16"/>
        <v>-1.7657028528463403E-2</v>
      </c>
      <c r="I289" s="9">
        <v>43321</v>
      </c>
      <c r="J289" s="10">
        <v>10030</v>
      </c>
      <c r="K289" s="11" t="s">
        <v>84</v>
      </c>
      <c r="L289" s="12">
        <f t="shared" si="17"/>
        <v>-2.6213592233009675E-2</v>
      </c>
      <c r="O289" s="9">
        <v>43321</v>
      </c>
      <c r="P289" s="10">
        <v>10030</v>
      </c>
      <c r="Q289" s="11" t="s">
        <v>84</v>
      </c>
      <c r="R289" s="12">
        <f t="shared" si="18"/>
        <v>-2.6213592233009675E-2</v>
      </c>
      <c r="S289" s="12">
        <f t="shared" si="19"/>
        <v>4.4952407875527012E-3</v>
      </c>
    </row>
    <row r="290" spans="3:19">
      <c r="C290" s="9">
        <v>42977</v>
      </c>
      <c r="D290" s="10">
        <v>41323.65</v>
      </c>
      <c r="E290" s="11" t="s">
        <v>79</v>
      </c>
      <c r="F290" s="12">
        <f t="shared" si="16"/>
        <v>2.196537343317484E-3</v>
      </c>
      <c r="I290" s="9">
        <v>43320</v>
      </c>
      <c r="J290" s="10">
        <v>10300</v>
      </c>
      <c r="K290" s="11" t="s">
        <v>84</v>
      </c>
      <c r="L290" s="12">
        <f t="shared" si="17"/>
        <v>2.6919242273180544E-2</v>
      </c>
      <c r="O290" s="9">
        <v>43320</v>
      </c>
      <c r="P290" s="10">
        <v>10300</v>
      </c>
      <c r="Q290" s="11" t="s">
        <v>84</v>
      </c>
      <c r="R290" s="12">
        <f t="shared" si="18"/>
        <v>2.6919242273180544E-2</v>
      </c>
      <c r="S290" s="12">
        <f t="shared" si="19"/>
        <v>-6.6112988898758829E-4</v>
      </c>
    </row>
    <row r="291" spans="3:19">
      <c r="C291" s="9">
        <v>42978</v>
      </c>
      <c r="D291" s="10">
        <v>41206.99</v>
      </c>
      <c r="E291" s="11" t="s">
        <v>79</v>
      </c>
      <c r="F291" s="12">
        <f t="shared" si="16"/>
        <v>-2.8230807298000871E-3</v>
      </c>
      <c r="I291" s="9">
        <v>43319</v>
      </c>
      <c r="J291" s="10">
        <v>10300</v>
      </c>
      <c r="K291" s="11" t="s">
        <v>84</v>
      </c>
      <c r="L291" s="12">
        <f t="shared" si="17"/>
        <v>0</v>
      </c>
      <c r="O291" s="9">
        <v>43319</v>
      </c>
      <c r="P291" s="10">
        <v>10300</v>
      </c>
      <c r="Q291" s="11" t="s">
        <v>84</v>
      </c>
      <c r="R291" s="12">
        <f t="shared" si="18"/>
        <v>0</v>
      </c>
      <c r="S291" s="12">
        <f t="shared" si="19"/>
        <v>-1.1336491261348947E-3</v>
      </c>
    </row>
    <row r="292" spans="3:19">
      <c r="C292" s="9">
        <v>42983</v>
      </c>
      <c r="D292" s="10">
        <v>41779.199999999997</v>
      </c>
      <c r="E292" s="11" t="s">
        <v>79</v>
      </c>
      <c r="F292" s="12">
        <f t="shared" si="16"/>
        <v>1.3886236291464016E-2</v>
      </c>
      <c r="I292" s="9">
        <v>43318</v>
      </c>
      <c r="J292" s="10">
        <v>10200</v>
      </c>
      <c r="K292" s="11" t="s">
        <v>84</v>
      </c>
      <c r="L292" s="12">
        <f t="shared" si="17"/>
        <v>-9.7087378640776656E-3</v>
      </c>
      <c r="O292" s="9">
        <v>43318</v>
      </c>
      <c r="P292" s="10">
        <v>10200</v>
      </c>
      <c r="Q292" s="11" t="s">
        <v>84</v>
      </c>
      <c r="R292" s="12">
        <f t="shared" si="18"/>
        <v>-9.7087378640776656E-3</v>
      </c>
      <c r="S292" s="12">
        <f t="shared" si="19"/>
        <v>7.1429159593978664E-3</v>
      </c>
    </row>
    <row r="293" spans="3:19">
      <c r="C293" s="9">
        <v>42984</v>
      </c>
      <c r="D293" s="10">
        <v>41389.99</v>
      </c>
      <c r="E293" s="11" t="s">
        <v>79</v>
      </c>
      <c r="F293" s="12">
        <f t="shared" si="16"/>
        <v>-9.315879672181393E-3</v>
      </c>
      <c r="I293" s="9">
        <v>43314</v>
      </c>
      <c r="J293" s="10">
        <v>10600</v>
      </c>
      <c r="K293" s="11" t="s">
        <v>84</v>
      </c>
      <c r="L293" s="12">
        <f t="shared" si="17"/>
        <v>3.9215686274509887E-2</v>
      </c>
      <c r="O293" s="9">
        <v>43314</v>
      </c>
      <c r="P293" s="10">
        <v>10600</v>
      </c>
      <c r="Q293" s="11" t="s">
        <v>84</v>
      </c>
      <c r="R293" s="12">
        <f t="shared" si="18"/>
        <v>3.9215686274509887E-2</v>
      </c>
      <c r="S293" s="12">
        <f t="shared" si="19"/>
        <v>-1.1205782568761924E-2</v>
      </c>
    </row>
    <row r="294" spans="3:19">
      <c r="C294" s="9">
        <v>42985</v>
      </c>
      <c r="D294" s="10">
        <v>40958.65</v>
      </c>
      <c r="E294" s="11" t="s">
        <v>79</v>
      </c>
      <c r="F294" s="12">
        <f t="shared" si="16"/>
        <v>-1.0421360333742413E-2</v>
      </c>
      <c r="I294" s="9">
        <v>43313</v>
      </c>
      <c r="J294" s="10">
        <v>10500</v>
      </c>
      <c r="K294" s="11" t="s">
        <v>84</v>
      </c>
      <c r="L294" s="12">
        <f t="shared" si="17"/>
        <v>-9.4339622641509413E-3</v>
      </c>
      <c r="O294" s="9">
        <v>43313</v>
      </c>
      <c r="P294" s="10">
        <v>10500</v>
      </c>
      <c r="Q294" s="11" t="s">
        <v>84</v>
      </c>
      <c r="R294" s="12">
        <f t="shared" si="18"/>
        <v>-9.4339622641509413E-3</v>
      </c>
      <c r="S294" s="12">
        <f t="shared" si="19"/>
        <v>2.2852832301978321E-3</v>
      </c>
    </row>
    <row r="295" spans="3:19">
      <c r="C295" s="9">
        <v>42986</v>
      </c>
      <c r="D295" s="10">
        <v>41401.019999999997</v>
      </c>
      <c r="E295" s="11" t="s">
        <v>79</v>
      </c>
      <c r="F295" s="12">
        <f t="shared" si="16"/>
        <v>1.0800404798497976E-2</v>
      </c>
      <c r="I295" s="9">
        <v>43312</v>
      </c>
      <c r="J295" s="10">
        <v>10699</v>
      </c>
      <c r="K295" s="11" t="s">
        <v>84</v>
      </c>
      <c r="L295" s="12">
        <f t="shared" si="17"/>
        <v>1.8952380952381054E-2</v>
      </c>
      <c r="O295" s="9">
        <v>43312</v>
      </c>
      <c r="P295" s="10">
        <v>10699</v>
      </c>
      <c r="Q295" s="11" t="s">
        <v>84</v>
      </c>
      <c r="R295" s="12">
        <f t="shared" si="18"/>
        <v>1.8952380952381054E-2</v>
      </c>
      <c r="S295" s="12">
        <f t="shared" si="19"/>
        <v>-1.9381664743117089E-2</v>
      </c>
    </row>
    <row r="296" spans="3:19">
      <c r="C296" s="9">
        <v>42989</v>
      </c>
      <c r="D296" s="10">
        <v>41126.83</v>
      </c>
      <c r="E296" s="11" t="s">
        <v>79</v>
      </c>
      <c r="F296" s="12">
        <f t="shared" si="16"/>
        <v>-6.6227836898703485E-3</v>
      </c>
      <c r="I296" s="9">
        <v>43311</v>
      </c>
      <c r="J296" s="10">
        <v>10990</v>
      </c>
      <c r="K296" s="11" t="s">
        <v>84</v>
      </c>
      <c r="L296" s="12">
        <f t="shared" si="17"/>
        <v>2.7198803626507173E-2</v>
      </c>
      <c r="O296" s="9">
        <v>43311</v>
      </c>
      <c r="P296" s="10">
        <v>10990</v>
      </c>
      <c r="Q296" s="11" t="s">
        <v>84</v>
      </c>
      <c r="R296" s="12">
        <f t="shared" si="18"/>
        <v>2.7198803626507173E-2</v>
      </c>
      <c r="S296" s="12">
        <f t="shared" si="19"/>
        <v>1.8000558588057602E-2</v>
      </c>
    </row>
    <row r="297" spans="3:19">
      <c r="C297" s="9">
        <v>42990</v>
      </c>
      <c r="D297" s="10">
        <v>41279.300000000003</v>
      </c>
      <c r="E297" s="11" t="s">
        <v>79</v>
      </c>
      <c r="F297" s="12">
        <f t="shared" si="16"/>
        <v>3.7073122338873166E-3</v>
      </c>
      <c r="I297" s="9">
        <v>43308</v>
      </c>
      <c r="J297" s="10">
        <v>10500</v>
      </c>
      <c r="K297" s="11" t="s">
        <v>84</v>
      </c>
      <c r="L297" s="12">
        <f t="shared" si="17"/>
        <v>-4.4585987261146487E-2</v>
      </c>
      <c r="O297" s="9">
        <v>43308</v>
      </c>
      <c r="P297" s="10">
        <v>10500</v>
      </c>
      <c r="Q297" s="11" t="s">
        <v>84</v>
      </c>
      <c r="R297" s="12">
        <f t="shared" si="18"/>
        <v>-4.4585987261146487E-2</v>
      </c>
      <c r="S297" s="12">
        <f t="shared" si="19"/>
        <v>1.6566973539029917E-2</v>
      </c>
    </row>
    <row r="298" spans="3:19">
      <c r="C298" s="9">
        <v>42991</v>
      </c>
      <c r="D298" s="10">
        <v>42310.12</v>
      </c>
      <c r="E298" s="11" t="s">
        <v>79</v>
      </c>
      <c r="F298" s="12">
        <f t="shared" si="16"/>
        <v>2.4971838185240625E-2</v>
      </c>
      <c r="I298" s="9">
        <v>43305</v>
      </c>
      <c r="J298" s="10">
        <v>10500</v>
      </c>
      <c r="K298" s="11" t="s">
        <v>84</v>
      </c>
      <c r="L298" s="12">
        <f t="shared" si="17"/>
        <v>0</v>
      </c>
      <c r="O298" s="9">
        <v>43305</v>
      </c>
      <c r="P298" s="10">
        <v>10500</v>
      </c>
      <c r="Q298" s="11" t="s">
        <v>84</v>
      </c>
      <c r="R298" s="12">
        <f t="shared" si="18"/>
        <v>0</v>
      </c>
      <c r="S298" s="12">
        <f t="shared" si="19"/>
        <v>2.1630101636072263E-2</v>
      </c>
    </row>
    <row r="299" spans="3:19">
      <c r="C299" s="9">
        <v>42992</v>
      </c>
      <c r="D299" s="10">
        <v>42683.57</v>
      </c>
      <c r="E299" s="11" t="s">
        <v>79</v>
      </c>
      <c r="F299" s="12">
        <f t="shared" si="16"/>
        <v>8.8264935197535088E-3</v>
      </c>
      <c r="I299" s="9">
        <v>43304</v>
      </c>
      <c r="J299" s="10">
        <v>11300</v>
      </c>
      <c r="K299" s="11" t="s">
        <v>84</v>
      </c>
      <c r="L299" s="12">
        <f t="shared" si="17"/>
        <v>7.6190476190476142E-2</v>
      </c>
      <c r="O299" s="9">
        <v>43304</v>
      </c>
      <c r="P299" s="10">
        <v>11300</v>
      </c>
      <c r="Q299" s="11" t="s">
        <v>84</v>
      </c>
      <c r="R299" s="12">
        <f t="shared" si="18"/>
        <v>7.6190476190476142E-2</v>
      </c>
      <c r="S299" s="12">
        <f t="shared" si="19"/>
        <v>-1.8382771231206796E-2</v>
      </c>
    </row>
    <row r="300" spans="3:19">
      <c r="C300" s="9">
        <v>42993</v>
      </c>
      <c r="D300" s="10">
        <v>42787.19</v>
      </c>
      <c r="E300" s="11" t="s">
        <v>79</v>
      </c>
      <c r="F300" s="12">
        <f t="shared" si="16"/>
        <v>2.4276319904825705E-3</v>
      </c>
      <c r="I300" s="9">
        <v>43300</v>
      </c>
      <c r="J300" s="10">
        <v>11009.3</v>
      </c>
      <c r="K300" s="11" t="s">
        <v>84</v>
      </c>
      <c r="L300" s="12">
        <f t="shared" si="17"/>
        <v>-2.5725663716814173E-2</v>
      </c>
      <c r="O300" s="9">
        <v>43300</v>
      </c>
      <c r="P300" s="10">
        <v>11009.3</v>
      </c>
      <c r="Q300" s="11" t="s">
        <v>84</v>
      </c>
      <c r="R300" s="12">
        <f t="shared" si="18"/>
        <v>-2.5725663716814173E-2</v>
      </c>
      <c r="S300" s="12">
        <f t="shared" si="19"/>
        <v>2.194953775132702E-2</v>
      </c>
    </row>
    <row r="301" spans="3:19">
      <c r="C301" s="9">
        <v>42996</v>
      </c>
      <c r="D301" s="10">
        <v>42841.41</v>
      </c>
      <c r="E301" s="11" t="s">
        <v>79</v>
      </c>
      <c r="F301" s="12">
        <f t="shared" si="16"/>
        <v>1.2672017021917448E-3</v>
      </c>
      <c r="I301" s="9">
        <v>43299</v>
      </c>
      <c r="J301" s="10">
        <v>10480</v>
      </c>
      <c r="K301" s="11" t="s">
        <v>84</v>
      </c>
      <c r="L301" s="12">
        <f t="shared" si="17"/>
        <v>-4.8077534448148329E-2</v>
      </c>
      <c r="O301" s="9">
        <v>43299</v>
      </c>
      <c r="P301" s="10">
        <v>10480</v>
      </c>
      <c r="Q301" s="11" t="s">
        <v>84</v>
      </c>
      <c r="R301" s="12">
        <f t="shared" si="18"/>
        <v>-4.8077534448148329E-2</v>
      </c>
      <c r="S301" s="12">
        <f t="shared" si="19"/>
        <v>2.4163485920660088E-2</v>
      </c>
    </row>
    <row r="302" spans="3:19">
      <c r="C302" s="9">
        <v>42997</v>
      </c>
      <c r="D302" s="10">
        <v>43253.26</v>
      </c>
      <c r="E302" s="11" t="s">
        <v>79</v>
      </c>
      <c r="F302" s="12">
        <f t="shared" si="16"/>
        <v>9.6133623986698336E-3</v>
      </c>
      <c r="I302" s="9">
        <v>43298</v>
      </c>
      <c r="J302" s="10">
        <v>10920</v>
      </c>
      <c r="K302" s="11" t="s">
        <v>84</v>
      </c>
      <c r="L302" s="12">
        <f t="shared" si="17"/>
        <v>4.1984732824427384E-2</v>
      </c>
      <c r="O302" s="9">
        <v>43298</v>
      </c>
      <c r="P302" s="10">
        <v>10920</v>
      </c>
      <c r="Q302" s="11" t="s">
        <v>84</v>
      </c>
      <c r="R302" s="12">
        <f t="shared" si="18"/>
        <v>4.1984732824427384E-2</v>
      </c>
      <c r="S302" s="12">
        <f t="shared" si="19"/>
        <v>6.7365388343654242E-3</v>
      </c>
    </row>
    <row r="303" spans="3:19">
      <c r="C303" s="9">
        <v>42998</v>
      </c>
      <c r="D303" s="10">
        <v>43347.03</v>
      </c>
      <c r="E303" s="11" t="s">
        <v>79</v>
      </c>
      <c r="F303" s="12">
        <f t="shared" si="16"/>
        <v>2.1679290763285675E-3</v>
      </c>
      <c r="I303" s="9">
        <v>43292</v>
      </c>
      <c r="J303" s="10">
        <v>10400</v>
      </c>
      <c r="K303" s="11" t="s">
        <v>84</v>
      </c>
      <c r="L303" s="12">
        <f t="shared" si="17"/>
        <v>-4.7619047619047672E-2</v>
      </c>
      <c r="O303" s="9">
        <v>43292</v>
      </c>
      <c r="P303" s="10">
        <v>10400</v>
      </c>
      <c r="Q303" s="11" t="s">
        <v>84</v>
      </c>
      <c r="R303" s="12">
        <f t="shared" si="18"/>
        <v>-4.7619047619047672E-2</v>
      </c>
      <c r="S303" s="12">
        <f t="shared" si="19"/>
        <v>3.3951954246098648E-3</v>
      </c>
    </row>
    <row r="304" spans="3:19">
      <c r="C304" s="9">
        <v>42999</v>
      </c>
      <c r="D304" s="10">
        <v>42775.040000000001</v>
      </c>
      <c r="E304" s="11" t="s">
        <v>79</v>
      </c>
      <c r="F304" s="12">
        <f t="shared" si="16"/>
        <v>-1.3195598406626652E-2</v>
      </c>
      <c r="I304" s="9">
        <v>43291</v>
      </c>
      <c r="J304" s="10">
        <v>11472.3</v>
      </c>
      <c r="K304" s="11" t="s">
        <v>84</v>
      </c>
      <c r="L304" s="12">
        <f t="shared" si="17"/>
        <v>0.10310576923076908</v>
      </c>
      <c r="O304" s="9">
        <v>43291</v>
      </c>
      <c r="P304" s="10">
        <v>11472.3</v>
      </c>
      <c r="Q304" s="11" t="s">
        <v>84</v>
      </c>
      <c r="R304" s="12">
        <f t="shared" si="18"/>
        <v>0.10310576923076908</v>
      </c>
      <c r="S304" s="12">
        <f t="shared" si="19"/>
        <v>4.1826509959153046E-3</v>
      </c>
    </row>
    <row r="305" spans="3:19">
      <c r="C305" s="9">
        <v>43000</v>
      </c>
      <c r="D305" s="10">
        <v>42750.19</v>
      </c>
      <c r="E305" s="11" t="s">
        <v>79</v>
      </c>
      <c r="F305" s="12">
        <f t="shared" si="16"/>
        <v>-5.8094627147042832E-4</v>
      </c>
      <c r="I305" s="9">
        <v>43286</v>
      </c>
      <c r="J305" s="10">
        <v>10926</v>
      </c>
      <c r="K305" s="11" t="s">
        <v>84</v>
      </c>
      <c r="L305" s="12">
        <f t="shared" si="17"/>
        <v>-4.7619047619047561E-2</v>
      </c>
      <c r="O305" s="9">
        <v>43286</v>
      </c>
      <c r="P305" s="10">
        <v>10926</v>
      </c>
      <c r="Q305" s="11" t="s">
        <v>84</v>
      </c>
      <c r="R305" s="12">
        <f t="shared" si="18"/>
        <v>-4.7619047619047561E-2</v>
      </c>
      <c r="S305" s="12">
        <f t="shared" si="19"/>
        <v>-2.6488585642875373E-3</v>
      </c>
    </row>
    <row r="306" spans="3:19">
      <c r="C306" s="9">
        <v>43003</v>
      </c>
      <c r="D306" s="10">
        <v>42743.65</v>
      </c>
      <c r="E306" s="11" t="s">
        <v>79</v>
      </c>
      <c r="F306" s="12">
        <f t="shared" si="16"/>
        <v>-1.5298177622136144E-4</v>
      </c>
      <c r="I306" s="9">
        <v>43285</v>
      </c>
      <c r="J306" s="10">
        <v>11300</v>
      </c>
      <c r="K306" s="11" t="s">
        <v>84</v>
      </c>
      <c r="L306" s="12">
        <f t="shared" si="17"/>
        <v>3.4230276404905835E-2</v>
      </c>
      <c r="O306" s="9">
        <v>43285</v>
      </c>
      <c r="P306" s="10">
        <v>11300</v>
      </c>
      <c r="Q306" s="11" t="s">
        <v>84</v>
      </c>
      <c r="R306" s="12">
        <f t="shared" si="18"/>
        <v>3.4230276404905835E-2</v>
      </c>
      <c r="S306" s="12">
        <f t="shared" si="19"/>
        <v>-2.9321713138304339E-2</v>
      </c>
    </row>
    <row r="307" spans="3:19">
      <c r="C307" s="9">
        <v>43004</v>
      </c>
      <c r="D307" s="10">
        <v>42666.23</v>
      </c>
      <c r="E307" s="11" t="s">
        <v>79</v>
      </c>
      <c r="F307" s="12">
        <f t="shared" si="16"/>
        <v>-1.8112631934801282E-3</v>
      </c>
      <c r="I307" s="9">
        <v>43278</v>
      </c>
      <c r="J307" s="10">
        <v>11500</v>
      </c>
      <c r="K307" s="11" t="s">
        <v>84</v>
      </c>
      <c r="L307" s="12">
        <f t="shared" si="17"/>
        <v>1.7699115044247815E-2</v>
      </c>
      <c r="O307" s="9">
        <v>43278</v>
      </c>
      <c r="P307" s="10">
        <v>11500</v>
      </c>
      <c r="Q307" s="11" t="s">
        <v>84</v>
      </c>
      <c r="R307" s="12">
        <f t="shared" si="18"/>
        <v>1.7699115044247815E-2</v>
      </c>
      <c r="S307" s="12">
        <f t="shared" si="19"/>
        <v>1.1441084476128571E-2</v>
      </c>
    </row>
    <row r="308" spans="3:19">
      <c r="C308" s="9">
        <v>43005</v>
      </c>
      <c r="D308" s="10">
        <v>42290.15</v>
      </c>
      <c r="E308" s="11" t="s">
        <v>79</v>
      </c>
      <c r="F308" s="12">
        <f t="shared" si="16"/>
        <v>-8.8144652105424104E-3</v>
      </c>
      <c r="I308" s="9">
        <v>43271</v>
      </c>
      <c r="J308" s="10">
        <v>11400</v>
      </c>
      <c r="K308" s="11" t="s">
        <v>84</v>
      </c>
      <c r="L308" s="12">
        <f t="shared" si="17"/>
        <v>-8.6956521739129933E-3</v>
      </c>
      <c r="O308" s="9">
        <v>43271</v>
      </c>
      <c r="P308" s="10">
        <v>11400</v>
      </c>
      <c r="Q308" s="11" t="s">
        <v>84</v>
      </c>
      <c r="R308" s="12">
        <f t="shared" si="18"/>
        <v>-8.6956521739129933E-3</v>
      </c>
      <c r="S308" s="12">
        <f t="shared" si="19"/>
        <v>-1.5566982366530979E-2</v>
      </c>
    </row>
    <row r="309" spans="3:19">
      <c r="C309" s="9">
        <v>43006</v>
      </c>
      <c r="D309" s="10">
        <v>42362.87</v>
      </c>
      <c r="E309" s="11" t="s">
        <v>79</v>
      </c>
      <c r="F309" s="12">
        <f t="shared" si="16"/>
        <v>1.7195493513264548E-3</v>
      </c>
      <c r="I309" s="9">
        <v>43255</v>
      </c>
      <c r="J309" s="10">
        <v>11500</v>
      </c>
      <c r="K309" s="11" t="s">
        <v>84</v>
      </c>
      <c r="L309" s="12">
        <f t="shared" si="17"/>
        <v>8.7719298245614308E-3</v>
      </c>
      <c r="O309" s="9">
        <v>43255</v>
      </c>
      <c r="P309" s="10">
        <v>11500</v>
      </c>
      <c r="Q309" s="11" t="s">
        <v>84</v>
      </c>
      <c r="R309" s="12">
        <f t="shared" si="18"/>
        <v>8.7719298245614308E-3</v>
      </c>
      <c r="S309" s="12">
        <f t="shared" si="19"/>
        <v>8.2837735398824108E-3</v>
      </c>
    </row>
    <row r="310" spans="3:19">
      <c r="C310" s="9">
        <v>43007</v>
      </c>
      <c r="D310" s="10">
        <v>42409.27</v>
      </c>
      <c r="E310" s="11" t="s">
        <v>79</v>
      </c>
      <c r="F310" s="12">
        <f t="shared" si="16"/>
        <v>1.0952987840529005E-3</v>
      </c>
      <c r="I310" s="9">
        <v>43252</v>
      </c>
      <c r="J310" s="10">
        <v>12000</v>
      </c>
      <c r="K310" s="11" t="s">
        <v>84</v>
      </c>
      <c r="L310" s="12">
        <f t="shared" si="17"/>
        <v>4.3478260869565188E-2</v>
      </c>
      <c r="O310" s="9">
        <v>43252</v>
      </c>
      <c r="P310" s="10">
        <v>12000</v>
      </c>
      <c r="Q310" s="11" t="s">
        <v>84</v>
      </c>
      <c r="R310" s="12">
        <f t="shared" si="18"/>
        <v>4.3478260869565188E-2</v>
      </c>
      <c r="S310" s="12">
        <f t="shared" si="19"/>
        <v>1.5443451341807801E-3</v>
      </c>
    </row>
    <row r="311" spans="3:19">
      <c r="C311" s="9">
        <v>43010</v>
      </c>
      <c r="D311" s="10">
        <v>42018.9</v>
      </c>
      <c r="E311" s="11" t="s">
        <v>79</v>
      </c>
      <c r="F311" s="12">
        <f t="shared" si="16"/>
        <v>-9.2048271521767422E-3</v>
      </c>
      <c r="I311" s="9">
        <v>43235</v>
      </c>
      <c r="J311" s="10">
        <v>11970.1</v>
      </c>
      <c r="K311" s="11" t="s">
        <v>84</v>
      </c>
      <c r="L311" s="12">
        <f t="shared" si="17"/>
        <v>-2.4916666666666698E-3</v>
      </c>
      <c r="O311" s="9">
        <v>43235</v>
      </c>
      <c r="P311" s="10">
        <v>11970.1</v>
      </c>
      <c r="Q311" s="11" t="s">
        <v>84</v>
      </c>
      <c r="R311" s="12">
        <f t="shared" si="18"/>
        <v>-2.4916666666666698E-3</v>
      </c>
      <c r="S311" s="12">
        <f t="shared" si="19"/>
        <v>-9.2543658818144969E-4</v>
      </c>
    </row>
    <row r="312" spans="3:19">
      <c r="C312" s="9">
        <v>43011</v>
      </c>
      <c r="D312" s="10">
        <v>41115.78</v>
      </c>
      <c r="E312" s="11" t="s">
        <v>79</v>
      </c>
      <c r="F312" s="12">
        <f t="shared" si="16"/>
        <v>-2.1493185209512933E-2</v>
      </c>
      <c r="I312" s="9">
        <v>43229</v>
      </c>
      <c r="J312" s="10">
        <v>12600</v>
      </c>
      <c r="K312" s="11" t="s">
        <v>84</v>
      </c>
      <c r="L312" s="12">
        <f t="shared" si="17"/>
        <v>5.2622785106222869E-2</v>
      </c>
      <c r="O312" s="9">
        <v>43229</v>
      </c>
      <c r="P312" s="10">
        <v>12600</v>
      </c>
      <c r="Q312" s="11" t="s">
        <v>84</v>
      </c>
      <c r="R312" s="12">
        <f t="shared" si="18"/>
        <v>5.2622785106222869E-2</v>
      </c>
      <c r="S312" s="12">
        <f t="shared" si="19"/>
        <v>-6.1715171638796473E-3</v>
      </c>
    </row>
    <row r="313" spans="3:19">
      <c r="C313" s="9">
        <v>43012</v>
      </c>
      <c r="D313" s="10">
        <v>40461</v>
      </c>
      <c r="E313" s="11" t="s">
        <v>79</v>
      </c>
      <c r="F313" s="12">
        <f t="shared" si="16"/>
        <v>-1.59252724866219E-2</v>
      </c>
      <c r="I313" s="9">
        <v>43216</v>
      </c>
      <c r="J313" s="10">
        <v>12600</v>
      </c>
      <c r="K313" s="11" t="s">
        <v>84</v>
      </c>
      <c r="L313" s="12">
        <f t="shared" si="17"/>
        <v>0</v>
      </c>
      <c r="O313" s="9">
        <v>43216</v>
      </c>
      <c r="P313" s="10">
        <v>12600</v>
      </c>
      <c r="Q313" s="11" t="s">
        <v>84</v>
      </c>
      <c r="R313" s="12">
        <f t="shared" si="18"/>
        <v>0</v>
      </c>
      <c r="S313" s="12">
        <f t="shared" si="19"/>
        <v>-5.6316567924380445E-3</v>
      </c>
    </row>
    <row r="314" spans="3:19">
      <c r="C314" s="9">
        <v>43013</v>
      </c>
      <c r="D314" s="10">
        <v>40468.49</v>
      </c>
      <c r="E314" s="11" t="s">
        <v>79</v>
      </c>
      <c r="F314" s="12">
        <f t="shared" si="16"/>
        <v>1.8511653196906508E-4</v>
      </c>
      <c r="I314" s="9">
        <v>43209</v>
      </c>
      <c r="J314" s="10">
        <v>12700</v>
      </c>
      <c r="K314" s="11" t="s">
        <v>84</v>
      </c>
      <c r="L314" s="12">
        <f t="shared" si="17"/>
        <v>7.9365079365079083E-3</v>
      </c>
      <c r="O314" s="9">
        <v>43209</v>
      </c>
      <c r="P314" s="10">
        <v>12700</v>
      </c>
      <c r="Q314" s="11" t="s">
        <v>84</v>
      </c>
      <c r="R314" s="12">
        <f t="shared" si="18"/>
        <v>7.9365079365079083E-3</v>
      </c>
      <c r="S314" s="12">
        <f t="shared" si="19"/>
        <v>-1.9978614131516137E-3</v>
      </c>
    </row>
    <row r="315" spans="3:19">
      <c r="C315" s="9">
        <v>43014</v>
      </c>
      <c r="D315" s="10">
        <v>41312.589999999997</v>
      </c>
      <c r="E315" s="11" t="s">
        <v>79</v>
      </c>
      <c r="F315" s="12">
        <f t="shared" si="16"/>
        <v>2.0858203505986994E-2</v>
      </c>
      <c r="I315" s="9">
        <v>43208</v>
      </c>
      <c r="J315" s="10">
        <v>12600</v>
      </c>
      <c r="K315" s="11" t="s">
        <v>84</v>
      </c>
      <c r="L315" s="12">
        <f t="shared" si="17"/>
        <v>-7.8740157480314821E-3</v>
      </c>
      <c r="O315" s="9">
        <v>43208</v>
      </c>
      <c r="P315" s="10">
        <v>12600</v>
      </c>
      <c r="Q315" s="11" t="s">
        <v>84</v>
      </c>
      <c r="R315" s="12">
        <f t="shared" si="18"/>
        <v>-7.8740157480314821E-3</v>
      </c>
      <c r="S315" s="12">
        <f t="shared" si="19"/>
        <v>-7.0543186905823729E-3</v>
      </c>
    </row>
    <row r="316" spans="3:19">
      <c r="C316" s="9">
        <v>43017</v>
      </c>
      <c r="D316" s="10">
        <v>41099.99</v>
      </c>
      <c r="E316" s="11" t="s">
        <v>79</v>
      </c>
      <c r="F316" s="12">
        <f t="shared" si="16"/>
        <v>-5.1461309978386716E-3</v>
      </c>
      <c r="I316" s="9">
        <v>43207</v>
      </c>
      <c r="J316" s="10">
        <v>12600</v>
      </c>
      <c r="K316" s="11" t="s">
        <v>84</v>
      </c>
      <c r="L316" s="12">
        <f t="shared" si="17"/>
        <v>0</v>
      </c>
      <c r="O316" s="9">
        <v>43207</v>
      </c>
      <c r="P316" s="10">
        <v>12600</v>
      </c>
      <c r="Q316" s="11" t="s">
        <v>84</v>
      </c>
      <c r="R316" s="12">
        <f t="shared" si="18"/>
        <v>0</v>
      </c>
      <c r="S316" s="12">
        <f t="shared" si="19"/>
        <v>2.615677339815381E-3</v>
      </c>
    </row>
    <row r="317" spans="3:19">
      <c r="C317" s="9">
        <v>43018</v>
      </c>
      <c r="D317" s="10">
        <v>40610.720000000001</v>
      </c>
      <c r="E317" s="11" t="s">
        <v>79</v>
      </c>
      <c r="F317" s="12">
        <f t="shared" si="16"/>
        <v>-1.1904382458487128E-2</v>
      </c>
      <c r="I317" s="9">
        <v>43202</v>
      </c>
      <c r="J317" s="10">
        <v>12511</v>
      </c>
      <c r="K317" s="11" t="s">
        <v>84</v>
      </c>
      <c r="L317" s="12">
        <f t="shared" si="17"/>
        <v>-7.063492063492105E-3</v>
      </c>
      <c r="O317" s="9">
        <v>43202</v>
      </c>
      <c r="P317" s="10">
        <v>12511</v>
      </c>
      <c r="Q317" s="11" t="s">
        <v>84</v>
      </c>
      <c r="R317" s="12">
        <f t="shared" si="18"/>
        <v>-7.063492063492105E-3</v>
      </c>
      <c r="S317" s="12">
        <f t="shared" si="19"/>
        <v>-3.3295695157883332E-3</v>
      </c>
    </row>
    <row r="318" spans="3:19">
      <c r="C318" s="9">
        <v>43019</v>
      </c>
      <c r="D318" s="10">
        <v>40503.68</v>
      </c>
      <c r="E318" s="11" t="s">
        <v>79</v>
      </c>
      <c r="F318" s="12">
        <f t="shared" si="16"/>
        <v>-2.6357572581821032E-3</v>
      </c>
      <c r="I318" s="9">
        <v>43201</v>
      </c>
      <c r="J318" s="10">
        <v>12850</v>
      </c>
      <c r="K318" s="11" t="s">
        <v>84</v>
      </c>
      <c r="L318" s="12">
        <f t="shared" si="17"/>
        <v>2.709615538326271E-2</v>
      </c>
      <c r="O318" s="9">
        <v>43201</v>
      </c>
      <c r="P318" s="10">
        <v>12850</v>
      </c>
      <c r="Q318" s="11" t="s">
        <v>84</v>
      </c>
      <c r="R318" s="12">
        <f t="shared" si="18"/>
        <v>2.709615538326271E-2</v>
      </c>
      <c r="S318" s="12">
        <f t="shared" si="19"/>
        <v>2.0999756222073174E-4</v>
      </c>
    </row>
    <row r="319" spans="3:19">
      <c r="C319" s="9">
        <v>43020</v>
      </c>
      <c r="D319" s="10">
        <v>40237.53</v>
      </c>
      <c r="E319" s="11" t="s">
        <v>79</v>
      </c>
      <c r="F319" s="12">
        <f t="shared" si="16"/>
        <v>-6.5710078689146245E-3</v>
      </c>
      <c r="I319" s="9">
        <v>43200</v>
      </c>
      <c r="J319" s="10">
        <v>12980</v>
      </c>
      <c r="K319" s="11" t="s">
        <v>84</v>
      </c>
      <c r="L319" s="12">
        <f t="shared" si="17"/>
        <v>1.0116731517509692E-2</v>
      </c>
      <c r="O319" s="9">
        <v>43200</v>
      </c>
      <c r="P319" s="10">
        <v>12980</v>
      </c>
      <c r="Q319" s="11" t="s">
        <v>84</v>
      </c>
      <c r="R319" s="12">
        <f t="shared" si="18"/>
        <v>1.0116731517509692E-2</v>
      </c>
      <c r="S319" s="12">
        <f t="shared" si="19"/>
        <v>-2.2303266895116192E-3</v>
      </c>
    </row>
    <row r="320" spans="3:19">
      <c r="C320" s="9">
        <v>43021</v>
      </c>
      <c r="D320" s="10">
        <v>39846.78</v>
      </c>
      <c r="E320" s="11" t="s">
        <v>79</v>
      </c>
      <c r="F320" s="12">
        <f t="shared" si="16"/>
        <v>-9.7110831604225734E-3</v>
      </c>
      <c r="I320" s="9">
        <v>43199</v>
      </c>
      <c r="J320" s="10">
        <v>12750</v>
      </c>
      <c r="K320" s="11" t="s">
        <v>84</v>
      </c>
      <c r="L320" s="12">
        <f t="shared" si="17"/>
        <v>-1.7719568567026167E-2</v>
      </c>
      <c r="O320" s="9">
        <v>43199</v>
      </c>
      <c r="P320" s="10">
        <v>12750</v>
      </c>
      <c r="Q320" s="11" t="s">
        <v>84</v>
      </c>
      <c r="R320" s="12">
        <f t="shared" si="18"/>
        <v>-1.7719568567026167E-2</v>
      </c>
      <c r="S320" s="12">
        <f t="shared" si="19"/>
        <v>-1.2221892969667136E-3</v>
      </c>
    </row>
    <row r="321" spans="3:19">
      <c r="C321" s="9">
        <v>43024</v>
      </c>
      <c r="D321" s="10">
        <v>40791.39</v>
      </c>
      <c r="E321" s="11" t="s">
        <v>79</v>
      </c>
      <c r="F321" s="12">
        <f t="shared" si="16"/>
        <v>2.3706056047690716E-2</v>
      </c>
      <c r="I321" s="9">
        <v>43196</v>
      </c>
      <c r="J321" s="10">
        <v>12800</v>
      </c>
      <c r="K321" s="11" t="s">
        <v>84</v>
      </c>
      <c r="L321" s="12">
        <f t="shared" si="17"/>
        <v>3.9215686274509665E-3</v>
      </c>
      <c r="O321" s="9">
        <v>43196</v>
      </c>
      <c r="P321" s="10">
        <v>12800</v>
      </c>
      <c r="Q321" s="11" t="s">
        <v>84</v>
      </c>
      <c r="R321" s="12">
        <f t="shared" si="18"/>
        <v>3.9215686274509665E-3</v>
      </c>
      <c r="S321" s="12">
        <f t="shared" si="19"/>
        <v>1.649455486393947E-3</v>
      </c>
    </row>
    <row r="322" spans="3:19">
      <c r="C322" s="9">
        <v>43025</v>
      </c>
      <c r="D322" s="10">
        <v>40724.959999999999</v>
      </c>
      <c r="E322" s="11" t="s">
        <v>79</v>
      </c>
      <c r="F322" s="12">
        <f t="shared" si="16"/>
        <v>-1.6285299422255095E-3</v>
      </c>
      <c r="I322" s="9">
        <v>43195</v>
      </c>
      <c r="J322" s="10">
        <v>12800</v>
      </c>
      <c r="K322" s="11" t="s">
        <v>84</v>
      </c>
      <c r="L322" s="12">
        <f t="shared" si="17"/>
        <v>0</v>
      </c>
      <c r="O322" s="9">
        <v>43195</v>
      </c>
      <c r="P322" s="10">
        <v>12800</v>
      </c>
      <c r="Q322" s="11" t="s">
        <v>84</v>
      </c>
      <c r="R322" s="12">
        <f t="shared" si="18"/>
        <v>0</v>
      </c>
      <c r="S322" s="12">
        <f t="shared" si="19"/>
        <v>9.9170108371122723E-3</v>
      </c>
    </row>
    <row r="323" spans="3:19">
      <c r="C323" s="9">
        <v>43026</v>
      </c>
      <c r="D323" s="10">
        <v>40733.449999999997</v>
      </c>
      <c r="E323" s="11" t="s">
        <v>79</v>
      </c>
      <c r="F323" s="12">
        <f t="shared" si="16"/>
        <v>2.0847165964066328E-4</v>
      </c>
      <c r="I323" s="9">
        <v>43194</v>
      </c>
      <c r="J323" s="10">
        <v>12800</v>
      </c>
      <c r="K323" s="11" t="s">
        <v>84</v>
      </c>
      <c r="L323" s="12">
        <f t="shared" si="17"/>
        <v>0</v>
      </c>
      <c r="O323" s="9">
        <v>43194</v>
      </c>
      <c r="P323" s="10">
        <v>12800</v>
      </c>
      <c r="Q323" s="11" t="s">
        <v>84</v>
      </c>
      <c r="R323" s="12">
        <f t="shared" si="18"/>
        <v>0</v>
      </c>
      <c r="S323" s="12">
        <f t="shared" si="19"/>
        <v>1.961822375858846E-3</v>
      </c>
    </row>
    <row r="324" spans="3:19">
      <c r="C324" s="9">
        <v>43027</v>
      </c>
      <c r="D324" s="10">
        <v>41558.07</v>
      </c>
      <c r="E324" s="11" t="s">
        <v>79</v>
      </c>
      <c r="F324" s="12">
        <f t="shared" si="16"/>
        <v>2.0244295535978507E-2</v>
      </c>
      <c r="I324" s="9">
        <v>43192</v>
      </c>
      <c r="J324" s="10">
        <v>12939</v>
      </c>
      <c r="K324" s="11" t="s">
        <v>84</v>
      </c>
      <c r="L324" s="12">
        <f t="shared" si="17"/>
        <v>1.0859374999999893E-2</v>
      </c>
      <c r="O324" s="9">
        <v>43192</v>
      </c>
      <c r="P324" s="10">
        <v>12939</v>
      </c>
      <c r="Q324" s="11" t="s">
        <v>84</v>
      </c>
      <c r="R324" s="12">
        <f t="shared" si="18"/>
        <v>1.0859374999999893E-2</v>
      </c>
      <c r="S324" s="12">
        <f t="shared" si="19"/>
        <v>3.9756103449712921E-3</v>
      </c>
    </row>
    <row r="325" spans="3:19">
      <c r="C325" s="9">
        <v>43028</v>
      </c>
      <c r="D325" s="10">
        <v>42087.89</v>
      </c>
      <c r="E325" s="11" t="s">
        <v>79</v>
      </c>
      <c r="F325" s="12">
        <f t="shared" si="16"/>
        <v>1.2748907733203252E-2</v>
      </c>
      <c r="I325" s="9">
        <v>43188</v>
      </c>
      <c r="J325" s="10">
        <v>12650</v>
      </c>
      <c r="K325" s="11" t="s">
        <v>84</v>
      </c>
      <c r="L325" s="12">
        <f t="shared" si="17"/>
        <v>-2.2335574619367748E-2</v>
      </c>
      <c r="O325" s="9">
        <v>43188</v>
      </c>
      <c r="P325" s="10">
        <v>12650</v>
      </c>
      <c r="Q325" s="11" t="s">
        <v>84</v>
      </c>
      <c r="R325" s="12">
        <f t="shared" si="18"/>
        <v>-2.2335574619367748E-2</v>
      </c>
      <c r="S325" s="12">
        <f t="shared" si="19"/>
        <v>7.0092770038026053E-3</v>
      </c>
    </row>
    <row r="326" spans="3:19">
      <c r="C326" s="9">
        <v>43031</v>
      </c>
      <c r="D326" s="10">
        <v>41483.54</v>
      </c>
      <c r="E326" s="11" t="s">
        <v>79</v>
      </c>
      <c r="F326" s="12">
        <f t="shared" si="16"/>
        <v>-1.4359237300800687E-2</v>
      </c>
      <c r="I326" s="9">
        <v>43186</v>
      </c>
      <c r="J326" s="10">
        <v>12350</v>
      </c>
      <c r="K326" s="11" t="s">
        <v>84</v>
      </c>
      <c r="L326" s="12">
        <f t="shared" si="17"/>
        <v>-2.371541501976282E-2</v>
      </c>
      <c r="O326" s="9">
        <v>43186</v>
      </c>
      <c r="P326" s="10">
        <v>12350</v>
      </c>
      <c r="Q326" s="11" t="s">
        <v>84</v>
      </c>
      <c r="R326" s="12">
        <f t="shared" si="18"/>
        <v>-2.371541501976282E-2</v>
      </c>
      <c r="S326" s="12">
        <f t="shared" si="19"/>
        <v>-1.7607301285146315E-3</v>
      </c>
    </row>
    <row r="327" spans="3:19">
      <c r="C327" s="9">
        <v>43032</v>
      </c>
      <c r="D327" s="10">
        <v>41291.68</v>
      </c>
      <c r="E327" s="11" t="s">
        <v>79</v>
      </c>
      <c r="F327" s="12">
        <f t="shared" ref="F327:F390" si="20">D327/D326-1</f>
        <v>-4.6249669145883576E-3</v>
      </c>
      <c r="I327" s="9">
        <v>43179</v>
      </c>
      <c r="J327" s="10">
        <v>12350</v>
      </c>
      <c r="K327" s="11" t="s">
        <v>84</v>
      </c>
      <c r="L327" s="12">
        <f t="shared" ref="L327:L390" si="21">J327/J326-1</f>
        <v>0</v>
      </c>
      <c r="O327" s="9">
        <v>43179</v>
      </c>
      <c r="P327" s="10">
        <v>12350</v>
      </c>
      <c r="Q327" s="11" t="s">
        <v>84</v>
      </c>
      <c r="R327" s="12">
        <f t="shared" ref="R327:R390" si="22">P327/P326-1</f>
        <v>0</v>
      </c>
      <c r="S327" s="12">
        <f t="shared" ref="S327:S390" si="23">VLOOKUP(O327,$C$5:$F$989,4,)</f>
        <v>1.7688265395180425E-2</v>
      </c>
    </row>
    <row r="328" spans="3:19">
      <c r="C328" s="9">
        <v>43033</v>
      </c>
      <c r="D328" s="10">
        <v>41595.32</v>
      </c>
      <c r="E328" s="11" t="s">
        <v>79</v>
      </c>
      <c r="F328" s="12">
        <f t="shared" si="20"/>
        <v>7.3535395023889283E-3</v>
      </c>
      <c r="I328" s="9">
        <v>43178</v>
      </c>
      <c r="J328" s="10">
        <v>12350</v>
      </c>
      <c r="K328" s="11" t="s">
        <v>84</v>
      </c>
      <c r="L328" s="12">
        <f t="shared" si="21"/>
        <v>0</v>
      </c>
      <c r="O328" s="9">
        <v>43178</v>
      </c>
      <c r="P328" s="10">
        <v>12350</v>
      </c>
      <c r="Q328" s="11" t="s">
        <v>84</v>
      </c>
      <c r="R328" s="12">
        <f t="shared" si="22"/>
        <v>0</v>
      </c>
      <c r="S328" s="12">
        <f t="shared" si="23"/>
        <v>4.0677339154551184E-3</v>
      </c>
    </row>
    <row r="329" spans="3:19">
      <c r="C329" s="9">
        <v>43034</v>
      </c>
      <c r="D329" s="10">
        <v>41409.49</v>
      </c>
      <c r="E329" s="11" t="s">
        <v>79</v>
      </c>
      <c r="F329" s="12">
        <f t="shared" si="20"/>
        <v>-4.4675699093071897E-3</v>
      </c>
      <c r="I329" s="9">
        <v>43175</v>
      </c>
      <c r="J329" s="10">
        <v>12350</v>
      </c>
      <c r="K329" s="11" t="s">
        <v>84</v>
      </c>
      <c r="L329" s="12">
        <f t="shared" si="21"/>
        <v>0</v>
      </c>
      <c r="O329" s="9">
        <v>43175</v>
      </c>
      <c r="P329" s="10">
        <v>12350</v>
      </c>
      <c r="Q329" s="11" t="s">
        <v>84</v>
      </c>
      <c r="R329" s="12">
        <f t="shared" si="22"/>
        <v>0</v>
      </c>
      <c r="S329" s="12">
        <f t="shared" si="23"/>
        <v>-3.0316079500504189E-3</v>
      </c>
    </row>
    <row r="330" spans="3:19">
      <c r="C330" s="9">
        <v>43035</v>
      </c>
      <c r="D330" s="10">
        <v>41105.4</v>
      </c>
      <c r="E330" s="11" t="s">
        <v>79</v>
      </c>
      <c r="F330" s="12">
        <f t="shared" si="20"/>
        <v>-7.3434857565257694E-3</v>
      </c>
      <c r="I330" s="9">
        <v>43174</v>
      </c>
      <c r="J330" s="10">
        <v>12350</v>
      </c>
      <c r="K330" s="11" t="s">
        <v>84</v>
      </c>
      <c r="L330" s="12">
        <f t="shared" si="21"/>
        <v>0</v>
      </c>
      <c r="O330" s="9">
        <v>43174</v>
      </c>
      <c r="P330" s="10">
        <v>12350</v>
      </c>
      <c r="Q330" s="11" t="s">
        <v>84</v>
      </c>
      <c r="R330" s="12">
        <f t="shared" si="22"/>
        <v>0</v>
      </c>
      <c r="S330" s="12">
        <f t="shared" si="23"/>
        <v>2.0123148601216556E-3</v>
      </c>
    </row>
    <row r="331" spans="3:19">
      <c r="C331" s="9">
        <v>43038</v>
      </c>
      <c r="D331" s="10">
        <v>40324.32</v>
      </c>
      <c r="E331" s="11" t="s">
        <v>79</v>
      </c>
      <c r="F331" s="12">
        <f t="shared" si="20"/>
        <v>-1.9001882964282069E-2</v>
      </c>
      <c r="I331" s="9">
        <v>43172</v>
      </c>
      <c r="J331" s="10">
        <v>12350</v>
      </c>
      <c r="K331" s="11" t="s">
        <v>84</v>
      </c>
      <c r="L331" s="12">
        <f t="shared" si="21"/>
        <v>0</v>
      </c>
      <c r="O331" s="9">
        <v>43172</v>
      </c>
      <c r="P331" s="10">
        <v>12350</v>
      </c>
      <c r="Q331" s="11" t="s">
        <v>84</v>
      </c>
      <c r="R331" s="12">
        <f t="shared" si="22"/>
        <v>0</v>
      </c>
      <c r="S331" s="12">
        <f t="shared" si="23"/>
        <v>4.7716093619740718E-3</v>
      </c>
    </row>
    <row r="332" spans="3:19">
      <c r="C332" s="9">
        <v>43039</v>
      </c>
      <c r="D332" s="10">
        <v>39617.19</v>
      </c>
      <c r="E332" s="11" t="s">
        <v>79</v>
      </c>
      <c r="F332" s="12">
        <f t="shared" si="20"/>
        <v>-1.7536067564189461E-2</v>
      </c>
      <c r="I332" s="9">
        <v>43171</v>
      </c>
      <c r="J332" s="10">
        <v>12250</v>
      </c>
      <c r="K332" s="11" t="s">
        <v>84</v>
      </c>
      <c r="L332" s="12">
        <f t="shared" si="21"/>
        <v>-8.0971659919027994E-3</v>
      </c>
      <c r="O332" s="9">
        <v>43171</v>
      </c>
      <c r="P332" s="10">
        <v>12250</v>
      </c>
      <c r="Q332" s="11" t="s">
        <v>84</v>
      </c>
      <c r="R332" s="12">
        <f t="shared" si="22"/>
        <v>-8.0971659919027994E-3</v>
      </c>
      <c r="S332" s="12">
        <f t="shared" si="23"/>
        <v>9.2922178982899339E-3</v>
      </c>
    </row>
    <row r="333" spans="3:19">
      <c r="C333" s="9">
        <v>43040</v>
      </c>
      <c r="D333" s="10">
        <v>40453.64</v>
      </c>
      <c r="E333" s="11" t="s">
        <v>79</v>
      </c>
      <c r="F333" s="12">
        <f t="shared" si="20"/>
        <v>2.1113309651694001E-2</v>
      </c>
      <c r="I333" s="9">
        <v>43168</v>
      </c>
      <c r="J333" s="10">
        <v>12299</v>
      </c>
      <c r="K333" s="11" t="s">
        <v>84</v>
      </c>
      <c r="L333" s="12">
        <f t="shared" si="21"/>
        <v>4.0000000000000036E-3</v>
      </c>
      <c r="O333" s="9">
        <v>43168</v>
      </c>
      <c r="P333" s="10">
        <v>12299</v>
      </c>
      <c r="Q333" s="11" t="s">
        <v>84</v>
      </c>
      <c r="R333" s="12">
        <f t="shared" si="22"/>
        <v>4.0000000000000036E-3</v>
      </c>
      <c r="S333" s="12">
        <f t="shared" si="23"/>
        <v>-1.4273528918753442E-3</v>
      </c>
    </row>
    <row r="334" spans="3:19">
      <c r="C334" s="9">
        <v>43041</v>
      </c>
      <c r="D334" s="10">
        <v>40498.870000000003</v>
      </c>
      <c r="E334" s="11" t="s">
        <v>79</v>
      </c>
      <c r="F334" s="12">
        <f t="shared" si="20"/>
        <v>1.1180699684874007E-3</v>
      </c>
      <c r="I334" s="9">
        <v>43167</v>
      </c>
      <c r="J334" s="10">
        <v>12222.2</v>
      </c>
      <c r="K334" s="11" t="s">
        <v>84</v>
      </c>
      <c r="L334" s="12">
        <f t="shared" si="21"/>
        <v>-6.2444101146433839E-3</v>
      </c>
      <c r="O334" s="9">
        <v>43167</v>
      </c>
      <c r="P334" s="10">
        <v>12222.2</v>
      </c>
      <c r="Q334" s="11" t="s">
        <v>84</v>
      </c>
      <c r="R334" s="12">
        <f t="shared" si="22"/>
        <v>-6.2444101146433839E-3</v>
      </c>
      <c r="S334" s="12">
        <f t="shared" si="23"/>
        <v>-8.481353407066794E-3</v>
      </c>
    </row>
    <row r="335" spans="3:19">
      <c r="C335" s="9">
        <v>43042</v>
      </c>
      <c r="D335" s="10">
        <v>41064</v>
      </c>
      <c r="E335" s="11" t="s">
        <v>79</v>
      </c>
      <c r="F335" s="12">
        <f t="shared" si="20"/>
        <v>1.395421650036166E-2</v>
      </c>
      <c r="I335" s="9">
        <v>43165</v>
      </c>
      <c r="J335" s="10">
        <v>12599</v>
      </c>
      <c r="K335" s="11" t="s">
        <v>84</v>
      </c>
      <c r="L335" s="12">
        <f t="shared" si="21"/>
        <v>3.0829146962085385E-2</v>
      </c>
      <c r="O335" s="9">
        <v>43165</v>
      </c>
      <c r="P335" s="10">
        <v>12599</v>
      </c>
      <c r="Q335" s="11" t="s">
        <v>84</v>
      </c>
      <c r="R335" s="12">
        <f t="shared" si="22"/>
        <v>3.0829146962085385E-2</v>
      </c>
      <c r="S335" s="12">
        <f t="shared" si="23"/>
        <v>-2.8284880331707063E-3</v>
      </c>
    </row>
    <row r="336" spans="3:19">
      <c r="C336" s="9">
        <v>43045</v>
      </c>
      <c r="D336" s="10">
        <v>41030.769999999997</v>
      </c>
      <c r="E336" s="11" t="s">
        <v>79</v>
      </c>
      <c r="F336" s="12">
        <f t="shared" si="20"/>
        <v>-8.092246249756796E-4</v>
      </c>
      <c r="I336" s="9">
        <v>43164</v>
      </c>
      <c r="J336" s="10">
        <v>12600</v>
      </c>
      <c r="K336" s="11" t="s">
        <v>84</v>
      </c>
      <c r="L336" s="12">
        <f t="shared" si="21"/>
        <v>7.9371378680859195E-5</v>
      </c>
      <c r="O336" s="9">
        <v>43164</v>
      </c>
      <c r="P336" s="10">
        <v>12600</v>
      </c>
      <c r="Q336" s="11" t="s">
        <v>84</v>
      </c>
      <c r="R336" s="12">
        <f t="shared" si="22"/>
        <v>7.9371378680859195E-5</v>
      </c>
      <c r="S336" s="12">
        <f t="shared" si="23"/>
        <v>2.025125918799775E-3</v>
      </c>
    </row>
    <row r="337" spans="3:19">
      <c r="C337" s="9">
        <v>43046</v>
      </c>
      <c r="D337" s="10">
        <v>41049.22</v>
      </c>
      <c r="E337" s="11" t="s">
        <v>79</v>
      </c>
      <c r="F337" s="12">
        <f t="shared" si="20"/>
        <v>4.4966253375222642E-4</v>
      </c>
      <c r="I337" s="9">
        <v>43161</v>
      </c>
      <c r="J337" s="10">
        <v>12495</v>
      </c>
      <c r="K337" s="11" t="s">
        <v>84</v>
      </c>
      <c r="L337" s="12">
        <f t="shared" si="21"/>
        <v>-8.3333333333333037E-3</v>
      </c>
      <c r="O337" s="9">
        <v>43161</v>
      </c>
      <c r="P337" s="10">
        <v>12495</v>
      </c>
      <c r="Q337" s="11" t="s">
        <v>84</v>
      </c>
      <c r="R337" s="12">
        <f t="shared" si="22"/>
        <v>-8.3333333333333037E-3</v>
      </c>
      <c r="S337" s="12">
        <f t="shared" si="23"/>
        <v>5.288392036936429E-3</v>
      </c>
    </row>
    <row r="338" spans="3:19">
      <c r="C338" s="9">
        <v>43047</v>
      </c>
      <c r="D338" s="10">
        <v>41259.160000000003</v>
      </c>
      <c r="E338" s="11" t="s">
        <v>79</v>
      </c>
      <c r="F338" s="12">
        <f t="shared" si="20"/>
        <v>5.114348092363219E-3</v>
      </c>
      <c r="I338" s="9">
        <v>43158</v>
      </c>
      <c r="J338" s="10">
        <v>11900</v>
      </c>
      <c r="K338" s="11" t="s">
        <v>84</v>
      </c>
      <c r="L338" s="12">
        <f t="shared" si="21"/>
        <v>-4.7619047619047672E-2</v>
      </c>
      <c r="O338" s="9">
        <v>43158</v>
      </c>
      <c r="P338" s="10">
        <v>11900</v>
      </c>
      <c r="Q338" s="11" t="s">
        <v>84</v>
      </c>
      <c r="R338" s="12">
        <f t="shared" si="22"/>
        <v>-4.7619047619047672E-2</v>
      </c>
      <c r="S338" s="12">
        <f t="shared" si="23"/>
        <v>1.9561408701076477E-3</v>
      </c>
    </row>
    <row r="339" spans="3:19">
      <c r="C339" s="9">
        <v>43048</v>
      </c>
      <c r="D339" s="10">
        <v>41790.160000000003</v>
      </c>
      <c r="E339" s="11" t="s">
        <v>79</v>
      </c>
      <c r="F339" s="12">
        <f t="shared" si="20"/>
        <v>1.2869869381732402E-2</v>
      </c>
      <c r="I339" s="9">
        <v>43157</v>
      </c>
      <c r="J339" s="10">
        <v>11900</v>
      </c>
      <c r="K339" s="11" t="s">
        <v>84</v>
      </c>
      <c r="L339" s="12">
        <f t="shared" si="21"/>
        <v>0</v>
      </c>
      <c r="O339" s="9">
        <v>43157</v>
      </c>
      <c r="P339" s="10">
        <v>11900</v>
      </c>
      <c r="Q339" s="11" t="s">
        <v>84</v>
      </c>
      <c r="R339" s="12">
        <f t="shared" si="22"/>
        <v>0</v>
      </c>
      <c r="S339" s="12">
        <f t="shared" si="23"/>
        <v>-8.2321019155388031E-3</v>
      </c>
    </row>
    <row r="340" spans="3:19">
      <c r="C340" s="9">
        <v>43049</v>
      </c>
      <c r="D340" s="10">
        <v>41435.699999999997</v>
      </c>
      <c r="E340" s="11" t="s">
        <v>79</v>
      </c>
      <c r="F340" s="12">
        <f t="shared" si="20"/>
        <v>-8.4819010025327657E-3</v>
      </c>
      <c r="I340" s="9">
        <v>43154</v>
      </c>
      <c r="J340" s="10">
        <v>11970</v>
      </c>
      <c r="K340" s="11" t="s">
        <v>84</v>
      </c>
      <c r="L340" s="12">
        <f t="shared" si="21"/>
        <v>5.8823529411764497E-3</v>
      </c>
      <c r="O340" s="9">
        <v>43154</v>
      </c>
      <c r="P340" s="10">
        <v>11970</v>
      </c>
      <c r="Q340" s="11" t="s">
        <v>84</v>
      </c>
      <c r="R340" s="12">
        <f t="shared" si="22"/>
        <v>5.8823529411764497E-3</v>
      </c>
      <c r="S340" s="12">
        <f t="shared" si="23"/>
        <v>-6.0031919309897486E-3</v>
      </c>
    </row>
    <row r="341" spans="3:19">
      <c r="C341" s="9">
        <v>43052</v>
      </c>
      <c r="D341" s="10">
        <v>41239.89</v>
      </c>
      <c r="E341" s="11" t="s">
        <v>79</v>
      </c>
      <c r="F341" s="12">
        <f t="shared" si="20"/>
        <v>-4.7256351407118924E-3</v>
      </c>
      <c r="I341" s="9">
        <v>43153</v>
      </c>
      <c r="J341" s="10">
        <v>12074</v>
      </c>
      <c r="K341" s="11" t="s">
        <v>84</v>
      </c>
      <c r="L341" s="12">
        <f t="shared" si="21"/>
        <v>8.6883876357559675E-3</v>
      </c>
      <c r="O341" s="9">
        <v>43153</v>
      </c>
      <c r="P341" s="10">
        <v>12074</v>
      </c>
      <c r="Q341" s="11" t="s">
        <v>84</v>
      </c>
      <c r="R341" s="12">
        <f t="shared" si="22"/>
        <v>8.6883876357559675E-3</v>
      </c>
      <c r="S341" s="12">
        <f t="shared" si="23"/>
        <v>1.4182971114949927E-2</v>
      </c>
    </row>
    <row r="342" spans="3:19">
      <c r="C342" s="9">
        <v>43053</v>
      </c>
      <c r="D342" s="10">
        <v>40943.78</v>
      </c>
      <c r="E342" s="11" t="s">
        <v>79</v>
      </c>
      <c r="F342" s="12">
        <f t="shared" si="20"/>
        <v>-7.1801840402581085E-3</v>
      </c>
      <c r="I342" s="9">
        <v>43152</v>
      </c>
      <c r="J342" s="10">
        <v>11500</v>
      </c>
      <c r="K342" s="11" t="s">
        <v>84</v>
      </c>
      <c r="L342" s="12">
        <f t="shared" si="21"/>
        <v>-4.7540168958091766E-2</v>
      </c>
      <c r="O342" s="9">
        <v>43152</v>
      </c>
      <c r="P342" s="10">
        <v>11500</v>
      </c>
      <c r="Q342" s="11" t="s">
        <v>84</v>
      </c>
      <c r="R342" s="12">
        <f t="shared" si="22"/>
        <v>-4.7540168958091766E-2</v>
      </c>
      <c r="S342" s="12">
        <f t="shared" si="23"/>
        <v>-8.6654448151574082E-3</v>
      </c>
    </row>
    <row r="343" spans="3:19">
      <c r="C343" s="9">
        <v>43054</v>
      </c>
      <c r="D343" s="10">
        <v>40662.79</v>
      </c>
      <c r="E343" s="11" t="s">
        <v>79</v>
      </c>
      <c r="F343" s="12">
        <f t="shared" si="20"/>
        <v>-6.8628250737962082E-3</v>
      </c>
      <c r="I343" s="9">
        <v>43150</v>
      </c>
      <c r="J343" s="10">
        <v>11500</v>
      </c>
      <c r="K343" s="11" t="s">
        <v>84</v>
      </c>
      <c r="L343" s="12">
        <f t="shared" si="21"/>
        <v>0</v>
      </c>
      <c r="O343" s="9">
        <v>43150</v>
      </c>
      <c r="P343" s="10">
        <v>11500</v>
      </c>
      <c r="Q343" s="11" t="s">
        <v>84</v>
      </c>
      <c r="R343" s="12">
        <f t="shared" si="22"/>
        <v>0</v>
      </c>
      <c r="S343" s="12">
        <f t="shared" si="23"/>
        <v>-1.2476190257890707E-3</v>
      </c>
    </row>
    <row r="344" spans="3:19">
      <c r="C344" s="9">
        <v>43055</v>
      </c>
      <c r="D344" s="10">
        <v>40813.31</v>
      </c>
      <c r="E344" s="11" t="s">
        <v>79</v>
      </c>
      <c r="F344" s="12">
        <f t="shared" si="20"/>
        <v>3.70166434718322E-3</v>
      </c>
      <c r="I344" s="9">
        <v>43147</v>
      </c>
      <c r="J344" s="10">
        <v>11560</v>
      </c>
      <c r="K344" s="11" t="s">
        <v>84</v>
      </c>
      <c r="L344" s="12">
        <f t="shared" si="21"/>
        <v>5.2173913043478404E-3</v>
      </c>
      <c r="O344" s="9">
        <v>43147</v>
      </c>
      <c r="P344" s="10">
        <v>11560</v>
      </c>
      <c r="Q344" s="11" t="s">
        <v>84</v>
      </c>
      <c r="R344" s="12">
        <f t="shared" si="22"/>
        <v>5.2173913043478404E-3</v>
      </c>
      <c r="S344" s="12">
        <f t="shared" si="23"/>
        <v>1.5945797097736802E-2</v>
      </c>
    </row>
    <row r="345" spans="3:19">
      <c r="C345" s="9">
        <v>43056</v>
      </c>
      <c r="D345" s="10">
        <v>40844.400000000001</v>
      </c>
      <c r="E345" s="11" t="s">
        <v>79</v>
      </c>
      <c r="F345" s="12">
        <f t="shared" si="20"/>
        <v>7.6176129796889924E-4</v>
      </c>
      <c r="I345" s="9">
        <v>43146</v>
      </c>
      <c r="J345" s="10">
        <v>11010</v>
      </c>
      <c r="K345" s="11" t="s">
        <v>84</v>
      </c>
      <c r="L345" s="12">
        <f t="shared" si="21"/>
        <v>-4.7577854671280284E-2</v>
      </c>
      <c r="O345" s="9">
        <v>43146</v>
      </c>
      <c r="P345" s="10">
        <v>11010</v>
      </c>
      <c r="Q345" s="11" t="s">
        <v>84</v>
      </c>
      <c r="R345" s="12">
        <f t="shared" si="22"/>
        <v>-4.7577854671280284E-2</v>
      </c>
      <c r="S345" s="12">
        <f t="shared" si="23"/>
        <v>-9.4731534397588524E-3</v>
      </c>
    </row>
    <row r="346" spans="3:19">
      <c r="C346" s="9">
        <v>43059</v>
      </c>
      <c r="D346" s="10">
        <v>40316.93</v>
      </c>
      <c r="E346" s="11" t="s">
        <v>79</v>
      </c>
      <c r="F346" s="12">
        <f t="shared" si="20"/>
        <v>-1.2914132659556765E-2</v>
      </c>
      <c r="I346" s="9">
        <v>43143</v>
      </c>
      <c r="J346" s="10">
        <v>11500</v>
      </c>
      <c r="K346" s="11" t="s">
        <v>84</v>
      </c>
      <c r="L346" s="12">
        <f t="shared" si="21"/>
        <v>4.4504995458674035E-2</v>
      </c>
      <c r="O346" s="9">
        <v>43143</v>
      </c>
      <c r="P346" s="10">
        <v>11500</v>
      </c>
      <c r="Q346" s="11" t="s">
        <v>84</v>
      </c>
      <c r="R346" s="12">
        <f t="shared" si="22"/>
        <v>4.4504995458674035E-2</v>
      </c>
      <c r="S346" s="12">
        <f t="shared" si="23"/>
        <v>-6.7045890323406132E-3</v>
      </c>
    </row>
    <row r="347" spans="3:19">
      <c r="C347" s="9">
        <v>43060</v>
      </c>
      <c r="D347" s="10">
        <v>40548.83</v>
      </c>
      <c r="E347" s="11" t="s">
        <v>79</v>
      </c>
      <c r="F347" s="12">
        <f t="shared" si="20"/>
        <v>5.7519260519092175E-3</v>
      </c>
      <c r="I347" s="9">
        <v>43133</v>
      </c>
      <c r="J347" s="10">
        <v>11504</v>
      </c>
      <c r="K347" s="11" t="s">
        <v>84</v>
      </c>
      <c r="L347" s="12">
        <f t="shared" si="21"/>
        <v>3.4782608695649309E-4</v>
      </c>
      <c r="O347" s="9">
        <v>43133</v>
      </c>
      <c r="P347" s="10">
        <v>11504</v>
      </c>
      <c r="Q347" s="11" t="s">
        <v>84</v>
      </c>
      <c r="R347" s="12">
        <f t="shared" si="22"/>
        <v>3.4782608695649309E-4</v>
      </c>
      <c r="S347" s="12">
        <f t="shared" si="23"/>
        <v>1.0330923989525509E-3</v>
      </c>
    </row>
    <row r="348" spans="3:19">
      <c r="C348" s="9">
        <v>43061</v>
      </c>
      <c r="D348" s="10">
        <v>40591.870000000003</v>
      </c>
      <c r="E348" s="11" t="s">
        <v>79</v>
      </c>
      <c r="F348" s="12">
        <f t="shared" si="20"/>
        <v>1.0614362979153302E-3</v>
      </c>
      <c r="I348" s="9">
        <v>43132</v>
      </c>
      <c r="J348" s="10">
        <v>11050</v>
      </c>
      <c r="K348" s="11" t="s">
        <v>84</v>
      </c>
      <c r="L348" s="12">
        <f t="shared" si="21"/>
        <v>-3.9464534075104307E-2</v>
      </c>
      <c r="O348" s="9">
        <v>43132</v>
      </c>
      <c r="P348" s="10">
        <v>11050</v>
      </c>
      <c r="Q348" s="11" t="s">
        <v>84</v>
      </c>
      <c r="R348" s="12">
        <f t="shared" si="22"/>
        <v>-3.9464534075104307E-2</v>
      </c>
      <c r="S348" s="12">
        <f t="shared" si="23"/>
        <v>4.6863666753311772E-3</v>
      </c>
    </row>
    <row r="349" spans="3:19">
      <c r="C349" s="9">
        <v>43062</v>
      </c>
      <c r="D349" s="10">
        <v>40266.21</v>
      </c>
      <c r="E349" s="11" t="s">
        <v>79</v>
      </c>
      <c r="F349" s="12">
        <f t="shared" si="20"/>
        <v>-8.0227887998262082E-3</v>
      </c>
      <c r="I349" s="9">
        <v>43131</v>
      </c>
      <c r="J349" s="10">
        <v>11020</v>
      </c>
      <c r="K349" s="11" t="s">
        <v>84</v>
      </c>
      <c r="L349" s="12">
        <f t="shared" si="21"/>
        <v>-2.7149321266968229E-3</v>
      </c>
      <c r="O349" s="9">
        <v>43131</v>
      </c>
      <c r="P349" s="10">
        <v>11020</v>
      </c>
      <c r="Q349" s="11" t="s">
        <v>84</v>
      </c>
      <c r="R349" s="12">
        <f t="shared" si="22"/>
        <v>-2.7149321266968229E-3</v>
      </c>
      <c r="S349" s="12">
        <f t="shared" si="23"/>
        <v>-4.1611363071689667E-3</v>
      </c>
    </row>
    <row r="350" spans="3:19">
      <c r="C350" s="9">
        <v>43063</v>
      </c>
      <c r="D350" s="10">
        <v>40248.410000000003</v>
      </c>
      <c r="E350" s="11" t="s">
        <v>79</v>
      </c>
      <c r="F350" s="12">
        <f t="shared" si="20"/>
        <v>-4.420579935383584E-4</v>
      </c>
      <c r="I350" s="9">
        <v>43129</v>
      </c>
      <c r="J350" s="10">
        <v>11600</v>
      </c>
      <c r="K350" s="11" t="s">
        <v>84</v>
      </c>
      <c r="L350" s="12">
        <f t="shared" si="21"/>
        <v>5.2631578947368363E-2</v>
      </c>
      <c r="O350" s="9">
        <v>43129</v>
      </c>
      <c r="P350" s="10">
        <v>11600</v>
      </c>
      <c r="Q350" s="11" t="s">
        <v>84</v>
      </c>
      <c r="R350" s="12">
        <f t="shared" si="22"/>
        <v>5.2631578947368363E-2</v>
      </c>
      <c r="S350" s="12">
        <f t="shared" si="23"/>
        <v>-2.1061194182951937E-3</v>
      </c>
    </row>
    <row r="351" spans="3:19">
      <c r="C351" s="9">
        <v>43066</v>
      </c>
      <c r="D351" s="10">
        <v>40032.17</v>
      </c>
      <c r="E351" s="11" t="s">
        <v>79</v>
      </c>
      <c r="F351" s="12">
        <f t="shared" si="20"/>
        <v>-5.3726345960003474E-3</v>
      </c>
      <c r="I351" s="9">
        <v>43126</v>
      </c>
      <c r="J351" s="10">
        <v>11850</v>
      </c>
      <c r="K351" s="11" t="s">
        <v>84</v>
      </c>
      <c r="L351" s="12">
        <f t="shared" si="21"/>
        <v>2.155172413793105E-2</v>
      </c>
      <c r="O351" s="9">
        <v>43126</v>
      </c>
      <c r="P351" s="10">
        <v>11850</v>
      </c>
      <c r="Q351" s="11" t="s">
        <v>84</v>
      </c>
      <c r="R351" s="12">
        <f t="shared" si="22"/>
        <v>2.155172413793105E-2</v>
      </c>
      <c r="S351" s="12">
        <f t="shared" si="23"/>
        <v>-5.9259146867318702E-3</v>
      </c>
    </row>
    <row r="352" spans="3:19">
      <c r="C352" s="9">
        <v>43067</v>
      </c>
      <c r="D352" s="10">
        <v>39634.129999999997</v>
      </c>
      <c r="E352" s="11" t="s">
        <v>79</v>
      </c>
      <c r="F352" s="12">
        <f t="shared" si="20"/>
        <v>-9.9430033395642159E-3</v>
      </c>
      <c r="I352" s="9">
        <v>43125</v>
      </c>
      <c r="J352" s="10">
        <v>11850</v>
      </c>
      <c r="K352" s="11" t="s">
        <v>84</v>
      </c>
      <c r="L352" s="12">
        <f t="shared" si="21"/>
        <v>0</v>
      </c>
      <c r="O352" s="9">
        <v>43125</v>
      </c>
      <c r="P352" s="10">
        <v>11850</v>
      </c>
      <c r="Q352" s="11" t="s">
        <v>84</v>
      </c>
      <c r="R352" s="12">
        <f t="shared" si="22"/>
        <v>0</v>
      </c>
      <c r="S352" s="12">
        <f t="shared" si="23"/>
        <v>-5.470094118905422E-3</v>
      </c>
    </row>
    <row r="353" spans="3:19">
      <c r="C353" s="9">
        <v>43068</v>
      </c>
      <c r="D353" s="10">
        <v>39672.89</v>
      </c>
      <c r="E353" s="11" t="s">
        <v>79</v>
      </c>
      <c r="F353" s="12">
        <f t="shared" si="20"/>
        <v>9.7794501859893579E-4</v>
      </c>
      <c r="I353" s="9">
        <v>43124</v>
      </c>
      <c r="J353" s="10">
        <v>12099</v>
      </c>
      <c r="K353" s="11" t="s">
        <v>84</v>
      </c>
      <c r="L353" s="12">
        <f t="shared" si="21"/>
        <v>2.1012658227848036E-2</v>
      </c>
      <c r="O353" s="9">
        <v>43124</v>
      </c>
      <c r="P353" s="10">
        <v>12099</v>
      </c>
      <c r="Q353" s="11" t="s">
        <v>84</v>
      </c>
      <c r="R353" s="12">
        <f t="shared" si="22"/>
        <v>2.1012658227848036E-2</v>
      </c>
      <c r="S353" s="12">
        <f t="shared" si="23"/>
        <v>3.4740531585135681E-3</v>
      </c>
    </row>
    <row r="354" spans="3:19">
      <c r="C354" s="9">
        <v>43069</v>
      </c>
      <c r="D354" s="10">
        <v>40010.36</v>
      </c>
      <c r="E354" s="11" t="s">
        <v>79</v>
      </c>
      <c r="F354" s="12">
        <f t="shared" si="20"/>
        <v>8.5063124970226056E-3</v>
      </c>
      <c r="I354" s="9">
        <v>43123</v>
      </c>
      <c r="J354" s="10">
        <v>11899</v>
      </c>
      <c r="K354" s="11" t="s">
        <v>84</v>
      </c>
      <c r="L354" s="12">
        <f t="shared" si="21"/>
        <v>-1.6530291759649596E-2</v>
      </c>
      <c r="O354" s="9">
        <v>43123</v>
      </c>
      <c r="P354" s="10">
        <v>11899</v>
      </c>
      <c r="Q354" s="11" t="s">
        <v>84</v>
      </c>
      <c r="R354" s="12">
        <f t="shared" si="22"/>
        <v>-1.6530291759649596E-2</v>
      </c>
      <c r="S354" s="12">
        <f t="shared" si="23"/>
        <v>2.118149062901864E-4</v>
      </c>
    </row>
    <row r="355" spans="3:19">
      <c r="C355" s="9">
        <v>43073</v>
      </c>
      <c r="D355" s="10">
        <v>40049.800000000003</v>
      </c>
      <c r="E355" s="11" t="s">
        <v>79</v>
      </c>
      <c r="F355" s="12">
        <f t="shared" si="20"/>
        <v>9.8574469212486804E-4</v>
      </c>
      <c r="I355" s="9">
        <v>43119</v>
      </c>
      <c r="J355" s="10">
        <v>11339</v>
      </c>
      <c r="K355" s="11" t="s">
        <v>84</v>
      </c>
      <c r="L355" s="12">
        <f t="shared" si="21"/>
        <v>-4.7062778384738269E-2</v>
      </c>
      <c r="O355" s="9">
        <v>43119</v>
      </c>
      <c r="P355" s="10">
        <v>11339</v>
      </c>
      <c r="Q355" s="11" t="s">
        <v>84</v>
      </c>
      <c r="R355" s="12">
        <f t="shared" si="22"/>
        <v>-4.7062778384738269E-2</v>
      </c>
      <c r="S355" s="12">
        <f t="shared" si="23"/>
        <v>1.3720466406369036E-2</v>
      </c>
    </row>
    <row r="356" spans="3:19">
      <c r="C356" s="9">
        <v>43074</v>
      </c>
      <c r="D356" s="10">
        <v>39945.410000000003</v>
      </c>
      <c r="E356" s="11" t="s">
        <v>79</v>
      </c>
      <c r="F356" s="12">
        <f t="shared" si="20"/>
        <v>-2.6065049013977992E-3</v>
      </c>
      <c r="I356" s="9">
        <v>43117</v>
      </c>
      <c r="J356" s="10">
        <v>10800</v>
      </c>
      <c r="K356" s="11" t="s">
        <v>84</v>
      </c>
      <c r="L356" s="12">
        <f t="shared" si="21"/>
        <v>-4.7535056001411058E-2</v>
      </c>
      <c r="O356" s="9">
        <v>43117</v>
      </c>
      <c r="P356" s="10">
        <v>10800</v>
      </c>
      <c r="Q356" s="11" t="s">
        <v>84</v>
      </c>
      <c r="R356" s="12">
        <f t="shared" si="22"/>
        <v>-4.7535056001411058E-2</v>
      </c>
      <c r="S356" s="12">
        <f t="shared" si="23"/>
        <v>9.7646279618293086E-3</v>
      </c>
    </row>
    <row r="357" spans="3:19">
      <c r="C357" s="9">
        <v>43075</v>
      </c>
      <c r="D357" s="10">
        <v>39907.32</v>
      </c>
      <c r="E357" s="11" t="s">
        <v>79</v>
      </c>
      <c r="F357" s="12">
        <f t="shared" si="20"/>
        <v>-9.5355135921759704E-4</v>
      </c>
      <c r="I357" s="9">
        <v>43116</v>
      </c>
      <c r="J357" s="10">
        <v>10500</v>
      </c>
      <c r="K357" s="11" t="s">
        <v>84</v>
      </c>
      <c r="L357" s="12">
        <f t="shared" si="21"/>
        <v>-2.777777777777779E-2</v>
      </c>
      <c r="O357" s="9">
        <v>43116</v>
      </c>
      <c r="P357" s="10">
        <v>10500</v>
      </c>
      <c r="Q357" s="11" t="s">
        <v>84</v>
      </c>
      <c r="R357" s="12">
        <f t="shared" si="22"/>
        <v>-2.777777777777779E-2</v>
      </c>
      <c r="S357" s="12">
        <f t="shared" si="23"/>
        <v>1.3984063754427956E-2</v>
      </c>
    </row>
    <row r="358" spans="3:19">
      <c r="C358" s="9">
        <v>43076</v>
      </c>
      <c r="D358" s="10">
        <v>38784.660000000003</v>
      </c>
      <c r="E358" s="11" t="s">
        <v>79</v>
      </c>
      <c r="F358" s="12">
        <f t="shared" si="20"/>
        <v>-2.8131681105120432E-2</v>
      </c>
      <c r="I358" s="9">
        <v>43112</v>
      </c>
      <c r="J358" s="10">
        <v>10900</v>
      </c>
      <c r="K358" s="11" t="s">
        <v>84</v>
      </c>
      <c r="L358" s="12">
        <f t="shared" si="21"/>
        <v>3.8095238095238182E-2</v>
      </c>
      <c r="O358" s="9">
        <v>43112</v>
      </c>
      <c r="P358" s="10">
        <v>10900</v>
      </c>
      <c r="Q358" s="11" t="s">
        <v>84</v>
      </c>
      <c r="R358" s="12">
        <f t="shared" si="22"/>
        <v>3.8095238095238182E-2</v>
      </c>
      <c r="S358" s="12">
        <f t="shared" si="23"/>
        <v>-1.0636179787294808E-2</v>
      </c>
    </row>
    <row r="359" spans="3:19">
      <c r="C359" s="9">
        <v>43077</v>
      </c>
      <c r="D359" s="10">
        <v>39080</v>
      </c>
      <c r="E359" s="11" t="s">
        <v>79</v>
      </c>
      <c r="F359" s="12">
        <f t="shared" si="20"/>
        <v>7.6148662899195863E-3</v>
      </c>
      <c r="I359" s="9">
        <v>43108</v>
      </c>
      <c r="J359" s="10">
        <v>11400</v>
      </c>
      <c r="K359" s="11" t="s">
        <v>84</v>
      </c>
      <c r="L359" s="12">
        <f t="shared" si="21"/>
        <v>4.587155963302747E-2</v>
      </c>
      <c r="O359" s="9">
        <v>43108</v>
      </c>
      <c r="P359" s="10">
        <v>11400</v>
      </c>
      <c r="Q359" s="11" t="s">
        <v>84</v>
      </c>
      <c r="R359" s="12">
        <f t="shared" si="22"/>
        <v>4.587155963302747E-2</v>
      </c>
      <c r="S359" s="12">
        <f t="shared" si="23"/>
        <v>1.3830546004737654E-2</v>
      </c>
    </row>
    <row r="360" spans="3:19">
      <c r="C360" s="9">
        <v>43080</v>
      </c>
      <c r="D360" s="10">
        <v>38481.699999999997</v>
      </c>
      <c r="E360" s="11" t="s">
        <v>79</v>
      </c>
      <c r="F360" s="12">
        <f t="shared" si="20"/>
        <v>-1.530962128966229E-2</v>
      </c>
      <c r="I360" s="9">
        <v>43105</v>
      </c>
      <c r="J360" s="10">
        <v>11700</v>
      </c>
      <c r="K360" s="11" t="s">
        <v>84</v>
      </c>
      <c r="L360" s="12">
        <f t="shared" si="21"/>
        <v>2.6315789473684292E-2</v>
      </c>
      <c r="O360" s="9">
        <v>43105</v>
      </c>
      <c r="P360" s="10">
        <v>11700</v>
      </c>
      <c r="Q360" s="11" t="s">
        <v>84</v>
      </c>
      <c r="R360" s="12">
        <f t="shared" si="22"/>
        <v>2.6315789473684292E-2</v>
      </c>
      <c r="S360" s="12">
        <f t="shared" si="23"/>
        <v>1.4681434957076966E-2</v>
      </c>
    </row>
    <row r="361" spans="3:19">
      <c r="C361" s="9">
        <v>43081</v>
      </c>
      <c r="D361" s="10">
        <v>38525.11</v>
      </c>
      <c r="E361" s="11" t="s">
        <v>79</v>
      </c>
      <c r="F361" s="12">
        <f t="shared" si="20"/>
        <v>1.1280686664052464E-3</v>
      </c>
      <c r="I361" s="9">
        <v>43104</v>
      </c>
      <c r="J361" s="10">
        <v>11190</v>
      </c>
      <c r="K361" s="11" t="s">
        <v>84</v>
      </c>
      <c r="L361" s="12">
        <f t="shared" si="21"/>
        <v>-4.3589743589743546E-2</v>
      </c>
      <c r="O361" s="9">
        <v>43104</v>
      </c>
      <c r="P361" s="10">
        <v>11190</v>
      </c>
      <c r="Q361" s="11" t="s">
        <v>84</v>
      </c>
      <c r="R361" s="12">
        <f t="shared" si="22"/>
        <v>-4.3589743589743546E-2</v>
      </c>
      <c r="S361" s="12">
        <f t="shared" si="23"/>
        <v>8.7723288915655395E-3</v>
      </c>
    </row>
    <row r="362" spans="3:19">
      <c r="C362" s="9">
        <v>43082</v>
      </c>
      <c r="D362" s="10">
        <v>38819.65</v>
      </c>
      <c r="E362" s="11" t="s">
        <v>79</v>
      </c>
      <c r="F362" s="12">
        <f t="shared" si="20"/>
        <v>7.6454032188357779E-3</v>
      </c>
      <c r="I362" s="9">
        <v>43103</v>
      </c>
      <c r="J362" s="10">
        <v>10926.1</v>
      </c>
      <c r="K362" s="11" t="s">
        <v>84</v>
      </c>
      <c r="L362" s="12">
        <f t="shared" si="21"/>
        <v>-2.3583556747095558E-2</v>
      </c>
      <c r="O362" s="9">
        <v>43103</v>
      </c>
      <c r="P362" s="10">
        <v>10926.1</v>
      </c>
      <c r="Q362" s="11" t="s">
        <v>84</v>
      </c>
      <c r="R362" s="12">
        <f t="shared" si="22"/>
        <v>-2.3583556747095558E-2</v>
      </c>
      <c r="S362" s="12">
        <f t="shared" si="23"/>
        <v>1.3835702717508447E-3</v>
      </c>
    </row>
    <row r="363" spans="3:19">
      <c r="C363" s="9">
        <v>43083</v>
      </c>
      <c r="D363" s="10">
        <v>38223.550000000003</v>
      </c>
      <c r="E363" s="11" t="s">
        <v>79</v>
      </c>
      <c r="F363" s="12">
        <f t="shared" si="20"/>
        <v>-1.53556253083168E-2</v>
      </c>
      <c r="I363" s="9">
        <v>43102</v>
      </c>
      <c r="J363" s="10">
        <v>11500</v>
      </c>
      <c r="K363" s="11" t="s">
        <v>84</v>
      </c>
      <c r="L363" s="12">
        <f t="shared" si="21"/>
        <v>5.2525603829362666E-2</v>
      </c>
      <c r="O363" s="9">
        <v>43102</v>
      </c>
      <c r="P363" s="10">
        <v>11500</v>
      </c>
      <c r="Q363" s="11" t="s">
        <v>84</v>
      </c>
      <c r="R363" s="12">
        <f t="shared" si="22"/>
        <v>5.2525603829362666E-2</v>
      </c>
      <c r="S363" s="12">
        <f t="shared" si="23"/>
        <v>1.9056992894310731E-2</v>
      </c>
    </row>
    <row r="364" spans="3:19">
      <c r="C364" s="9">
        <v>43084</v>
      </c>
      <c r="D364" s="10">
        <v>38645.9</v>
      </c>
      <c r="E364" s="11" t="s">
        <v>79</v>
      </c>
      <c r="F364" s="12">
        <f t="shared" si="20"/>
        <v>1.1049470810534201E-2</v>
      </c>
      <c r="I364" s="9">
        <v>43091</v>
      </c>
      <c r="J364" s="10">
        <v>11500</v>
      </c>
      <c r="K364" s="11" t="s">
        <v>84</v>
      </c>
      <c r="L364" s="12">
        <f t="shared" si="21"/>
        <v>0</v>
      </c>
      <c r="O364" s="9">
        <v>43091</v>
      </c>
      <c r="P364" s="10">
        <v>11500</v>
      </c>
      <c r="Q364" s="11" t="s">
        <v>84</v>
      </c>
      <c r="R364" s="12">
        <f t="shared" si="22"/>
        <v>0</v>
      </c>
      <c r="S364" s="12">
        <f t="shared" si="23"/>
        <v>1.8401803709444664E-2</v>
      </c>
    </row>
    <row r="365" spans="3:19">
      <c r="C365" s="9">
        <v>43087</v>
      </c>
      <c r="D365" s="10">
        <v>38383.97</v>
      </c>
      <c r="E365" s="11" t="s">
        <v>79</v>
      </c>
      <c r="F365" s="12">
        <f t="shared" si="20"/>
        <v>-6.7776918120679985E-3</v>
      </c>
      <c r="I365" s="9">
        <v>43090</v>
      </c>
      <c r="J365" s="10">
        <v>11500</v>
      </c>
      <c r="K365" s="11" t="s">
        <v>84</v>
      </c>
      <c r="L365" s="12">
        <f t="shared" si="21"/>
        <v>0</v>
      </c>
      <c r="O365" s="9">
        <v>43090</v>
      </c>
      <c r="P365" s="10">
        <v>11500</v>
      </c>
      <c r="Q365" s="11" t="s">
        <v>84</v>
      </c>
      <c r="R365" s="12">
        <f t="shared" si="22"/>
        <v>0</v>
      </c>
      <c r="S365" s="12">
        <f t="shared" si="23"/>
        <v>1.3288033990733972E-2</v>
      </c>
    </row>
    <row r="366" spans="3:19">
      <c r="C366" s="9">
        <v>43088</v>
      </c>
      <c r="D366" s="10">
        <v>37919.42</v>
      </c>
      <c r="E366" s="11" t="s">
        <v>79</v>
      </c>
      <c r="F366" s="12">
        <f t="shared" si="20"/>
        <v>-1.2102708500449588E-2</v>
      </c>
      <c r="I366" s="9">
        <v>43084</v>
      </c>
      <c r="J366" s="10">
        <v>12065</v>
      </c>
      <c r="K366" s="11" t="s">
        <v>84</v>
      </c>
      <c r="L366" s="12">
        <f t="shared" si="21"/>
        <v>4.9130434782608701E-2</v>
      </c>
      <c r="O366" s="9">
        <v>43084</v>
      </c>
      <c r="P366" s="10">
        <v>12065</v>
      </c>
      <c r="Q366" s="11" t="s">
        <v>84</v>
      </c>
      <c r="R366" s="12">
        <f t="shared" si="22"/>
        <v>4.9130434782608701E-2</v>
      </c>
      <c r="S366" s="12">
        <f t="shared" si="23"/>
        <v>1.1049470810534201E-2</v>
      </c>
    </row>
    <row r="367" spans="3:19">
      <c r="C367" s="9">
        <v>43089</v>
      </c>
      <c r="D367" s="10">
        <v>38208.06</v>
      </c>
      <c r="E367" s="11" t="s">
        <v>79</v>
      </c>
      <c r="F367" s="12">
        <f t="shared" si="20"/>
        <v>7.6119307732027686E-3</v>
      </c>
      <c r="I367" s="9">
        <v>43082</v>
      </c>
      <c r="J367" s="10">
        <v>12700</v>
      </c>
      <c r="K367" s="11" t="s">
        <v>84</v>
      </c>
      <c r="L367" s="12">
        <f t="shared" si="21"/>
        <v>5.2631578947368363E-2</v>
      </c>
      <c r="O367" s="9">
        <v>43082</v>
      </c>
      <c r="P367" s="10">
        <v>12700</v>
      </c>
      <c r="Q367" s="11" t="s">
        <v>84</v>
      </c>
      <c r="R367" s="12">
        <f t="shared" si="22"/>
        <v>5.2631578947368363E-2</v>
      </c>
      <c r="S367" s="12">
        <f t="shared" si="23"/>
        <v>7.6454032188357779E-3</v>
      </c>
    </row>
    <row r="368" spans="3:19">
      <c r="C368" s="9">
        <v>43090</v>
      </c>
      <c r="D368" s="10">
        <v>38715.769999999997</v>
      </c>
      <c r="E368" s="11" t="s">
        <v>79</v>
      </c>
      <c r="F368" s="12">
        <f t="shared" si="20"/>
        <v>1.3288033990733972E-2</v>
      </c>
      <c r="I368" s="9">
        <v>43081</v>
      </c>
      <c r="J368" s="10">
        <v>12440</v>
      </c>
      <c r="K368" s="11" t="s">
        <v>84</v>
      </c>
      <c r="L368" s="12">
        <f t="shared" si="21"/>
        <v>-2.0472440944881876E-2</v>
      </c>
      <c r="O368" s="9">
        <v>43081</v>
      </c>
      <c r="P368" s="10">
        <v>12440</v>
      </c>
      <c r="Q368" s="11" t="s">
        <v>84</v>
      </c>
      <c r="R368" s="12">
        <f t="shared" si="22"/>
        <v>-2.0472440944881876E-2</v>
      </c>
      <c r="S368" s="12">
        <f t="shared" si="23"/>
        <v>1.1280686664052464E-3</v>
      </c>
    </row>
    <row r="369" spans="3:19">
      <c r="C369" s="9">
        <v>43091</v>
      </c>
      <c r="D369" s="10">
        <v>39428.21</v>
      </c>
      <c r="E369" s="11" t="s">
        <v>79</v>
      </c>
      <c r="F369" s="12">
        <f t="shared" si="20"/>
        <v>1.8401803709444664E-2</v>
      </c>
      <c r="I369" s="9">
        <v>43080</v>
      </c>
      <c r="J369" s="10">
        <v>12195</v>
      </c>
      <c r="K369" s="11" t="s">
        <v>84</v>
      </c>
      <c r="L369" s="12">
        <f t="shared" si="21"/>
        <v>-1.9694533762057875E-2</v>
      </c>
      <c r="O369" s="9">
        <v>43080</v>
      </c>
      <c r="P369" s="10">
        <v>12195</v>
      </c>
      <c r="Q369" s="11" t="s">
        <v>84</v>
      </c>
      <c r="R369" s="12">
        <f t="shared" si="22"/>
        <v>-1.9694533762057875E-2</v>
      </c>
      <c r="S369" s="12">
        <f t="shared" si="23"/>
        <v>-1.530962128966229E-2</v>
      </c>
    </row>
    <row r="370" spans="3:19">
      <c r="C370" s="9">
        <v>43095</v>
      </c>
      <c r="D370" s="10">
        <v>39525.75</v>
      </c>
      <c r="E370" s="11" t="s">
        <v>79</v>
      </c>
      <c r="F370" s="12">
        <f t="shared" si="20"/>
        <v>2.4738632567899987E-3</v>
      </c>
      <c r="I370" s="9">
        <v>43077</v>
      </c>
      <c r="J370" s="10">
        <v>12075</v>
      </c>
      <c r="K370" s="11" t="s">
        <v>84</v>
      </c>
      <c r="L370" s="12">
        <f t="shared" si="21"/>
        <v>-9.8400984009839876E-3</v>
      </c>
      <c r="O370" s="9">
        <v>43077</v>
      </c>
      <c r="P370" s="10">
        <v>12075</v>
      </c>
      <c r="Q370" s="11" t="s">
        <v>84</v>
      </c>
      <c r="R370" s="12">
        <f t="shared" si="22"/>
        <v>-9.8400984009839876E-3</v>
      </c>
      <c r="S370" s="12">
        <f t="shared" si="23"/>
        <v>7.6148662899195863E-3</v>
      </c>
    </row>
    <row r="371" spans="3:19">
      <c r="C371" s="9">
        <v>43096</v>
      </c>
      <c r="D371" s="10">
        <v>40146.730000000003</v>
      </c>
      <c r="E371" s="11" t="s">
        <v>79</v>
      </c>
      <c r="F371" s="12">
        <f t="shared" si="20"/>
        <v>1.5710770826613096E-2</v>
      </c>
      <c r="I371" s="9">
        <v>43075</v>
      </c>
      <c r="J371" s="10">
        <v>11500</v>
      </c>
      <c r="K371" s="11" t="s">
        <v>84</v>
      </c>
      <c r="L371" s="12">
        <f t="shared" si="21"/>
        <v>-4.7619047619047672E-2</v>
      </c>
      <c r="O371" s="9">
        <v>43075</v>
      </c>
      <c r="P371" s="10">
        <v>11500</v>
      </c>
      <c r="Q371" s="11" t="s">
        <v>84</v>
      </c>
      <c r="R371" s="12">
        <f t="shared" si="22"/>
        <v>-4.7619047619047672E-2</v>
      </c>
      <c r="S371" s="12">
        <f t="shared" si="23"/>
        <v>-9.5355135921759704E-4</v>
      </c>
    </row>
    <row r="372" spans="3:19">
      <c r="C372" s="9">
        <v>43097</v>
      </c>
      <c r="D372" s="10">
        <v>40371.31</v>
      </c>
      <c r="E372" s="11" t="s">
        <v>79</v>
      </c>
      <c r="F372" s="12">
        <f t="shared" si="20"/>
        <v>5.59397988329291E-3</v>
      </c>
      <c r="I372" s="9">
        <v>43074</v>
      </c>
      <c r="J372" s="10">
        <v>11392.5</v>
      </c>
      <c r="K372" s="11" t="s">
        <v>84</v>
      </c>
      <c r="L372" s="12">
        <f t="shared" si="21"/>
        <v>-9.3478260869565011E-3</v>
      </c>
      <c r="O372" s="9">
        <v>43074</v>
      </c>
      <c r="P372" s="10">
        <v>11392.5</v>
      </c>
      <c r="Q372" s="11" t="s">
        <v>84</v>
      </c>
      <c r="R372" s="12">
        <f t="shared" si="22"/>
        <v>-9.3478260869565011E-3</v>
      </c>
      <c r="S372" s="12">
        <f t="shared" si="23"/>
        <v>-2.6065049013977992E-3</v>
      </c>
    </row>
    <row r="373" spans="3:19">
      <c r="C373" s="9">
        <v>43098</v>
      </c>
      <c r="D373" s="10">
        <v>40471.480000000003</v>
      </c>
      <c r="E373" s="11" t="s">
        <v>79</v>
      </c>
      <c r="F373" s="12">
        <f t="shared" si="20"/>
        <v>2.4812174784520913E-3</v>
      </c>
      <c r="I373" s="9">
        <v>43066</v>
      </c>
      <c r="J373" s="10">
        <v>10850</v>
      </c>
      <c r="K373" s="11" t="s">
        <v>84</v>
      </c>
      <c r="L373" s="12">
        <f t="shared" si="21"/>
        <v>-4.7619047619047672E-2</v>
      </c>
      <c r="O373" s="9">
        <v>43066</v>
      </c>
      <c r="P373" s="10">
        <v>10850</v>
      </c>
      <c r="Q373" s="11" t="s">
        <v>84</v>
      </c>
      <c r="R373" s="12">
        <f t="shared" si="22"/>
        <v>-4.7619047619047672E-2</v>
      </c>
      <c r="S373" s="12">
        <f t="shared" si="23"/>
        <v>-5.3726345960003474E-3</v>
      </c>
    </row>
    <row r="374" spans="3:19">
      <c r="C374" s="9">
        <v>43101</v>
      </c>
      <c r="D374" s="10">
        <v>40711.040000000001</v>
      </c>
      <c r="E374" s="11" t="s">
        <v>79</v>
      </c>
      <c r="F374" s="12">
        <f t="shared" si="20"/>
        <v>5.9192300355705996E-3</v>
      </c>
      <c r="I374" s="9">
        <v>43063</v>
      </c>
      <c r="J374" s="10">
        <v>10450</v>
      </c>
      <c r="K374" s="11" t="s">
        <v>84</v>
      </c>
      <c r="L374" s="12">
        <f t="shared" si="21"/>
        <v>-3.686635944700456E-2</v>
      </c>
      <c r="O374" s="9">
        <v>43063</v>
      </c>
      <c r="P374" s="10">
        <v>10450</v>
      </c>
      <c r="Q374" s="11" t="s">
        <v>84</v>
      </c>
      <c r="R374" s="12">
        <f t="shared" si="22"/>
        <v>-3.686635944700456E-2</v>
      </c>
      <c r="S374" s="12">
        <f t="shared" si="23"/>
        <v>-4.420579935383584E-4</v>
      </c>
    </row>
    <row r="375" spans="3:19">
      <c r="C375" s="9">
        <v>43102</v>
      </c>
      <c r="D375" s="10">
        <v>41486.870000000003</v>
      </c>
      <c r="E375" s="11" t="s">
        <v>79</v>
      </c>
      <c r="F375" s="12">
        <f t="shared" si="20"/>
        <v>1.9056992894310731E-2</v>
      </c>
      <c r="I375" s="9">
        <v>43062</v>
      </c>
      <c r="J375" s="10">
        <v>11000</v>
      </c>
      <c r="K375" s="11" t="s">
        <v>84</v>
      </c>
      <c r="L375" s="12">
        <f t="shared" si="21"/>
        <v>5.2631578947368363E-2</v>
      </c>
      <c r="O375" s="9">
        <v>43062</v>
      </c>
      <c r="P375" s="10">
        <v>11000</v>
      </c>
      <c r="Q375" s="11" t="s">
        <v>84</v>
      </c>
      <c r="R375" s="12">
        <f t="shared" si="22"/>
        <v>5.2631578947368363E-2</v>
      </c>
      <c r="S375" s="12">
        <f t="shared" si="23"/>
        <v>-8.0227887998262082E-3</v>
      </c>
    </row>
    <row r="376" spans="3:19">
      <c r="C376" s="9">
        <v>43103</v>
      </c>
      <c r="D376" s="10">
        <v>41544.269999999997</v>
      </c>
      <c r="E376" s="11" t="s">
        <v>79</v>
      </c>
      <c r="F376" s="12">
        <f t="shared" si="20"/>
        <v>1.3835702717508447E-3</v>
      </c>
      <c r="I376" s="9">
        <v>43060</v>
      </c>
      <c r="J376" s="10">
        <v>11400</v>
      </c>
      <c r="K376" s="11" t="s">
        <v>84</v>
      </c>
      <c r="L376" s="12">
        <f t="shared" si="21"/>
        <v>3.6363636363636376E-2</v>
      </c>
      <c r="O376" s="9">
        <v>43060</v>
      </c>
      <c r="P376" s="10">
        <v>11400</v>
      </c>
      <c r="Q376" s="11" t="s">
        <v>84</v>
      </c>
      <c r="R376" s="12">
        <f t="shared" si="22"/>
        <v>3.6363636363636376E-2</v>
      </c>
      <c r="S376" s="12">
        <f t="shared" si="23"/>
        <v>5.7519260519092175E-3</v>
      </c>
    </row>
    <row r="377" spans="3:19">
      <c r="C377" s="9">
        <v>43104</v>
      </c>
      <c r="D377" s="10">
        <v>41908.71</v>
      </c>
      <c r="E377" s="11" t="s">
        <v>79</v>
      </c>
      <c r="F377" s="12">
        <f t="shared" si="20"/>
        <v>8.7723288915655395E-3</v>
      </c>
      <c r="I377" s="9">
        <v>43059</v>
      </c>
      <c r="J377" s="10">
        <v>11400</v>
      </c>
      <c r="K377" s="11" t="s">
        <v>84</v>
      </c>
      <c r="L377" s="12">
        <f t="shared" si="21"/>
        <v>0</v>
      </c>
      <c r="O377" s="9">
        <v>43059</v>
      </c>
      <c r="P377" s="10">
        <v>11400</v>
      </c>
      <c r="Q377" s="11" t="s">
        <v>84</v>
      </c>
      <c r="R377" s="12">
        <f t="shared" si="22"/>
        <v>0</v>
      </c>
      <c r="S377" s="12">
        <f t="shared" si="23"/>
        <v>-1.2914132659556765E-2</v>
      </c>
    </row>
    <row r="378" spans="3:19">
      <c r="C378" s="9">
        <v>43105</v>
      </c>
      <c r="D378" s="10">
        <v>42523.99</v>
      </c>
      <c r="E378" s="11" t="s">
        <v>79</v>
      </c>
      <c r="F378" s="12">
        <f t="shared" si="20"/>
        <v>1.4681434957076966E-2</v>
      </c>
      <c r="I378" s="9">
        <v>43053</v>
      </c>
      <c r="J378" s="10">
        <v>12000</v>
      </c>
      <c r="K378" s="11" t="s">
        <v>84</v>
      </c>
      <c r="L378" s="12">
        <f t="shared" si="21"/>
        <v>5.2631578947368363E-2</v>
      </c>
      <c r="O378" s="9">
        <v>43053</v>
      </c>
      <c r="P378" s="10">
        <v>12000</v>
      </c>
      <c r="Q378" s="11" t="s">
        <v>84</v>
      </c>
      <c r="R378" s="12">
        <f t="shared" si="22"/>
        <v>5.2631578947368363E-2</v>
      </c>
      <c r="S378" s="12">
        <f t="shared" si="23"/>
        <v>-7.1801840402581085E-3</v>
      </c>
    </row>
    <row r="379" spans="3:19">
      <c r="C379" s="9">
        <v>43108</v>
      </c>
      <c r="D379" s="10">
        <v>43112.12</v>
      </c>
      <c r="E379" s="11" t="s">
        <v>79</v>
      </c>
      <c r="F379" s="12">
        <f t="shared" si="20"/>
        <v>1.3830546004737654E-2</v>
      </c>
      <c r="I379" s="9">
        <v>43052</v>
      </c>
      <c r="J379" s="10">
        <v>11850</v>
      </c>
      <c r="K379" s="11" t="s">
        <v>84</v>
      </c>
      <c r="L379" s="12">
        <f t="shared" si="21"/>
        <v>-1.2499999999999956E-2</v>
      </c>
      <c r="O379" s="9">
        <v>43052</v>
      </c>
      <c r="P379" s="10">
        <v>11850</v>
      </c>
      <c r="Q379" s="11" t="s">
        <v>84</v>
      </c>
      <c r="R379" s="12">
        <f t="shared" si="22"/>
        <v>-1.2499999999999956E-2</v>
      </c>
      <c r="S379" s="12">
        <f t="shared" si="23"/>
        <v>-4.7256351407118924E-3</v>
      </c>
    </row>
    <row r="380" spans="3:19">
      <c r="C380" s="9">
        <v>43109</v>
      </c>
      <c r="D380" s="10">
        <v>42814.34</v>
      </c>
      <c r="E380" s="11" t="s">
        <v>79</v>
      </c>
      <c r="F380" s="12">
        <f t="shared" si="20"/>
        <v>-6.9071064007060201E-3</v>
      </c>
      <c r="I380" s="9">
        <v>43047</v>
      </c>
      <c r="J380" s="10">
        <v>12000</v>
      </c>
      <c r="K380" s="11" t="s">
        <v>84</v>
      </c>
      <c r="L380" s="12">
        <f t="shared" si="21"/>
        <v>1.2658227848101333E-2</v>
      </c>
      <c r="O380" s="9">
        <v>43047</v>
      </c>
      <c r="P380" s="10">
        <v>12000</v>
      </c>
      <c r="Q380" s="11" t="s">
        <v>84</v>
      </c>
      <c r="R380" s="12">
        <f t="shared" si="22"/>
        <v>1.2658227848101333E-2</v>
      </c>
      <c r="S380" s="12">
        <f t="shared" si="23"/>
        <v>5.114348092363219E-3</v>
      </c>
    </row>
    <row r="381" spans="3:19">
      <c r="C381" s="9">
        <v>43110</v>
      </c>
      <c r="D381" s="10">
        <v>43630.74</v>
      </c>
      <c r="E381" s="11" t="s">
        <v>79</v>
      </c>
      <c r="F381" s="12">
        <f t="shared" si="20"/>
        <v>1.9068377557612814E-2</v>
      </c>
      <c r="I381" s="9">
        <v>43046</v>
      </c>
      <c r="J381" s="10">
        <v>11970</v>
      </c>
      <c r="K381" s="11" t="s">
        <v>84</v>
      </c>
      <c r="L381" s="12">
        <f t="shared" si="21"/>
        <v>-2.4999999999999467E-3</v>
      </c>
      <c r="O381" s="9">
        <v>43046</v>
      </c>
      <c r="P381" s="10">
        <v>11970</v>
      </c>
      <c r="Q381" s="11" t="s">
        <v>84</v>
      </c>
      <c r="R381" s="12">
        <f t="shared" si="22"/>
        <v>-2.4999999999999467E-3</v>
      </c>
      <c r="S381" s="12">
        <f t="shared" si="23"/>
        <v>4.4966253375222642E-4</v>
      </c>
    </row>
    <row r="382" spans="3:19">
      <c r="C382" s="9">
        <v>43111</v>
      </c>
      <c r="D382" s="10">
        <v>43395.28</v>
      </c>
      <c r="E382" s="11" t="s">
        <v>79</v>
      </c>
      <c r="F382" s="12">
        <f t="shared" si="20"/>
        <v>-5.3966538270953102E-3</v>
      </c>
      <c r="I382" s="9">
        <v>43045</v>
      </c>
      <c r="J382" s="10">
        <v>11400</v>
      </c>
      <c r="K382" s="11" t="s">
        <v>84</v>
      </c>
      <c r="L382" s="12">
        <f t="shared" si="21"/>
        <v>-4.7619047619047672E-2</v>
      </c>
      <c r="O382" s="9">
        <v>43045</v>
      </c>
      <c r="P382" s="10">
        <v>11400</v>
      </c>
      <c r="Q382" s="11" t="s">
        <v>84</v>
      </c>
      <c r="R382" s="12">
        <f t="shared" si="22"/>
        <v>-4.7619047619047672E-2</v>
      </c>
      <c r="S382" s="12">
        <f t="shared" si="23"/>
        <v>-8.092246249756796E-4</v>
      </c>
    </row>
    <row r="383" spans="3:19">
      <c r="C383" s="9">
        <v>43112</v>
      </c>
      <c r="D383" s="10">
        <v>42933.72</v>
      </c>
      <c r="E383" s="11" t="s">
        <v>79</v>
      </c>
      <c r="F383" s="12">
        <f t="shared" si="20"/>
        <v>-1.0636179787294808E-2</v>
      </c>
      <c r="I383" s="9">
        <v>43038</v>
      </c>
      <c r="J383" s="10">
        <v>11900</v>
      </c>
      <c r="K383" s="11" t="s">
        <v>84</v>
      </c>
      <c r="L383" s="12">
        <f t="shared" si="21"/>
        <v>4.3859649122806932E-2</v>
      </c>
      <c r="O383" s="9">
        <v>43038</v>
      </c>
      <c r="P383" s="10">
        <v>11900</v>
      </c>
      <c r="Q383" s="11" t="s">
        <v>84</v>
      </c>
      <c r="R383" s="12">
        <f t="shared" si="22"/>
        <v>4.3859649122806932E-2</v>
      </c>
      <c r="S383" s="12">
        <f t="shared" si="23"/>
        <v>-1.9001882964282069E-2</v>
      </c>
    </row>
    <row r="384" spans="3:19">
      <c r="C384" s="9">
        <v>43115</v>
      </c>
      <c r="D384" s="10">
        <v>42347.49</v>
      </c>
      <c r="E384" s="11" t="s">
        <v>79</v>
      </c>
      <c r="F384" s="12">
        <f t="shared" si="20"/>
        <v>-1.3654302492306813E-2</v>
      </c>
      <c r="I384" s="9">
        <v>43035</v>
      </c>
      <c r="J384" s="10">
        <v>12090</v>
      </c>
      <c r="K384" s="11" t="s">
        <v>84</v>
      </c>
      <c r="L384" s="12">
        <f t="shared" si="21"/>
        <v>1.5966386554621792E-2</v>
      </c>
      <c r="O384" s="9">
        <v>43035</v>
      </c>
      <c r="P384" s="10">
        <v>12090</v>
      </c>
      <c r="Q384" s="11" t="s">
        <v>84</v>
      </c>
      <c r="R384" s="12">
        <f t="shared" si="22"/>
        <v>1.5966386554621792E-2</v>
      </c>
      <c r="S384" s="12">
        <f t="shared" si="23"/>
        <v>-7.3434857565257694E-3</v>
      </c>
    </row>
    <row r="385" spans="3:19">
      <c r="C385" s="9">
        <v>43116</v>
      </c>
      <c r="D385" s="10">
        <v>42939.68</v>
      </c>
      <c r="E385" s="11" t="s">
        <v>79</v>
      </c>
      <c r="F385" s="12">
        <f t="shared" si="20"/>
        <v>1.3984063754427956E-2</v>
      </c>
      <c r="I385" s="9">
        <v>43034</v>
      </c>
      <c r="J385" s="10">
        <v>12100</v>
      </c>
      <c r="K385" s="11" t="s">
        <v>84</v>
      </c>
      <c r="L385" s="12">
        <f t="shared" si="21"/>
        <v>8.2712985938782069E-4</v>
      </c>
      <c r="O385" s="9">
        <v>43034</v>
      </c>
      <c r="P385" s="10">
        <v>12100</v>
      </c>
      <c r="Q385" s="11" t="s">
        <v>84</v>
      </c>
      <c r="R385" s="12">
        <f t="shared" si="22"/>
        <v>8.2712985938782069E-4</v>
      </c>
      <c r="S385" s="12">
        <f t="shared" si="23"/>
        <v>-4.4675699093071897E-3</v>
      </c>
    </row>
    <row r="386" spans="3:19">
      <c r="C386" s="9">
        <v>43117</v>
      </c>
      <c r="D386" s="10">
        <v>43358.97</v>
      </c>
      <c r="E386" s="11" t="s">
        <v>79</v>
      </c>
      <c r="F386" s="12">
        <f t="shared" si="20"/>
        <v>9.7646279618293086E-3</v>
      </c>
      <c r="I386" s="9">
        <v>43033</v>
      </c>
      <c r="J386" s="10">
        <v>12149</v>
      </c>
      <c r="K386" s="11" t="s">
        <v>84</v>
      </c>
      <c r="L386" s="12">
        <f t="shared" si="21"/>
        <v>4.0495867768595151E-3</v>
      </c>
      <c r="O386" s="9">
        <v>43033</v>
      </c>
      <c r="P386" s="10">
        <v>12149</v>
      </c>
      <c r="Q386" s="11" t="s">
        <v>84</v>
      </c>
      <c r="R386" s="12">
        <f t="shared" si="22"/>
        <v>4.0495867768595151E-3</v>
      </c>
      <c r="S386" s="12">
        <f t="shared" si="23"/>
        <v>7.3535395023889283E-3</v>
      </c>
    </row>
    <row r="387" spans="3:19">
      <c r="C387" s="9">
        <v>43118</v>
      </c>
      <c r="D387" s="10">
        <v>43580.88</v>
      </c>
      <c r="E387" s="11" t="s">
        <v>79</v>
      </c>
      <c r="F387" s="12">
        <f t="shared" si="20"/>
        <v>5.1179721289504876E-3</v>
      </c>
      <c r="I387" s="9">
        <v>43032</v>
      </c>
      <c r="J387" s="10">
        <v>12398</v>
      </c>
      <c r="K387" s="11" t="s">
        <v>84</v>
      </c>
      <c r="L387" s="12">
        <f t="shared" si="21"/>
        <v>2.0495514034076789E-2</v>
      </c>
      <c r="O387" s="9">
        <v>43032</v>
      </c>
      <c r="P387" s="10">
        <v>12398</v>
      </c>
      <c r="Q387" s="11" t="s">
        <v>84</v>
      </c>
      <c r="R387" s="12">
        <f t="shared" si="22"/>
        <v>2.0495514034076789E-2</v>
      </c>
      <c r="S387" s="12">
        <f t="shared" si="23"/>
        <v>-4.6249669145883576E-3</v>
      </c>
    </row>
    <row r="388" spans="3:19">
      <c r="C388" s="9">
        <v>43119</v>
      </c>
      <c r="D388" s="10">
        <v>44178.83</v>
      </c>
      <c r="E388" s="11" t="s">
        <v>79</v>
      </c>
      <c r="F388" s="12">
        <f t="shared" si="20"/>
        <v>1.3720466406369036E-2</v>
      </c>
      <c r="I388" s="9">
        <v>43031</v>
      </c>
      <c r="J388" s="10">
        <v>12300</v>
      </c>
      <c r="K388" s="11" t="s">
        <v>84</v>
      </c>
      <c r="L388" s="12">
        <f t="shared" si="21"/>
        <v>-7.9045007259235245E-3</v>
      </c>
      <c r="O388" s="9">
        <v>43031</v>
      </c>
      <c r="P388" s="10">
        <v>12300</v>
      </c>
      <c r="Q388" s="11" t="s">
        <v>84</v>
      </c>
      <c r="R388" s="12">
        <f t="shared" si="22"/>
        <v>-7.9045007259235245E-3</v>
      </c>
      <c r="S388" s="12">
        <f t="shared" si="23"/>
        <v>-1.4359237300800687E-2</v>
      </c>
    </row>
    <row r="389" spans="3:19">
      <c r="C389" s="9">
        <v>43122</v>
      </c>
      <c r="D389" s="10">
        <v>44897.69</v>
      </c>
      <c r="E389" s="11" t="s">
        <v>79</v>
      </c>
      <c r="F389" s="12">
        <f t="shared" si="20"/>
        <v>1.6271594336020323E-2</v>
      </c>
      <c r="I389" s="9">
        <v>43028</v>
      </c>
      <c r="J389" s="10">
        <v>12350</v>
      </c>
      <c r="K389" s="11" t="s">
        <v>84</v>
      </c>
      <c r="L389" s="12">
        <f t="shared" si="21"/>
        <v>4.0650406504065817E-3</v>
      </c>
      <c r="O389" s="9">
        <v>43028</v>
      </c>
      <c r="P389" s="10">
        <v>12350</v>
      </c>
      <c r="Q389" s="11" t="s">
        <v>84</v>
      </c>
      <c r="R389" s="12">
        <f t="shared" si="22"/>
        <v>4.0650406504065817E-3</v>
      </c>
      <c r="S389" s="12">
        <f t="shared" si="23"/>
        <v>1.2748907733203252E-2</v>
      </c>
    </row>
    <row r="390" spans="3:19">
      <c r="C390" s="9">
        <v>43123</v>
      </c>
      <c r="D390" s="10">
        <v>44907.199999999997</v>
      </c>
      <c r="E390" s="11" t="s">
        <v>79</v>
      </c>
      <c r="F390" s="12">
        <f t="shared" si="20"/>
        <v>2.118149062901864E-4</v>
      </c>
      <c r="I390" s="9">
        <v>43027</v>
      </c>
      <c r="J390" s="10">
        <v>12600</v>
      </c>
      <c r="K390" s="11" t="s">
        <v>84</v>
      </c>
      <c r="L390" s="12">
        <f t="shared" si="21"/>
        <v>2.0242914979757165E-2</v>
      </c>
      <c r="O390" s="9">
        <v>43027</v>
      </c>
      <c r="P390" s="10">
        <v>12600</v>
      </c>
      <c r="Q390" s="11" t="s">
        <v>84</v>
      </c>
      <c r="R390" s="12">
        <f t="shared" si="22"/>
        <v>2.0242914979757165E-2</v>
      </c>
      <c r="S390" s="12">
        <f t="shared" si="23"/>
        <v>2.0244295535978507E-2</v>
      </c>
    </row>
    <row r="391" spans="3:19">
      <c r="C391" s="9">
        <v>43124</v>
      </c>
      <c r="D391" s="10">
        <v>45063.21</v>
      </c>
      <c r="E391" s="11" t="s">
        <v>79</v>
      </c>
      <c r="F391" s="12">
        <f t="shared" ref="F391:F454" si="24">D391/D390-1</f>
        <v>3.4740531585135681E-3</v>
      </c>
      <c r="I391" s="9">
        <v>43026</v>
      </c>
      <c r="J391" s="10">
        <v>12000</v>
      </c>
      <c r="K391" s="11" t="s">
        <v>84</v>
      </c>
      <c r="L391" s="12">
        <f t="shared" ref="L391:L454" si="25">J391/J390-1</f>
        <v>-4.7619047619047672E-2</v>
      </c>
      <c r="O391" s="9">
        <v>43026</v>
      </c>
      <c r="P391" s="10">
        <v>12000</v>
      </c>
      <c r="Q391" s="11" t="s">
        <v>84</v>
      </c>
      <c r="R391" s="12">
        <f t="shared" ref="R391:R454" si="26">P391/P390-1</f>
        <v>-4.7619047619047672E-2</v>
      </c>
      <c r="S391" s="12">
        <f t="shared" ref="S391:S454" si="27">VLOOKUP(O391,$C$5:$F$989,4,)</f>
        <v>2.0847165964066328E-4</v>
      </c>
    </row>
    <row r="392" spans="3:19">
      <c r="C392" s="9">
        <v>43125</v>
      </c>
      <c r="D392" s="10">
        <v>44816.71</v>
      </c>
      <c r="E392" s="11" t="s">
        <v>79</v>
      </c>
      <c r="F392" s="12">
        <f t="shared" si="24"/>
        <v>-5.470094118905422E-3</v>
      </c>
      <c r="I392" s="9">
        <v>43025</v>
      </c>
      <c r="J392" s="10">
        <v>12500</v>
      </c>
      <c r="K392" s="11" t="s">
        <v>84</v>
      </c>
      <c r="L392" s="12">
        <f t="shared" si="25"/>
        <v>4.1666666666666741E-2</v>
      </c>
      <c r="O392" s="9">
        <v>43025</v>
      </c>
      <c r="P392" s="10">
        <v>12500</v>
      </c>
      <c r="Q392" s="11" t="s">
        <v>84</v>
      </c>
      <c r="R392" s="12">
        <f t="shared" si="26"/>
        <v>4.1666666666666741E-2</v>
      </c>
      <c r="S392" s="12">
        <f t="shared" si="27"/>
        <v>-1.6285299422255095E-3</v>
      </c>
    </row>
    <row r="393" spans="3:19">
      <c r="C393" s="9">
        <v>43126</v>
      </c>
      <c r="D393" s="10">
        <v>44551.13</v>
      </c>
      <c r="E393" s="11" t="s">
        <v>79</v>
      </c>
      <c r="F393" s="12">
        <f t="shared" si="24"/>
        <v>-5.9259146867318702E-3</v>
      </c>
      <c r="I393" s="9">
        <v>43021</v>
      </c>
      <c r="J393" s="10">
        <v>12700</v>
      </c>
      <c r="K393" s="11" t="s">
        <v>84</v>
      </c>
      <c r="L393" s="12">
        <f t="shared" si="25"/>
        <v>1.6000000000000014E-2</v>
      </c>
      <c r="O393" s="9">
        <v>43021</v>
      </c>
      <c r="P393" s="10">
        <v>12700</v>
      </c>
      <c r="Q393" s="11" t="s">
        <v>84</v>
      </c>
      <c r="R393" s="12">
        <f t="shared" si="26"/>
        <v>1.6000000000000014E-2</v>
      </c>
      <c r="S393" s="12">
        <f t="shared" si="27"/>
        <v>-9.7110831604225734E-3</v>
      </c>
    </row>
    <row r="394" spans="3:19">
      <c r="C394" s="9">
        <v>43129</v>
      </c>
      <c r="D394" s="10">
        <v>44457.3</v>
      </c>
      <c r="E394" s="11" t="s">
        <v>79</v>
      </c>
      <c r="F394" s="12">
        <f t="shared" si="24"/>
        <v>-2.1061194182951937E-3</v>
      </c>
      <c r="I394" s="9">
        <v>43020</v>
      </c>
      <c r="J394" s="10">
        <v>13000</v>
      </c>
      <c r="K394" s="11" t="s">
        <v>84</v>
      </c>
      <c r="L394" s="12">
        <f t="shared" si="25"/>
        <v>2.3622047244094446E-2</v>
      </c>
      <c r="O394" s="9">
        <v>43020</v>
      </c>
      <c r="P394" s="10">
        <v>13000</v>
      </c>
      <c r="Q394" s="11" t="s">
        <v>84</v>
      </c>
      <c r="R394" s="12">
        <f t="shared" si="26"/>
        <v>2.3622047244094446E-2</v>
      </c>
      <c r="S394" s="12">
        <f t="shared" si="27"/>
        <v>-6.5710078689146245E-3</v>
      </c>
    </row>
    <row r="395" spans="3:19">
      <c r="C395" s="9">
        <v>43130</v>
      </c>
      <c r="D395" s="10">
        <v>44233.11</v>
      </c>
      <c r="E395" s="11" t="s">
        <v>79</v>
      </c>
      <c r="F395" s="12">
        <f t="shared" si="24"/>
        <v>-5.0428163653664093E-3</v>
      </c>
      <c r="I395" s="9">
        <v>43018</v>
      </c>
      <c r="J395" s="10">
        <v>12899</v>
      </c>
      <c r="K395" s="11" t="s">
        <v>84</v>
      </c>
      <c r="L395" s="12">
        <f t="shared" si="25"/>
        <v>-7.7692307692307505E-3</v>
      </c>
      <c r="O395" s="9">
        <v>43018</v>
      </c>
      <c r="P395" s="10">
        <v>12899</v>
      </c>
      <c r="Q395" s="11" t="s">
        <v>84</v>
      </c>
      <c r="R395" s="12">
        <f t="shared" si="26"/>
        <v>-7.7692307692307505E-3</v>
      </c>
      <c r="S395" s="12">
        <f t="shared" si="27"/>
        <v>-1.1904382458487128E-2</v>
      </c>
    </row>
    <row r="396" spans="3:19">
      <c r="C396" s="9">
        <v>43131</v>
      </c>
      <c r="D396" s="10">
        <v>44049.05</v>
      </c>
      <c r="E396" s="11" t="s">
        <v>79</v>
      </c>
      <c r="F396" s="12">
        <f t="shared" si="24"/>
        <v>-4.1611363071689667E-3</v>
      </c>
      <c r="I396" s="9">
        <v>43017</v>
      </c>
      <c r="J396" s="10">
        <v>13000</v>
      </c>
      <c r="K396" s="11" t="s">
        <v>84</v>
      </c>
      <c r="L396" s="12">
        <f t="shared" si="25"/>
        <v>7.8300643460733621E-3</v>
      </c>
      <c r="O396" s="9">
        <v>43017</v>
      </c>
      <c r="P396" s="10">
        <v>13000</v>
      </c>
      <c r="Q396" s="11" t="s">
        <v>84</v>
      </c>
      <c r="R396" s="12">
        <f t="shared" si="26"/>
        <v>7.8300643460733621E-3</v>
      </c>
      <c r="S396" s="12">
        <f t="shared" si="27"/>
        <v>-5.1461309978386716E-3</v>
      </c>
    </row>
    <row r="397" spans="3:19">
      <c r="C397" s="9">
        <v>43132</v>
      </c>
      <c r="D397" s="10">
        <v>44255.48</v>
      </c>
      <c r="E397" s="11" t="s">
        <v>79</v>
      </c>
      <c r="F397" s="12">
        <f t="shared" si="24"/>
        <v>4.6863666753311772E-3</v>
      </c>
      <c r="I397" s="9">
        <v>43014</v>
      </c>
      <c r="J397" s="10">
        <v>13000</v>
      </c>
      <c r="K397" s="11" t="s">
        <v>84</v>
      </c>
      <c r="L397" s="12">
        <f t="shared" si="25"/>
        <v>0</v>
      </c>
      <c r="O397" s="9">
        <v>43014</v>
      </c>
      <c r="P397" s="10">
        <v>13000</v>
      </c>
      <c r="Q397" s="11" t="s">
        <v>84</v>
      </c>
      <c r="R397" s="12">
        <f t="shared" si="26"/>
        <v>0</v>
      </c>
      <c r="S397" s="12">
        <f t="shared" si="27"/>
        <v>2.0858203505986994E-2</v>
      </c>
    </row>
    <row r="398" spans="3:19">
      <c r="C398" s="9">
        <v>43133</v>
      </c>
      <c r="D398" s="10">
        <v>44301.2</v>
      </c>
      <c r="E398" s="11" t="s">
        <v>79</v>
      </c>
      <c r="F398" s="12">
        <f t="shared" si="24"/>
        <v>1.0330923989525509E-3</v>
      </c>
      <c r="I398" s="9">
        <v>43013</v>
      </c>
      <c r="J398" s="10">
        <v>13000</v>
      </c>
      <c r="K398" s="11" t="s">
        <v>84</v>
      </c>
      <c r="L398" s="12">
        <f t="shared" si="25"/>
        <v>0</v>
      </c>
      <c r="O398" s="9">
        <v>43013</v>
      </c>
      <c r="P398" s="10">
        <v>13000</v>
      </c>
      <c r="Q398" s="11" t="s">
        <v>84</v>
      </c>
      <c r="R398" s="12">
        <f t="shared" si="26"/>
        <v>0</v>
      </c>
      <c r="S398" s="12">
        <f t="shared" si="27"/>
        <v>1.8511653196906508E-4</v>
      </c>
    </row>
    <row r="399" spans="3:19">
      <c r="C399" s="9">
        <v>43137</v>
      </c>
      <c r="D399" s="10">
        <v>43885.51</v>
      </c>
      <c r="E399" s="11" t="s">
        <v>79</v>
      </c>
      <c r="F399" s="12">
        <f t="shared" si="24"/>
        <v>-9.3832672704123876E-3</v>
      </c>
      <c r="I399" s="9">
        <v>43012</v>
      </c>
      <c r="J399" s="10">
        <v>12990</v>
      </c>
      <c r="K399" s="11" t="s">
        <v>84</v>
      </c>
      <c r="L399" s="12">
        <f t="shared" si="25"/>
        <v>-7.6923076923074429E-4</v>
      </c>
      <c r="O399" s="9">
        <v>43012</v>
      </c>
      <c r="P399" s="10">
        <v>12990</v>
      </c>
      <c r="Q399" s="11" t="s">
        <v>84</v>
      </c>
      <c r="R399" s="12">
        <f t="shared" si="26"/>
        <v>-7.6923076923074429E-4</v>
      </c>
      <c r="S399" s="12">
        <f t="shared" si="27"/>
        <v>-1.59252724866219E-2</v>
      </c>
    </row>
    <row r="400" spans="3:19">
      <c r="C400" s="9">
        <v>43138</v>
      </c>
      <c r="D400" s="10">
        <v>44096.49</v>
      </c>
      <c r="E400" s="11" t="s">
        <v>79</v>
      </c>
      <c r="F400" s="12">
        <f t="shared" si="24"/>
        <v>4.8075093578723305E-3</v>
      </c>
      <c r="I400" s="9">
        <v>43011</v>
      </c>
      <c r="J400" s="10">
        <v>13000</v>
      </c>
      <c r="K400" s="11" t="s">
        <v>84</v>
      </c>
      <c r="L400" s="12">
        <f t="shared" si="25"/>
        <v>7.698229407235857E-4</v>
      </c>
      <c r="O400" s="9">
        <v>43011</v>
      </c>
      <c r="P400" s="10">
        <v>13000</v>
      </c>
      <c r="Q400" s="11" t="s">
        <v>84</v>
      </c>
      <c r="R400" s="12">
        <f t="shared" si="26"/>
        <v>7.698229407235857E-4</v>
      </c>
      <c r="S400" s="12">
        <f t="shared" si="27"/>
        <v>-2.1493185209512933E-2</v>
      </c>
    </row>
    <row r="401" spans="3:19">
      <c r="C401" s="9">
        <v>43139</v>
      </c>
      <c r="D401" s="10">
        <v>43679.87</v>
      </c>
      <c r="E401" s="11" t="s">
        <v>79</v>
      </c>
      <c r="F401" s="12">
        <f t="shared" si="24"/>
        <v>-9.4479175099876356E-3</v>
      </c>
      <c r="I401" s="9">
        <v>43010</v>
      </c>
      <c r="J401" s="10">
        <v>13000</v>
      </c>
      <c r="K401" s="11" t="s">
        <v>84</v>
      </c>
      <c r="L401" s="12">
        <f t="shared" si="25"/>
        <v>0</v>
      </c>
      <c r="O401" s="9">
        <v>43010</v>
      </c>
      <c r="P401" s="10">
        <v>13000</v>
      </c>
      <c r="Q401" s="11" t="s">
        <v>84</v>
      </c>
      <c r="R401" s="12">
        <f t="shared" si="26"/>
        <v>0</v>
      </c>
      <c r="S401" s="12">
        <f t="shared" si="27"/>
        <v>-9.2048271521767422E-3</v>
      </c>
    </row>
    <row r="402" spans="3:19">
      <c r="C402" s="9">
        <v>43140</v>
      </c>
      <c r="D402" s="10">
        <v>43808.800000000003</v>
      </c>
      <c r="E402" s="11" t="s">
        <v>79</v>
      </c>
      <c r="F402" s="12">
        <f t="shared" si="24"/>
        <v>2.9517029240242465E-3</v>
      </c>
      <c r="I402" s="9">
        <v>43006</v>
      </c>
      <c r="J402" s="10">
        <v>13000</v>
      </c>
      <c r="K402" s="11" t="s">
        <v>84</v>
      </c>
      <c r="L402" s="12">
        <f t="shared" si="25"/>
        <v>0</v>
      </c>
      <c r="O402" s="9">
        <v>43006</v>
      </c>
      <c r="P402" s="10">
        <v>13000</v>
      </c>
      <c r="Q402" s="11" t="s">
        <v>84</v>
      </c>
      <c r="R402" s="12">
        <f t="shared" si="26"/>
        <v>0</v>
      </c>
      <c r="S402" s="12">
        <f t="shared" si="27"/>
        <v>1.7195493513264548E-3</v>
      </c>
    </row>
    <row r="403" spans="3:19">
      <c r="C403" s="9">
        <v>43143</v>
      </c>
      <c r="D403" s="10">
        <v>43515.08</v>
      </c>
      <c r="E403" s="11" t="s">
        <v>79</v>
      </c>
      <c r="F403" s="12">
        <f t="shared" si="24"/>
        <v>-6.7045890323406132E-3</v>
      </c>
      <c r="I403" s="9">
        <v>43005</v>
      </c>
      <c r="J403" s="10">
        <v>12256</v>
      </c>
      <c r="K403" s="11" t="s">
        <v>84</v>
      </c>
      <c r="L403" s="12">
        <f t="shared" si="25"/>
        <v>-5.7230769230769196E-2</v>
      </c>
      <c r="O403" s="9">
        <v>43005</v>
      </c>
      <c r="P403" s="10">
        <v>12256</v>
      </c>
      <c r="Q403" s="11" t="s">
        <v>84</v>
      </c>
      <c r="R403" s="12">
        <f t="shared" si="26"/>
        <v>-5.7230769230769196E-2</v>
      </c>
      <c r="S403" s="12">
        <f t="shared" si="27"/>
        <v>-8.8144652105424104E-3</v>
      </c>
    </row>
    <row r="404" spans="3:19">
      <c r="C404" s="9">
        <v>43144</v>
      </c>
      <c r="D404" s="10">
        <v>43690.36</v>
      </c>
      <c r="E404" s="11" t="s">
        <v>79</v>
      </c>
      <c r="F404" s="12">
        <f t="shared" si="24"/>
        <v>4.0280289040028894E-3</v>
      </c>
      <c r="I404" s="9">
        <v>42999</v>
      </c>
      <c r="J404" s="10">
        <v>12900</v>
      </c>
      <c r="K404" s="11" t="s">
        <v>84</v>
      </c>
      <c r="L404" s="12">
        <f t="shared" si="25"/>
        <v>5.2545691906005221E-2</v>
      </c>
      <c r="O404" s="9">
        <v>42999</v>
      </c>
      <c r="P404" s="10">
        <v>12900</v>
      </c>
      <c r="Q404" s="11" t="s">
        <v>84</v>
      </c>
      <c r="R404" s="12">
        <f t="shared" si="26"/>
        <v>5.2545691906005221E-2</v>
      </c>
      <c r="S404" s="12">
        <f t="shared" si="27"/>
        <v>-1.3195598406626652E-2</v>
      </c>
    </row>
    <row r="405" spans="3:19">
      <c r="C405" s="9">
        <v>43145</v>
      </c>
      <c r="D405" s="10">
        <v>43353.04</v>
      </c>
      <c r="E405" s="11" t="s">
        <v>79</v>
      </c>
      <c r="F405" s="12">
        <f t="shared" si="24"/>
        <v>-7.7206962817426561E-3</v>
      </c>
      <c r="I405" s="9">
        <v>42998</v>
      </c>
      <c r="J405" s="10">
        <v>13000</v>
      </c>
      <c r="K405" s="11" t="s">
        <v>84</v>
      </c>
      <c r="L405" s="12">
        <f t="shared" si="25"/>
        <v>7.7519379844961378E-3</v>
      </c>
      <c r="O405" s="9">
        <v>42998</v>
      </c>
      <c r="P405" s="10">
        <v>13000</v>
      </c>
      <c r="Q405" s="11" t="s">
        <v>84</v>
      </c>
      <c r="R405" s="12">
        <f t="shared" si="26"/>
        <v>7.7519379844961378E-3</v>
      </c>
      <c r="S405" s="12">
        <f t="shared" si="27"/>
        <v>2.1679290763285675E-3</v>
      </c>
    </row>
    <row r="406" spans="3:19">
      <c r="C406" s="9">
        <v>43146</v>
      </c>
      <c r="D406" s="10">
        <v>42942.35</v>
      </c>
      <c r="E406" s="11" t="s">
        <v>79</v>
      </c>
      <c r="F406" s="12">
        <f t="shared" si="24"/>
        <v>-9.4731534397588524E-3</v>
      </c>
      <c r="I406" s="9">
        <v>42997</v>
      </c>
      <c r="J406" s="10">
        <v>13000</v>
      </c>
      <c r="K406" s="11" t="s">
        <v>84</v>
      </c>
      <c r="L406" s="12">
        <f t="shared" si="25"/>
        <v>0</v>
      </c>
      <c r="O406" s="9">
        <v>42997</v>
      </c>
      <c r="P406" s="10">
        <v>13000</v>
      </c>
      <c r="Q406" s="11" t="s">
        <v>84</v>
      </c>
      <c r="R406" s="12">
        <f t="shared" si="26"/>
        <v>0</v>
      </c>
      <c r="S406" s="12">
        <f t="shared" si="27"/>
        <v>9.6133623986698336E-3</v>
      </c>
    </row>
    <row r="407" spans="3:19">
      <c r="C407" s="9">
        <v>43147</v>
      </c>
      <c r="D407" s="10">
        <v>43627.1</v>
      </c>
      <c r="E407" s="11" t="s">
        <v>79</v>
      </c>
      <c r="F407" s="12">
        <f t="shared" si="24"/>
        <v>1.5945797097736802E-2</v>
      </c>
      <c r="I407" s="9">
        <v>42996</v>
      </c>
      <c r="J407" s="10">
        <v>12900</v>
      </c>
      <c r="K407" s="11" t="s">
        <v>84</v>
      </c>
      <c r="L407" s="12">
        <f t="shared" si="25"/>
        <v>-7.692307692307665E-3</v>
      </c>
      <c r="O407" s="9">
        <v>42996</v>
      </c>
      <c r="P407" s="10">
        <v>12900</v>
      </c>
      <c r="Q407" s="11" t="s">
        <v>84</v>
      </c>
      <c r="R407" s="12">
        <f t="shared" si="26"/>
        <v>-7.692307692307665E-3</v>
      </c>
      <c r="S407" s="12">
        <f t="shared" si="27"/>
        <v>1.2672017021917448E-3</v>
      </c>
    </row>
    <row r="408" spans="3:19">
      <c r="C408" s="9">
        <v>43150</v>
      </c>
      <c r="D408" s="10">
        <v>43572.67</v>
      </c>
      <c r="E408" s="11" t="s">
        <v>79</v>
      </c>
      <c r="F408" s="12">
        <f t="shared" si="24"/>
        <v>-1.2476190257890707E-3</v>
      </c>
      <c r="I408" s="9">
        <v>42993</v>
      </c>
      <c r="J408" s="10">
        <v>12350</v>
      </c>
      <c r="K408" s="11" t="s">
        <v>84</v>
      </c>
      <c r="L408" s="12">
        <f t="shared" si="25"/>
        <v>-4.2635658914728647E-2</v>
      </c>
      <c r="O408" s="9">
        <v>42993</v>
      </c>
      <c r="P408" s="10">
        <v>12350</v>
      </c>
      <c r="Q408" s="11" t="s">
        <v>84</v>
      </c>
      <c r="R408" s="12">
        <f t="shared" si="26"/>
        <v>-4.2635658914728647E-2</v>
      </c>
      <c r="S408" s="12">
        <f t="shared" si="27"/>
        <v>2.4276319904825705E-3</v>
      </c>
    </row>
    <row r="409" spans="3:19">
      <c r="C409" s="9">
        <v>43151</v>
      </c>
      <c r="D409" s="10">
        <v>43294.95</v>
      </c>
      <c r="E409" s="11" t="s">
        <v>79</v>
      </c>
      <c r="F409" s="12">
        <f t="shared" si="24"/>
        <v>-6.3737200405666883E-3</v>
      </c>
      <c r="I409" s="9">
        <v>42992</v>
      </c>
      <c r="J409" s="10">
        <v>12300</v>
      </c>
      <c r="K409" s="11" t="s">
        <v>84</v>
      </c>
      <c r="L409" s="12">
        <f t="shared" si="25"/>
        <v>-4.0485829959514552E-3</v>
      </c>
      <c r="O409" s="9">
        <v>42992</v>
      </c>
      <c r="P409" s="10">
        <v>12300</v>
      </c>
      <c r="Q409" s="11" t="s">
        <v>84</v>
      </c>
      <c r="R409" s="12">
        <f t="shared" si="26"/>
        <v>-4.0485829959514552E-3</v>
      </c>
      <c r="S409" s="12">
        <f t="shared" si="27"/>
        <v>8.8264935197535088E-3</v>
      </c>
    </row>
    <row r="410" spans="3:19">
      <c r="C410" s="9">
        <v>43152</v>
      </c>
      <c r="D410" s="10">
        <v>42919.78</v>
      </c>
      <c r="E410" s="11" t="s">
        <v>79</v>
      </c>
      <c r="F410" s="12">
        <f t="shared" si="24"/>
        <v>-8.6654448151574082E-3</v>
      </c>
      <c r="I410" s="9">
        <v>42991</v>
      </c>
      <c r="J410" s="10">
        <v>12300</v>
      </c>
      <c r="K410" s="11" t="s">
        <v>84</v>
      </c>
      <c r="L410" s="12">
        <f t="shared" si="25"/>
        <v>0</v>
      </c>
      <c r="O410" s="9">
        <v>42991</v>
      </c>
      <c r="P410" s="10">
        <v>12300</v>
      </c>
      <c r="Q410" s="11" t="s">
        <v>84</v>
      </c>
      <c r="R410" s="12">
        <f t="shared" si="26"/>
        <v>0</v>
      </c>
      <c r="S410" s="12">
        <f t="shared" si="27"/>
        <v>2.4971838185240625E-2</v>
      </c>
    </row>
    <row r="411" spans="3:19">
      <c r="C411" s="9">
        <v>43153</v>
      </c>
      <c r="D411" s="10">
        <v>43528.51</v>
      </c>
      <c r="E411" s="11" t="s">
        <v>79</v>
      </c>
      <c r="F411" s="12">
        <f t="shared" si="24"/>
        <v>1.4182971114949927E-2</v>
      </c>
      <c r="I411" s="9">
        <v>42990</v>
      </c>
      <c r="J411" s="10">
        <v>12258</v>
      </c>
      <c r="K411" s="11" t="s">
        <v>84</v>
      </c>
      <c r="L411" s="12">
        <f t="shared" si="25"/>
        <v>-3.4146341463414664E-3</v>
      </c>
      <c r="O411" s="9">
        <v>42990</v>
      </c>
      <c r="P411" s="10">
        <v>12258</v>
      </c>
      <c r="Q411" s="11" t="s">
        <v>84</v>
      </c>
      <c r="R411" s="12">
        <f t="shared" si="26"/>
        <v>-3.4146341463414664E-3</v>
      </c>
      <c r="S411" s="12">
        <f t="shared" si="27"/>
        <v>3.7073122338873166E-3</v>
      </c>
    </row>
    <row r="412" spans="3:19">
      <c r="C412" s="9">
        <v>43154</v>
      </c>
      <c r="D412" s="10">
        <v>43267.199999999997</v>
      </c>
      <c r="E412" s="11" t="s">
        <v>79</v>
      </c>
      <c r="F412" s="12">
        <f t="shared" si="24"/>
        <v>-6.0031919309897486E-3</v>
      </c>
      <c r="I412" s="9">
        <v>42986</v>
      </c>
      <c r="J412" s="10">
        <v>11674.9</v>
      </c>
      <c r="K412" s="11" t="s">
        <v>84</v>
      </c>
      <c r="L412" s="12">
        <f t="shared" si="25"/>
        <v>-4.7568934573339883E-2</v>
      </c>
      <c r="O412" s="9">
        <v>42986</v>
      </c>
      <c r="P412" s="10">
        <v>11674.9</v>
      </c>
      <c r="Q412" s="11" t="s">
        <v>84</v>
      </c>
      <c r="R412" s="12">
        <f t="shared" si="26"/>
        <v>-4.7568934573339883E-2</v>
      </c>
      <c r="S412" s="12">
        <f t="shared" si="27"/>
        <v>1.0800404798497976E-2</v>
      </c>
    </row>
    <row r="413" spans="3:19">
      <c r="C413" s="9">
        <v>43157</v>
      </c>
      <c r="D413" s="10">
        <v>42911.02</v>
      </c>
      <c r="E413" s="11" t="s">
        <v>79</v>
      </c>
      <c r="F413" s="12">
        <f t="shared" si="24"/>
        <v>-8.2321019155388031E-3</v>
      </c>
      <c r="I413" s="9">
        <v>42978</v>
      </c>
      <c r="J413" s="10">
        <v>11791.5</v>
      </c>
      <c r="K413" s="11" t="s">
        <v>84</v>
      </c>
      <c r="L413" s="12">
        <f t="shared" si="25"/>
        <v>9.9872375780520883E-3</v>
      </c>
      <c r="O413" s="9">
        <v>42978</v>
      </c>
      <c r="P413" s="10">
        <v>11791.5</v>
      </c>
      <c r="Q413" s="11" t="s">
        <v>84</v>
      </c>
      <c r="R413" s="12">
        <f t="shared" si="26"/>
        <v>9.9872375780520883E-3</v>
      </c>
      <c r="S413" s="12">
        <f t="shared" si="27"/>
        <v>-2.8230807298000871E-3</v>
      </c>
    </row>
    <row r="414" spans="3:19">
      <c r="C414" s="9">
        <v>43158</v>
      </c>
      <c r="D414" s="10">
        <v>42994.96</v>
      </c>
      <c r="E414" s="11" t="s">
        <v>79</v>
      </c>
      <c r="F414" s="12">
        <f t="shared" si="24"/>
        <v>1.9561408701076477E-3</v>
      </c>
      <c r="I414" s="9">
        <v>42977</v>
      </c>
      <c r="J414" s="10">
        <v>11400</v>
      </c>
      <c r="K414" s="11" t="s">
        <v>84</v>
      </c>
      <c r="L414" s="12">
        <f t="shared" si="25"/>
        <v>-3.3201882712123099E-2</v>
      </c>
      <c r="O414" s="9">
        <v>42977</v>
      </c>
      <c r="P414" s="10">
        <v>11400</v>
      </c>
      <c r="Q414" s="11" t="s">
        <v>84</v>
      </c>
      <c r="R414" s="12">
        <f t="shared" si="26"/>
        <v>-3.3201882712123099E-2</v>
      </c>
      <c r="S414" s="12">
        <f t="shared" si="27"/>
        <v>2.196537343317484E-3</v>
      </c>
    </row>
    <row r="415" spans="3:19">
      <c r="C415" s="9">
        <v>43159</v>
      </c>
      <c r="D415" s="10">
        <v>43239.44</v>
      </c>
      <c r="E415" s="11" t="s">
        <v>79</v>
      </c>
      <c r="F415" s="12">
        <f t="shared" si="24"/>
        <v>5.6862478764954094E-3</v>
      </c>
      <c r="I415" s="9">
        <v>42976</v>
      </c>
      <c r="J415" s="10">
        <v>10900</v>
      </c>
      <c r="K415" s="11" t="s">
        <v>84</v>
      </c>
      <c r="L415" s="12">
        <f t="shared" si="25"/>
        <v>-4.3859649122807043E-2</v>
      </c>
      <c r="O415" s="9">
        <v>42976</v>
      </c>
      <c r="P415" s="10">
        <v>10900</v>
      </c>
      <c r="Q415" s="11" t="s">
        <v>84</v>
      </c>
      <c r="R415" s="12">
        <f t="shared" si="26"/>
        <v>-4.3859649122807043E-2</v>
      </c>
      <c r="S415" s="12">
        <f t="shared" si="27"/>
        <v>-1.7657028528463403E-2</v>
      </c>
    </row>
    <row r="416" spans="3:19">
      <c r="C416" s="9">
        <v>43160</v>
      </c>
      <c r="D416" s="10">
        <v>43510.39</v>
      </c>
      <c r="E416" s="11" t="s">
        <v>79</v>
      </c>
      <c r="F416" s="12">
        <f t="shared" si="24"/>
        <v>6.266269868434815E-3</v>
      </c>
      <c r="I416" s="9">
        <v>42972</v>
      </c>
      <c r="J416" s="10">
        <v>10900</v>
      </c>
      <c r="K416" s="11" t="s">
        <v>84</v>
      </c>
      <c r="L416" s="12">
        <f t="shared" si="25"/>
        <v>0</v>
      </c>
      <c r="O416" s="9">
        <v>42972</v>
      </c>
      <c r="P416" s="10">
        <v>10900</v>
      </c>
      <c r="Q416" s="11" t="s">
        <v>84</v>
      </c>
      <c r="R416" s="12">
        <f t="shared" si="26"/>
        <v>0</v>
      </c>
      <c r="S416" s="12">
        <f t="shared" si="27"/>
        <v>8.8275888827218374E-3</v>
      </c>
    </row>
    <row r="417" spans="3:19">
      <c r="C417" s="9">
        <v>43161</v>
      </c>
      <c r="D417" s="10">
        <v>43740.49</v>
      </c>
      <c r="E417" s="11" t="s">
        <v>79</v>
      </c>
      <c r="F417" s="12">
        <f t="shared" si="24"/>
        <v>5.288392036936429E-3</v>
      </c>
      <c r="I417" s="9">
        <v>42971</v>
      </c>
      <c r="J417" s="10">
        <v>11000</v>
      </c>
      <c r="K417" s="11" t="s">
        <v>84</v>
      </c>
      <c r="L417" s="12">
        <f t="shared" si="25"/>
        <v>9.1743119266054496E-3</v>
      </c>
      <c r="O417" s="9">
        <v>42971</v>
      </c>
      <c r="P417" s="10">
        <v>11000</v>
      </c>
      <c r="Q417" s="11" t="s">
        <v>84</v>
      </c>
      <c r="R417" s="12">
        <f t="shared" si="26"/>
        <v>9.1743119266054496E-3</v>
      </c>
      <c r="S417" s="12">
        <f t="shared" si="27"/>
        <v>-1.4965233685979684E-2</v>
      </c>
    </row>
    <row r="418" spans="3:19">
      <c r="C418" s="9">
        <v>43164</v>
      </c>
      <c r="D418" s="10">
        <v>43829.07</v>
      </c>
      <c r="E418" s="11" t="s">
        <v>79</v>
      </c>
      <c r="F418" s="12">
        <f t="shared" si="24"/>
        <v>2.025125918799775E-3</v>
      </c>
      <c r="I418" s="9">
        <v>42969</v>
      </c>
      <c r="J418" s="10">
        <v>10381</v>
      </c>
      <c r="K418" s="11" t="s">
        <v>84</v>
      </c>
      <c r="L418" s="12">
        <f t="shared" si="25"/>
        <v>-5.6272727272727252E-2</v>
      </c>
      <c r="O418" s="9">
        <v>42969</v>
      </c>
      <c r="P418" s="10">
        <v>10381</v>
      </c>
      <c r="Q418" s="11" t="s">
        <v>84</v>
      </c>
      <c r="R418" s="12">
        <f t="shared" si="26"/>
        <v>-5.6272727272727252E-2</v>
      </c>
      <c r="S418" s="12">
        <f t="shared" si="27"/>
        <v>-4.0381103484463665E-3</v>
      </c>
    </row>
    <row r="419" spans="3:19">
      <c r="C419" s="9">
        <v>43165</v>
      </c>
      <c r="D419" s="10">
        <v>43705.1</v>
      </c>
      <c r="E419" s="11" t="s">
        <v>79</v>
      </c>
      <c r="F419" s="12">
        <f t="shared" si="24"/>
        <v>-2.8284880331707063E-3</v>
      </c>
      <c r="I419" s="9">
        <v>42965</v>
      </c>
      <c r="J419" s="10">
        <v>11172</v>
      </c>
      <c r="K419" s="11" t="s">
        <v>84</v>
      </c>
      <c r="L419" s="12">
        <f t="shared" si="25"/>
        <v>7.6196898179366146E-2</v>
      </c>
      <c r="O419" s="9">
        <v>42965</v>
      </c>
      <c r="P419" s="10">
        <v>11172</v>
      </c>
      <c r="Q419" s="11" t="s">
        <v>84</v>
      </c>
      <c r="R419" s="12">
        <f t="shared" si="26"/>
        <v>7.6196898179366146E-2</v>
      </c>
      <c r="S419" s="12">
        <f t="shared" si="27"/>
        <v>-1.3371643121786736E-3</v>
      </c>
    </row>
    <row r="420" spans="3:19">
      <c r="C420" s="9">
        <v>43166</v>
      </c>
      <c r="D420" s="10">
        <v>43441.18</v>
      </c>
      <c r="E420" s="11" t="s">
        <v>79</v>
      </c>
      <c r="F420" s="12">
        <f t="shared" si="24"/>
        <v>-6.0386545277324455E-3</v>
      </c>
      <c r="I420" s="9">
        <v>42962</v>
      </c>
      <c r="J420" s="10">
        <v>10640</v>
      </c>
      <c r="K420" s="11" t="s">
        <v>84</v>
      </c>
      <c r="L420" s="12">
        <f t="shared" si="25"/>
        <v>-4.7619047619047672E-2</v>
      </c>
      <c r="O420" s="9">
        <v>42962</v>
      </c>
      <c r="P420" s="10">
        <v>10640</v>
      </c>
      <c r="Q420" s="11" t="s">
        <v>84</v>
      </c>
      <c r="R420" s="12">
        <f t="shared" si="26"/>
        <v>-4.7619047619047672E-2</v>
      </c>
      <c r="S420" s="12">
        <f t="shared" si="27"/>
        <v>-3.0670927646295976E-2</v>
      </c>
    </row>
    <row r="421" spans="3:19">
      <c r="C421" s="9">
        <v>43167</v>
      </c>
      <c r="D421" s="10">
        <v>43072.74</v>
      </c>
      <c r="E421" s="11" t="s">
        <v>79</v>
      </c>
      <c r="F421" s="12">
        <f t="shared" si="24"/>
        <v>-8.481353407066794E-3</v>
      </c>
      <c r="I421" s="9">
        <v>42958</v>
      </c>
      <c r="J421" s="10">
        <v>11200</v>
      </c>
      <c r="K421" s="11" t="s">
        <v>84</v>
      </c>
      <c r="L421" s="12">
        <f t="shared" si="25"/>
        <v>5.2631578947368363E-2</v>
      </c>
      <c r="O421" s="9">
        <v>42958</v>
      </c>
      <c r="P421" s="10">
        <v>11200</v>
      </c>
      <c r="Q421" s="11" t="s">
        <v>84</v>
      </c>
      <c r="R421" s="12">
        <f t="shared" si="26"/>
        <v>5.2631578947368363E-2</v>
      </c>
      <c r="S421" s="12">
        <f t="shared" si="27"/>
        <v>-7.5717633467311529E-3</v>
      </c>
    </row>
    <row r="422" spans="3:19">
      <c r="C422" s="9">
        <v>43168</v>
      </c>
      <c r="D422" s="10">
        <v>43011.26</v>
      </c>
      <c r="E422" s="11" t="s">
        <v>79</v>
      </c>
      <c r="F422" s="12">
        <f t="shared" si="24"/>
        <v>-1.4273528918753442E-3</v>
      </c>
      <c r="I422" s="9">
        <v>42944</v>
      </c>
      <c r="J422" s="10">
        <v>11199</v>
      </c>
      <c r="K422" s="11" t="s">
        <v>84</v>
      </c>
      <c r="L422" s="12">
        <f t="shared" si="25"/>
        <v>-8.9285714285680662E-5</v>
      </c>
      <c r="O422" s="9">
        <v>42944</v>
      </c>
      <c r="P422" s="10">
        <v>11199</v>
      </c>
      <c r="Q422" s="11" t="s">
        <v>84</v>
      </c>
      <c r="R422" s="12">
        <f t="shared" si="26"/>
        <v>-8.9285714285680662E-5</v>
      </c>
      <c r="S422" s="12">
        <f t="shared" si="27"/>
        <v>1.3658416721562538E-4</v>
      </c>
    </row>
    <row r="423" spans="3:19">
      <c r="C423" s="9">
        <v>43171</v>
      </c>
      <c r="D423" s="10">
        <v>43410.93</v>
      </c>
      <c r="E423" s="11" t="s">
        <v>79</v>
      </c>
      <c r="F423" s="12">
        <f t="shared" si="24"/>
        <v>9.2922178982899339E-3</v>
      </c>
      <c r="I423" s="9">
        <v>42943</v>
      </c>
      <c r="J423" s="10">
        <v>10700</v>
      </c>
      <c r="K423" s="11" t="s">
        <v>84</v>
      </c>
      <c r="L423" s="12">
        <f t="shared" si="25"/>
        <v>-4.4557549781230499E-2</v>
      </c>
      <c r="O423" s="9">
        <v>42943</v>
      </c>
      <c r="P423" s="10">
        <v>10700</v>
      </c>
      <c r="Q423" s="11" t="s">
        <v>84</v>
      </c>
      <c r="R423" s="12">
        <f t="shared" si="26"/>
        <v>-4.4557549781230499E-2</v>
      </c>
      <c r="S423" s="12">
        <f t="shared" si="27"/>
        <v>-5.7288003347477634E-5</v>
      </c>
    </row>
    <row r="424" spans="3:19">
      <c r="C424" s="9">
        <v>43172</v>
      </c>
      <c r="D424" s="10">
        <v>43618.07</v>
      </c>
      <c r="E424" s="11" t="s">
        <v>79</v>
      </c>
      <c r="F424" s="12">
        <f t="shared" si="24"/>
        <v>4.7716093619740718E-3</v>
      </c>
      <c r="I424" s="9">
        <v>42940</v>
      </c>
      <c r="J424" s="10">
        <v>10200</v>
      </c>
      <c r="K424" s="11" t="s">
        <v>84</v>
      </c>
      <c r="L424" s="12">
        <f t="shared" si="25"/>
        <v>-4.6728971962616828E-2</v>
      </c>
      <c r="O424" s="9">
        <v>42940</v>
      </c>
      <c r="P424" s="10">
        <v>10200</v>
      </c>
      <c r="Q424" s="11" t="s">
        <v>84</v>
      </c>
      <c r="R424" s="12">
        <f t="shared" si="26"/>
        <v>-4.6728971962616828E-2</v>
      </c>
      <c r="S424" s="12">
        <f t="shared" si="27"/>
        <v>5.1840857112768202E-3</v>
      </c>
    </row>
    <row r="425" spans="3:19">
      <c r="C425" s="9">
        <v>43173</v>
      </c>
      <c r="D425" s="10">
        <v>43407.72</v>
      </c>
      <c r="E425" s="11" t="s">
        <v>79</v>
      </c>
      <c r="F425" s="12">
        <f t="shared" si="24"/>
        <v>-4.82254258384196E-3</v>
      </c>
      <c r="I425" s="9">
        <v>42933</v>
      </c>
      <c r="J425" s="10">
        <v>9785</v>
      </c>
      <c r="K425" s="11" t="s">
        <v>84</v>
      </c>
      <c r="L425" s="12">
        <f t="shared" si="25"/>
        <v>-4.0686274509803888E-2</v>
      </c>
      <c r="O425" s="9">
        <v>42933</v>
      </c>
      <c r="P425" s="10">
        <v>9785</v>
      </c>
      <c r="Q425" s="11" t="s">
        <v>84</v>
      </c>
      <c r="R425" s="12">
        <f t="shared" si="26"/>
        <v>-4.0686274509803888E-2</v>
      </c>
      <c r="S425" s="12">
        <f t="shared" si="27"/>
        <v>4.189912633656645E-3</v>
      </c>
    </row>
    <row r="426" spans="3:19">
      <c r="C426" s="9">
        <v>43174</v>
      </c>
      <c r="D426" s="10">
        <v>43495.07</v>
      </c>
      <c r="E426" s="11" t="s">
        <v>79</v>
      </c>
      <c r="F426" s="12">
        <f t="shared" si="24"/>
        <v>2.0123148601216556E-3</v>
      </c>
      <c r="I426" s="9">
        <v>42929</v>
      </c>
      <c r="J426" s="10">
        <v>9785</v>
      </c>
      <c r="K426" s="11" t="s">
        <v>84</v>
      </c>
      <c r="L426" s="12">
        <f t="shared" si="25"/>
        <v>0</v>
      </c>
      <c r="O426" s="9">
        <v>42929</v>
      </c>
      <c r="P426" s="10">
        <v>9785</v>
      </c>
      <c r="Q426" s="11" t="s">
        <v>84</v>
      </c>
      <c r="R426" s="12">
        <f t="shared" si="26"/>
        <v>0</v>
      </c>
      <c r="S426" s="12">
        <f t="shared" si="27"/>
        <v>-1.9729545382407565E-4</v>
      </c>
    </row>
    <row r="427" spans="3:19">
      <c r="C427" s="9">
        <v>43175</v>
      </c>
      <c r="D427" s="10">
        <v>43363.21</v>
      </c>
      <c r="E427" s="11" t="s">
        <v>79</v>
      </c>
      <c r="F427" s="12">
        <f t="shared" si="24"/>
        <v>-3.0316079500504189E-3</v>
      </c>
      <c r="I427" s="9">
        <v>42927</v>
      </c>
      <c r="J427" s="10">
        <v>10400</v>
      </c>
      <c r="K427" s="11" t="s">
        <v>84</v>
      </c>
      <c r="L427" s="12">
        <f t="shared" si="25"/>
        <v>6.285130301481856E-2</v>
      </c>
      <c r="O427" s="9">
        <v>42927</v>
      </c>
      <c r="P427" s="10">
        <v>10400</v>
      </c>
      <c r="Q427" s="11" t="s">
        <v>84</v>
      </c>
      <c r="R427" s="12">
        <f t="shared" si="26"/>
        <v>6.285130301481856E-2</v>
      </c>
      <c r="S427" s="12">
        <f t="shared" si="27"/>
        <v>-4.6532368957732162E-2</v>
      </c>
    </row>
    <row r="428" spans="3:19">
      <c r="C428" s="9">
        <v>43178</v>
      </c>
      <c r="D428" s="10">
        <v>43539.6</v>
      </c>
      <c r="E428" s="11" t="s">
        <v>79</v>
      </c>
      <c r="F428" s="12">
        <f t="shared" si="24"/>
        <v>4.0677339154551184E-3</v>
      </c>
      <c r="I428" s="9">
        <v>42923</v>
      </c>
      <c r="J428" s="10">
        <v>10300</v>
      </c>
      <c r="K428" s="11" t="s">
        <v>84</v>
      </c>
      <c r="L428" s="12">
        <f t="shared" si="25"/>
        <v>-9.6153846153845812E-3</v>
      </c>
      <c r="O428" s="9">
        <v>42923</v>
      </c>
      <c r="P428" s="10">
        <v>10300</v>
      </c>
      <c r="Q428" s="11" t="s">
        <v>84</v>
      </c>
      <c r="R428" s="12">
        <f t="shared" si="26"/>
        <v>-9.6153846153845812E-3</v>
      </c>
      <c r="S428" s="12">
        <f t="shared" si="27"/>
        <v>8.9025504923687659E-3</v>
      </c>
    </row>
    <row r="429" spans="3:19">
      <c r="C429" s="9">
        <v>43179</v>
      </c>
      <c r="D429" s="10">
        <v>44309.74</v>
      </c>
      <c r="E429" s="11" t="s">
        <v>79</v>
      </c>
      <c r="F429" s="12">
        <f t="shared" si="24"/>
        <v>1.7688265395180425E-2</v>
      </c>
      <c r="I429" s="9">
        <v>42922</v>
      </c>
      <c r="J429" s="10">
        <v>10400</v>
      </c>
      <c r="K429" s="11" t="s">
        <v>84</v>
      </c>
      <c r="L429" s="12">
        <f t="shared" si="25"/>
        <v>9.7087378640776656E-3</v>
      </c>
      <c r="O429" s="9">
        <v>42922</v>
      </c>
      <c r="P429" s="10">
        <v>10400</v>
      </c>
      <c r="Q429" s="11" t="s">
        <v>84</v>
      </c>
      <c r="R429" s="12">
        <f t="shared" si="26"/>
        <v>9.7087378640776656E-3</v>
      </c>
      <c r="S429" s="12">
        <f t="shared" si="27"/>
        <v>-1.2998580595779741E-2</v>
      </c>
    </row>
    <row r="430" spans="3:19">
      <c r="C430" s="9">
        <v>43180</v>
      </c>
      <c r="D430" s="10">
        <v>44645.95</v>
      </c>
      <c r="E430" s="11" t="s">
        <v>79</v>
      </c>
      <c r="F430" s="12">
        <f t="shared" si="24"/>
        <v>7.5877222479752149E-3</v>
      </c>
      <c r="I430" s="9">
        <v>42921</v>
      </c>
      <c r="J430" s="10">
        <v>10400</v>
      </c>
      <c r="K430" s="11" t="s">
        <v>84</v>
      </c>
      <c r="L430" s="12">
        <f t="shared" si="25"/>
        <v>0</v>
      </c>
      <c r="O430" s="9">
        <v>42921</v>
      </c>
      <c r="P430" s="10">
        <v>10400</v>
      </c>
      <c r="Q430" s="11" t="s">
        <v>84</v>
      </c>
      <c r="R430" s="12">
        <f t="shared" si="26"/>
        <v>0</v>
      </c>
      <c r="S430" s="12">
        <f t="shared" si="27"/>
        <v>4.2648751841101173E-4</v>
      </c>
    </row>
    <row r="431" spans="3:19">
      <c r="C431" s="9">
        <v>43181</v>
      </c>
      <c r="D431" s="10">
        <v>45030.22</v>
      </c>
      <c r="E431" s="11" t="s">
        <v>79</v>
      </c>
      <c r="F431" s="12">
        <f t="shared" si="24"/>
        <v>8.6070517034579908E-3</v>
      </c>
      <c r="I431" s="9">
        <v>42920</v>
      </c>
      <c r="J431" s="10">
        <v>10400</v>
      </c>
      <c r="K431" s="11" t="s">
        <v>84</v>
      </c>
      <c r="L431" s="12">
        <f t="shared" si="25"/>
        <v>0</v>
      </c>
      <c r="O431" s="9">
        <v>42920</v>
      </c>
      <c r="P431" s="10">
        <v>10400</v>
      </c>
      <c r="Q431" s="11" t="s">
        <v>84</v>
      </c>
      <c r="R431" s="12">
        <f t="shared" si="26"/>
        <v>0</v>
      </c>
      <c r="S431" s="12">
        <f t="shared" si="27"/>
        <v>1.631351867138342E-2</v>
      </c>
    </row>
    <row r="432" spans="3:19">
      <c r="C432" s="9">
        <v>43185</v>
      </c>
      <c r="D432" s="10">
        <v>45083.57</v>
      </c>
      <c r="E432" s="11" t="s">
        <v>79</v>
      </c>
      <c r="F432" s="12">
        <f t="shared" si="24"/>
        <v>1.1847599234469097E-3</v>
      </c>
      <c r="I432" s="9">
        <v>42919</v>
      </c>
      <c r="J432" s="10">
        <v>10400</v>
      </c>
      <c r="K432" s="11" t="s">
        <v>84</v>
      </c>
      <c r="L432" s="12">
        <f t="shared" si="25"/>
        <v>0</v>
      </c>
      <c r="O432" s="9">
        <v>42919</v>
      </c>
      <c r="P432" s="10">
        <v>10400</v>
      </c>
      <c r="Q432" s="11" t="s">
        <v>84</v>
      </c>
      <c r="R432" s="12">
        <f t="shared" si="26"/>
        <v>0</v>
      </c>
      <c r="S432" s="12">
        <f t="shared" si="27"/>
        <v>-4.0800347211410015E-2</v>
      </c>
    </row>
    <row r="433" spans="3:19">
      <c r="C433" s="9">
        <v>43186</v>
      </c>
      <c r="D433" s="10">
        <v>45004.19</v>
      </c>
      <c r="E433" s="11" t="s">
        <v>79</v>
      </c>
      <c r="F433" s="12">
        <f t="shared" si="24"/>
        <v>-1.7607301285146315E-3</v>
      </c>
      <c r="I433" s="9">
        <v>42916</v>
      </c>
      <c r="J433" s="10">
        <v>10200</v>
      </c>
      <c r="K433" s="11" t="s">
        <v>84</v>
      </c>
      <c r="L433" s="12">
        <f t="shared" si="25"/>
        <v>-1.9230769230769273E-2</v>
      </c>
      <c r="O433" s="9">
        <v>42916</v>
      </c>
      <c r="P433" s="10">
        <v>10200</v>
      </c>
      <c r="Q433" s="11" t="s">
        <v>84</v>
      </c>
      <c r="R433" s="12">
        <f t="shared" si="26"/>
        <v>-1.9230769230769273E-2</v>
      </c>
      <c r="S433" s="12">
        <f t="shared" si="27"/>
        <v>-3.1375336236949547E-3</v>
      </c>
    </row>
    <row r="434" spans="3:19">
      <c r="C434" s="9">
        <v>43187</v>
      </c>
      <c r="D434" s="10">
        <v>45172.99</v>
      </c>
      <c r="E434" s="11" t="s">
        <v>79</v>
      </c>
      <c r="F434" s="12">
        <f t="shared" si="24"/>
        <v>3.750761873505537E-3</v>
      </c>
      <c r="I434" s="9">
        <v>42915</v>
      </c>
      <c r="J434" s="10">
        <v>10400</v>
      </c>
      <c r="K434" s="11" t="s">
        <v>84</v>
      </c>
      <c r="L434" s="12">
        <f t="shared" si="25"/>
        <v>1.9607843137254832E-2</v>
      </c>
      <c r="O434" s="9">
        <v>42915</v>
      </c>
      <c r="P434" s="10">
        <v>10400</v>
      </c>
      <c r="Q434" s="11" t="s">
        <v>84</v>
      </c>
      <c r="R434" s="12">
        <f t="shared" si="26"/>
        <v>1.9607843137254832E-2</v>
      </c>
      <c r="S434" s="12">
        <f t="shared" si="27"/>
        <v>8.1916917157811575E-3</v>
      </c>
    </row>
    <row r="435" spans="3:19">
      <c r="C435" s="9">
        <v>43188</v>
      </c>
      <c r="D435" s="10">
        <v>45489.62</v>
      </c>
      <c r="E435" s="11" t="s">
        <v>79</v>
      </c>
      <c r="F435" s="12">
        <f t="shared" si="24"/>
        <v>7.0092770038026053E-3</v>
      </c>
      <c r="I435" s="9">
        <v>42908</v>
      </c>
      <c r="J435" s="10">
        <v>10200</v>
      </c>
      <c r="K435" s="11" t="s">
        <v>84</v>
      </c>
      <c r="L435" s="12">
        <f t="shared" si="25"/>
        <v>-1.9230769230769273E-2</v>
      </c>
      <c r="O435" s="9">
        <v>42908</v>
      </c>
      <c r="P435" s="10">
        <v>10200</v>
      </c>
      <c r="Q435" s="11" t="s">
        <v>84</v>
      </c>
      <c r="R435" s="12">
        <f t="shared" si="26"/>
        <v>-1.9230769230769273E-2</v>
      </c>
      <c r="S435" s="12">
        <f t="shared" si="27"/>
        <v>1.8864435113687961E-2</v>
      </c>
    </row>
    <row r="436" spans="3:19">
      <c r="C436" s="9">
        <v>43189</v>
      </c>
      <c r="D436" s="10">
        <v>45560.3</v>
      </c>
      <c r="E436" s="11" t="s">
        <v>79</v>
      </c>
      <c r="F436" s="12">
        <f t="shared" si="24"/>
        <v>1.5537610558189474E-3</v>
      </c>
      <c r="I436" s="9">
        <v>42907</v>
      </c>
      <c r="J436" s="10">
        <v>10200</v>
      </c>
      <c r="K436" s="11" t="s">
        <v>84</v>
      </c>
      <c r="L436" s="12">
        <f t="shared" si="25"/>
        <v>0</v>
      </c>
      <c r="O436" s="9">
        <v>42907</v>
      </c>
      <c r="P436" s="10">
        <v>10200</v>
      </c>
      <c r="Q436" s="11" t="s">
        <v>84</v>
      </c>
      <c r="R436" s="12">
        <f t="shared" si="26"/>
        <v>0</v>
      </c>
      <c r="S436" s="12">
        <f t="shared" si="27"/>
        <v>1.2468595845790187E-2</v>
      </c>
    </row>
    <row r="437" spans="3:19">
      <c r="C437" s="9">
        <v>43192</v>
      </c>
      <c r="D437" s="10">
        <v>45741.43</v>
      </c>
      <c r="E437" s="11" t="s">
        <v>79</v>
      </c>
      <c r="F437" s="12">
        <f t="shared" si="24"/>
        <v>3.9756103449712921E-3</v>
      </c>
      <c r="I437" s="9">
        <v>42906</v>
      </c>
      <c r="J437" s="10">
        <v>10200</v>
      </c>
      <c r="K437" s="11" t="s">
        <v>84</v>
      </c>
      <c r="L437" s="12">
        <f t="shared" si="25"/>
        <v>0</v>
      </c>
      <c r="O437" s="9">
        <v>42906</v>
      </c>
      <c r="P437" s="10">
        <v>10200</v>
      </c>
      <c r="Q437" s="11" t="s">
        <v>84</v>
      </c>
      <c r="R437" s="12">
        <f t="shared" si="26"/>
        <v>0</v>
      </c>
      <c r="S437" s="12">
        <f t="shared" si="27"/>
        <v>-3.6033046783080946E-2</v>
      </c>
    </row>
    <row r="438" spans="3:19">
      <c r="C438" s="9">
        <v>43193</v>
      </c>
      <c r="D438" s="10">
        <v>46013.34</v>
      </c>
      <c r="E438" s="11" t="s">
        <v>79</v>
      </c>
      <c r="F438" s="12">
        <f t="shared" si="24"/>
        <v>5.9445015164587556E-3</v>
      </c>
      <c r="I438" s="9">
        <v>42905</v>
      </c>
      <c r="J438" s="10">
        <v>10200</v>
      </c>
      <c r="K438" s="11" t="s">
        <v>84</v>
      </c>
      <c r="L438" s="12">
        <f t="shared" si="25"/>
        <v>0</v>
      </c>
      <c r="O438" s="9">
        <v>42905</v>
      </c>
      <c r="P438" s="10">
        <v>10200</v>
      </c>
      <c r="Q438" s="11" t="s">
        <v>84</v>
      </c>
      <c r="R438" s="12">
        <f t="shared" si="26"/>
        <v>0</v>
      </c>
      <c r="S438" s="12">
        <f t="shared" si="27"/>
        <v>-5.6600117459862931E-3</v>
      </c>
    </row>
    <row r="439" spans="3:19">
      <c r="C439" s="9">
        <v>43194</v>
      </c>
      <c r="D439" s="10">
        <v>46103.61</v>
      </c>
      <c r="E439" s="11" t="s">
        <v>79</v>
      </c>
      <c r="F439" s="12">
        <f t="shared" si="24"/>
        <v>1.961822375858846E-3</v>
      </c>
      <c r="I439" s="9">
        <v>42902</v>
      </c>
      <c r="J439" s="10">
        <v>10200</v>
      </c>
      <c r="K439" s="11" t="s">
        <v>84</v>
      </c>
      <c r="L439" s="12">
        <f t="shared" si="25"/>
        <v>0</v>
      </c>
      <c r="O439" s="9">
        <v>42902</v>
      </c>
      <c r="P439" s="10">
        <v>10200</v>
      </c>
      <c r="Q439" s="11" t="s">
        <v>84</v>
      </c>
      <c r="R439" s="12">
        <f t="shared" si="26"/>
        <v>0</v>
      </c>
      <c r="S439" s="12">
        <f t="shared" si="27"/>
        <v>-1.2313161573965226E-2</v>
      </c>
    </row>
    <row r="440" spans="3:19">
      <c r="C440" s="9">
        <v>43195</v>
      </c>
      <c r="D440" s="10">
        <v>46560.82</v>
      </c>
      <c r="E440" s="11" t="s">
        <v>79</v>
      </c>
      <c r="F440" s="12">
        <f t="shared" si="24"/>
        <v>9.9170108371122723E-3</v>
      </c>
      <c r="I440" s="9">
        <v>42901</v>
      </c>
      <c r="J440" s="10">
        <v>10200</v>
      </c>
      <c r="K440" s="11" t="s">
        <v>84</v>
      </c>
      <c r="L440" s="12">
        <f t="shared" si="25"/>
        <v>0</v>
      </c>
      <c r="O440" s="9">
        <v>42901</v>
      </c>
      <c r="P440" s="10">
        <v>10200</v>
      </c>
      <c r="Q440" s="11" t="s">
        <v>84</v>
      </c>
      <c r="R440" s="12">
        <f t="shared" si="26"/>
        <v>0</v>
      </c>
      <c r="S440" s="12">
        <f t="shared" si="27"/>
        <v>-3.4848716535484936E-3</v>
      </c>
    </row>
    <row r="441" spans="3:19">
      <c r="C441" s="9">
        <v>43196</v>
      </c>
      <c r="D441" s="10">
        <v>46637.62</v>
      </c>
      <c r="E441" s="11" t="s">
        <v>79</v>
      </c>
      <c r="F441" s="12">
        <f t="shared" si="24"/>
        <v>1.649455486393947E-3</v>
      </c>
      <c r="I441" s="9">
        <v>42895</v>
      </c>
      <c r="J441" s="10">
        <v>10200</v>
      </c>
      <c r="K441" s="11" t="s">
        <v>84</v>
      </c>
      <c r="L441" s="12">
        <f t="shared" si="25"/>
        <v>0</v>
      </c>
      <c r="O441" s="9">
        <v>42895</v>
      </c>
      <c r="P441" s="10">
        <v>10200</v>
      </c>
      <c r="Q441" s="11" t="s">
        <v>84</v>
      </c>
      <c r="R441" s="12">
        <f t="shared" si="26"/>
        <v>0</v>
      </c>
      <c r="S441" s="12">
        <f t="shared" si="27"/>
        <v>-8.6353967396428644E-3</v>
      </c>
    </row>
    <row r="442" spans="3:19">
      <c r="C442" s="9">
        <v>43199</v>
      </c>
      <c r="D442" s="10">
        <v>46580.62</v>
      </c>
      <c r="E442" s="11" t="s">
        <v>79</v>
      </c>
      <c r="F442" s="12">
        <f t="shared" si="24"/>
        <v>-1.2221892969667136E-3</v>
      </c>
      <c r="I442" s="9">
        <v>42894</v>
      </c>
      <c r="J442" s="10">
        <v>10200</v>
      </c>
      <c r="K442" s="11" t="s">
        <v>84</v>
      </c>
      <c r="L442" s="12">
        <f t="shared" si="25"/>
        <v>0</v>
      </c>
      <c r="O442" s="9">
        <v>42894</v>
      </c>
      <c r="P442" s="10">
        <v>10200</v>
      </c>
      <c r="Q442" s="11" t="s">
        <v>84</v>
      </c>
      <c r="R442" s="12">
        <f t="shared" si="26"/>
        <v>0</v>
      </c>
      <c r="S442" s="12">
        <f t="shared" si="27"/>
        <v>-4.0763266651129282E-3</v>
      </c>
    </row>
    <row r="443" spans="3:19">
      <c r="C443" s="9">
        <v>43200</v>
      </c>
      <c r="D443" s="10">
        <v>46476.73</v>
      </c>
      <c r="E443" s="11" t="s">
        <v>79</v>
      </c>
      <c r="F443" s="12">
        <f t="shared" si="24"/>
        <v>-2.2303266895116192E-3</v>
      </c>
      <c r="I443" s="9">
        <v>42893</v>
      </c>
      <c r="J443" s="10">
        <v>10000</v>
      </c>
      <c r="K443" s="11" t="s">
        <v>84</v>
      </c>
      <c r="L443" s="12">
        <f t="shared" si="25"/>
        <v>-1.9607843137254943E-2</v>
      </c>
      <c r="O443" s="9">
        <v>42893</v>
      </c>
      <c r="P443" s="10">
        <v>10000</v>
      </c>
      <c r="Q443" s="11" t="s">
        <v>84</v>
      </c>
      <c r="R443" s="12">
        <f t="shared" si="26"/>
        <v>-1.9607843137254943E-2</v>
      </c>
      <c r="S443" s="12">
        <f t="shared" si="27"/>
        <v>3.6255128415541016E-4</v>
      </c>
    </row>
    <row r="444" spans="3:19">
      <c r="C444" s="9">
        <v>43201</v>
      </c>
      <c r="D444" s="10">
        <v>46486.49</v>
      </c>
      <c r="E444" s="11" t="s">
        <v>79</v>
      </c>
      <c r="F444" s="12">
        <f t="shared" si="24"/>
        <v>2.0999756222073174E-4</v>
      </c>
      <c r="I444" s="9">
        <v>42888</v>
      </c>
      <c r="J444" s="10">
        <v>10000</v>
      </c>
      <c r="K444" s="11" t="s">
        <v>84</v>
      </c>
      <c r="L444" s="12">
        <f t="shared" si="25"/>
        <v>0</v>
      </c>
      <c r="O444" s="9">
        <v>42888</v>
      </c>
      <c r="P444" s="10">
        <v>10000</v>
      </c>
      <c r="Q444" s="11" t="s">
        <v>84</v>
      </c>
      <c r="R444" s="12">
        <f t="shared" si="26"/>
        <v>0</v>
      </c>
      <c r="S444" s="12">
        <f t="shared" si="27"/>
        <v>-4.6229244655837665E-3</v>
      </c>
    </row>
    <row r="445" spans="3:19">
      <c r="C445" s="9">
        <v>43202</v>
      </c>
      <c r="D445" s="10">
        <v>46331.71</v>
      </c>
      <c r="E445" s="11" t="s">
        <v>79</v>
      </c>
      <c r="F445" s="12">
        <f t="shared" si="24"/>
        <v>-3.3295695157883332E-3</v>
      </c>
      <c r="I445" s="9">
        <v>42886</v>
      </c>
      <c r="J445" s="10">
        <v>10000</v>
      </c>
      <c r="K445" s="11" t="s">
        <v>84</v>
      </c>
      <c r="L445" s="12">
        <f t="shared" si="25"/>
        <v>0</v>
      </c>
      <c r="O445" s="9">
        <v>42886</v>
      </c>
      <c r="P445" s="10">
        <v>10000</v>
      </c>
      <c r="Q445" s="11" t="s">
        <v>84</v>
      </c>
      <c r="R445" s="12">
        <f t="shared" si="26"/>
        <v>0</v>
      </c>
      <c r="S445" s="12">
        <f t="shared" si="27"/>
        <v>-1.6745132854814049E-2</v>
      </c>
    </row>
    <row r="446" spans="3:19">
      <c r="C446" s="9">
        <v>43203</v>
      </c>
      <c r="D446" s="10">
        <v>46071.86</v>
      </c>
      <c r="E446" s="11" t="s">
        <v>79</v>
      </c>
      <c r="F446" s="12">
        <f t="shared" si="24"/>
        <v>-5.608469879484268E-3</v>
      </c>
      <c r="I446" s="9">
        <v>42884</v>
      </c>
      <c r="J446" s="10">
        <v>10000</v>
      </c>
      <c r="K446" s="11" t="s">
        <v>84</v>
      </c>
      <c r="L446" s="12">
        <f t="shared" si="25"/>
        <v>0</v>
      </c>
      <c r="O446" s="9">
        <v>42884</v>
      </c>
      <c r="P446" s="10">
        <v>10000</v>
      </c>
      <c r="Q446" s="11" t="s">
        <v>84</v>
      </c>
      <c r="R446" s="12">
        <f t="shared" si="26"/>
        <v>0</v>
      </c>
      <c r="S446" s="12">
        <f t="shared" si="27"/>
        <v>-9.4604789380523524E-3</v>
      </c>
    </row>
    <row r="447" spans="3:19">
      <c r="C447" s="9">
        <v>43206</v>
      </c>
      <c r="D447" s="10">
        <v>45682.239999999998</v>
      </c>
      <c r="E447" s="11" t="s">
        <v>79</v>
      </c>
      <c r="F447" s="12">
        <f t="shared" si="24"/>
        <v>-8.4567890247974065E-3</v>
      </c>
      <c r="I447" s="9">
        <v>42881</v>
      </c>
      <c r="J447" s="10">
        <v>10199.700000000001</v>
      </c>
      <c r="K447" s="11" t="s">
        <v>84</v>
      </c>
      <c r="L447" s="12">
        <f t="shared" si="25"/>
        <v>1.9970000000000043E-2</v>
      </c>
      <c r="O447" s="9">
        <v>42881</v>
      </c>
      <c r="P447" s="10">
        <v>10199.700000000001</v>
      </c>
      <c r="Q447" s="11" t="s">
        <v>84</v>
      </c>
      <c r="R447" s="12">
        <f t="shared" si="26"/>
        <v>1.9970000000000043E-2</v>
      </c>
      <c r="S447" s="12">
        <f t="shared" si="27"/>
        <v>-4.3908520322207822E-3</v>
      </c>
    </row>
    <row r="448" spans="3:19">
      <c r="C448" s="9">
        <v>43207</v>
      </c>
      <c r="D448" s="10">
        <v>45801.73</v>
      </c>
      <c r="E448" s="11" t="s">
        <v>79</v>
      </c>
      <c r="F448" s="12">
        <f t="shared" si="24"/>
        <v>2.615677339815381E-3</v>
      </c>
      <c r="I448" s="9">
        <v>42880</v>
      </c>
      <c r="J448" s="10">
        <v>10000</v>
      </c>
      <c r="K448" s="11" t="s">
        <v>84</v>
      </c>
      <c r="L448" s="12">
        <f t="shared" si="25"/>
        <v>-1.9579007225702827E-2</v>
      </c>
      <c r="O448" s="9">
        <v>42880</v>
      </c>
      <c r="P448" s="10">
        <v>10000</v>
      </c>
      <c r="Q448" s="11" t="s">
        <v>84</v>
      </c>
      <c r="R448" s="12">
        <f t="shared" si="26"/>
        <v>-1.9579007225702827E-2</v>
      </c>
      <c r="S448" s="12">
        <f t="shared" si="27"/>
        <v>-1.4089445473464135E-4</v>
      </c>
    </row>
    <row r="449" spans="3:19">
      <c r="C449" s="9">
        <v>43208</v>
      </c>
      <c r="D449" s="10">
        <v>45478.63</v>
      </c>
      <c r="E449" s="11" t="s">
        <v>79</v>
      </c>
      <c r="F449" s="12">
        <f t="shared" si="24"/>
        <v>-7.0543186905823729E-3</v>
      </c>
      <c r="I449" s="9">
        <v>42873</v>
      </c>
      <c r="J449" s="10">
        <v>10000</v>
      </c>
      <c r="K449" s="11" t="s">
        <v>84</v>
      </c>
      <c r="L449" s="12">
        <f t="shared" si="25"/>
        <v>0</v>
      </c>
      <c r="O449" s="9">
        <v>42873</v>
      </c>
      <c r="P449" s="10">
        <v>10000</v>
      </c>
      <c r="Q449" s="11" t="s">
        <v>84</v>
      </c>
      <c r="R449" s="12">
        <f t="shared" si="26"/>
        <v>0</v>
      </c>
      <c r="S449" s="12">
        <f t="shared" si="27"/>
        <v>-1.0770623440515492E-2</v>
      </c>
    </row>
    <row r="450" spans="3:19">
      <c r="C450" s="9">
        <v>43209</v>
      </c>
      <c r="D450" s="10">
        <v>45387.77</v>
      </c>
      <c r="E450" s="11" t="s">
        <v>79</v>
      </c>
      <c r="F450" s="12">
        <f t="shared" si="24"/>
        <v>-1.9978614131516137E-3</v>
      </c>
      <c r="I450" s="9">
        <v>42872</v>
      </c>
      <c r="J450" s="10">
        <v>9650</v>
      </c>
      <c r="K450" s="11" t="s">
        <v>84</v>
      </c>
      <c r="L450" s="12">
        <f t="shared" si="25"/>
        <v>-3.5000000000000031E-2</v>
      </c>
      <c r="O450" s="9">
        <v>42872</v>
      </c>
      <c r="P450" s="10">
        <v>9650</v>
      </c>
      <c r="Q450" s="11" t="s">
        <v>84</v>
      </c>
      <c r="R450" s="12">
        <f t="shared" si="26"/>
        <v>-3.5000000000000031E-2</v>
      </c>
      <c r="S450" s="12">
        <f t="shared" si="27"/>
        <v>-5.8243856438872088E-3</v>
      </c>
    </row>
    <row r="451" spans="3:19">
      <c r="C451" s="9">
        <v>43210</v>
      </c>
      <c r="D451" s="10">
        <v>45259.34</v>
      </c>
      <c r="E451" s="11" t="s">
        <v>79</v>
      </c>
      <c r="F451" s="12">
        <f t="shared" si="24"/>
        <v>-2.8296168769692542E-3</v>
      </c>
      <c r="I451" s="9">
        <v>42871</v>
      </c>
      <c r="J451" s="10">
        <v>9800</v>
      </c>
      <c r="K451" s="11" t="s">
        <v>84</v>
      </c>
      <c r="L451" s="12">
        <f t="shared" si="25"/>
        <v>1.5544041450777257E-2</v>
      </c>
      <c r="O451" s="9">
        <v>42871</v>
      </c>
      <c r="P451" s="10">
        <v>9800</v>
      </c>
      <c r="Q451" s="11" t="s">
        <v>84</v>
      </c>
      <c r="R451" s="12">
        <f t="shared" si="26"/>
        <v>1.5544041450777257E-2</v>
      </c>
      <c r="S451" s="12">
        <f t="shared" si="27"/>
        <v>-1.0969714935919361E-2</v>
      </c>
    </row>
    <row r="452" spans="3:19">
      <c r="C452" s="9">
        <v>43213</v>
      </c>
      <c r="D452" s="10">
        <v>45371.95</v>
      </c>
      <c r="E452" s="11" t="s">
        <v>79</v>
      </c>
      <c r="F452" s="12">
        <f t="shared" si="24"/>
        <v>2.4881052176191076E-3</v>
      </c>
      <c r="I452" s="9">
        <v>42867</v>
      </c>
      <c r="J452" s="10">
        <v>9850</v>
      </c>
      <c r="K452" s="11" t="s">
        <v>84</v>
      </c>
      <c r="L452" s="12">
        <f t="shared" si="25"/>
        <v>5.1020408163264808E-3</v>
      </c>
      <c r="O452" s="9">
        <v>42867</v>
      </c>
      <c r="P452" s="10">
        <v>9850</v>
      </c>
      <c r="Q452" s="11" t="s">
        <v>84</v>
      </c>
      <c r="R452" s="12">
        <f t="shared" si="26"/>
        <v>5.1020408163264808E-3</v>
      </c>
      <c r="S452" s="12">
        <f t="shared" si="27"/>
        <v>6.3178146622691056E-3</v>
      </c>
    </row>
    <row r="453" spans="3:19">
      <c r="C453" s="9">
        <v>43214</v>
      </c>
      <c r="D453" s="10">
        <v>45876.7</v>
      </c>
      <c r="E453" s="11" t="s">
        <v>79</v>
      </c>
      <c r="F453" s="12">
        <f t="shared" si="24"/>
        <v>1.1124714719116024E-2</v>
      </c>
      <c r="I453" s="9">
        <v>42866</v>
      </c>
      <c r="J453" s="10">
        <v>9800</v>
      </c>
      <c r="K453" s="11" t="s">
        <v>84</v>
      </c>
      <c r="L453" s="12">
        <f t="shared" si="25"/>
        <v>-5.0761421319797106E-3</v>
      </c>
      <c r="O453" s="9">
        <v>42866</v>
      </c>
      <c r="P453" s="10">
        <v>9800</v>
      </c>
      <c r="Q453" s="11" t="s">
        <v>84</v>
      </c>
      <c r="R453" s="12">
        <f t="shared" si="26"/>
        <v>-5.0761421319797106E-3</v>
      </c>
      <c r="S453" s="12">
        <f t="shared" si="27"/>
        <v>6.3103272905022934E-3</v>
      </c>
    </row>
    <row r="454" spans="3:19">
      <c r="C454" s="9">
        <v>43215</v>
      </c>
      <c r="D454" s="10">
        <v>45718.34</v>
      </c>
      <c r="E454" s="11" t="s">
        <v>79</v>
      </c>
      <c r="F454" s="12">
        <f t="shared" si="24"/>
        <v>-3.4518611844356339E-3</v>
      </c>
      <c r="I454" s="9">
        <v>42865</v>
      </c>
      <c r="J454" s="10">
        <v>9600</v>
      </c>
      <c r="K454" s="11" t="s">
        <v>84</v>
      </c>
      <c r="L454" s="12">
        <f t="shared" si="25"/>
        <v>-2.0408163265306145E-2</v>
      </c>
      <c r="O454" s="9">
        <v>42865</v>
      </c>
      <c r="P454" s="10">
        <v>9600</v>
      </c>
      <c r="Q454" s="11" t="s">
        <v>84</v>
      </c>
      <c r="R454" s="12">
        <f t="shared" si="26"/>
        <v>-2.0408163265306145E-2</v>
      </c>
      <c r="S454" s="12">
        <f t="shared" si="27"/>
        <v>5.9502901133545727E-4</v>
      </c>
    </row>
    <row r="455" spans="3:19">
      <c r="C455" s="9">
        <v>43216</v>
      </c>
      <c r="D455" s="10">
        <v>45460.87</v>
      </c>
      <c r="E455" s="11" t="s">
        <v>79</v>
      </c>
      <c r="F455" s="12">
        <f t="shared" ref="F455:F518" si="28">D455/D454-1</f>
        <v>-5.6316567924380445E-3</v>
      </c>
      <c r="I455" s="9">
        <v>42864</v>
      </c>
      <c r="J455" s="10">
        <v>9449</v>
      </c>
      <c r="K455" s="11" t="s">
        <v>84</v>
      </c>
      <c r="L455" s="12">
        <f t="shared" ref="L455:L518" si="29">J455/J454-1</f>
        <v>-1.5729166666666683E-2</v>
      </c>
      <c r="O455" s="9">
        <v>42864</v>
      </c>
      <c r="P455" s="10">
        <v>9449</v>
      </c>
      <c r="Q455" s="11" t="s">
        <v>84</v>
      </c>
      <c r="R455" s="12">
        <f t="shared" ref="R455:R518" si="30">P455/P454-1</f>
        <v>-1.5729166666666683E-2</v>
      </c>
      <c r="S455" s="12">
        <f t="shared" ref="S455:S518" si="31">VLOOKUP(O455,$C$5:$F$989,4,)</f>
        <v>2.6941699873428426E-3</v>
      </c>
    </row>
    <row r="456" spans="3:19">
      <c r="C456" s="9">
        <v>43217</v>
      </c>
      <c r="D456" s="10">
        <v>45542.78</v>
      </c>
      <c r="E456" s="11" t="s">
        <v>79</v>
      </c>
      <c r="F456" s="12">
        <f t="shared" si="28"/>
        <v>1.8017693018193004E-3</v>
      </c>
      <c r="I456" s="9">
        <v>42863</v>
      </c>
      <c r="J456" s="10">
        <v>9200</v>
      </c>
      <c r="K456" s="11" t="s">
        <v>84</v>
      </c>
      <c r="L456" s="12">
        <f t="shared" si="29"/>
        <v>-2.6351994920097321E-2</v>
      </c>
      <c r="O456" s="9">
        <v>42863</v>
      </c>
      <c r="P456" s="10">
        <v>9200</v>
      </c>
      <c r="Q456" s="11" t="s">
        <v>84</v>
      </c>
      <c r="R456" s="12">
        <f t="shared" si="30"/>
        <v>-2.6351994920097321E-2</v>
      </c>
      <c r="S456" s="12">
        <f t="shared" si="31"/>
        <v>2.1760389383350009E-2</v>
      </c>
    </row>
    <row r="457" spans="3:19">
      <c r="C457" s="9">
        <v>43220</v>
      </c>
      <c r="D457" s="10">
        <v>45488.86</v>
      </c>
      <c r="E457" s="11" t="s">
        <v>79</v>
      </c>
      <c r="F457" s="12">
        <f t="shared" si="28"/>
        <v>-1.1839417795751483E-3</v>
      </c>
      <c r="I457" s="9">
        <v>42859</v>
      </c>
      <c r="J457" s="10">
        <v>9155</v>
      </c>
      <c r="K457" s="11" t="s">
        <v>84</v>
      </c>
      <c r="L457" s="12">
        <f t="shared" si="29"/>
        <v>-4.891304347826142E-3</v>
      </c>
      <c r="O457" s="9">
        <v>42859</v>
      </c>
      <c r="P457" s="10">
        <v>9155</v>
      </c>
      <c r="Q457" s="11" t="s">
        <v>84</v>
      </c>
      <c r="R457" s="12">
        <f t="shared" si="30"/>
        <v>-4.891304347826142E-3</v>
      </c>
      <c r="S457" s="12">
        <f t="shared" si="31"/>
        <v>1.395942898220226E-2</v>
      </c>
    </row>
    <row r="458" spans="3:19">
      <c r="C458" s="9">
        <v>43222</v>
      </c>
      <c r="D458" s="10">
        <v>45196.37</v>
      </c>
      <c r="E458" s="11" t="s">
        <v>79</v>
      </c>
      <c r="F458" s="12">
        <f t="shared" si="28"/>
        <v>-6.4299259203242087E-3</v>
      </c>
      <c r="I458" s="9">
        <v>42857</v>
      </c>
      <c r="J458" s="10">
        <v>9200</v>
      </c>
      <c r="K458" s="11" t="s">
        <v>84</v>
      </c>
      <c r="L458" s="12">
        <f t="shared" si="29"/>
        <v>4.9153468050244786E-3</v>
      </c>
      <c r="O458" s="9">
        <v>42857</v>
      </c>
      <c r="P458" s="10">
        <v>9200</v>
      </c>
      <c r="Q458" s="11" t="s">
        <v>84</v>
      </c>
      <c r="R458" s="12">
        <f t="shared" si="30"/>
        <v>4.9153468050244786E-3</v>
      </c>
      <c r="S458" s="12">
        <f t="shared" si="31"/>
        <v>-1.2403019011823391E-2</v>
      </c>
    </row>
    <row r="459" spans="3:19">
      <c r="C459" s="9">
        <v>43223</v>
      </c>
      <c r="D459" s="10">
        <v>44746.63</v>
      </c>
      <c r="E459" s="11" t="s">
        <v>79</v>
      </c>
      <c r="F459" s="12">
        <f t="shared" si="28"/>
        <v>-9.9507991460376921E-3</v>
      </c>
      <c r="I459" s="9">
        <v>42853</v>
      </c>
      <c r="J459" s="10">
        <v>9200</v>
      </c>
      <c r="K459" s="11" t="s">
        <v>84</v>
      </c>
      <c r="L459" s="12">
        <f t="shared" si="29"/>
        <v>0</v>
      </c>
      <c r="O459" s="9">
        <v>42853</v>
      </c>
      <c r="P459" s="10">
        <v>9200</v>
      </c>
      <c r="Q459" s="11" t="s">
        <v>84</v>
      </c>
      <c r="R459" s="12">
        <f t="shared" si="30"/>
        <v>0</v>
      </c>
      <c r="S459" s="12">
        <f t="shared" si="31"/>
        <v>-3.6538760794393443E-3</v>
      </c>
    </row>
    <row r="460" spans="3:19">
      <c r="C460" s="9">
        <v>43224</v>
      </c>
      <c r="D460" s="10">
        <v>44536.91</v>
      </c>
      <c r="E460" s="11" t="s">
        <v>79</v>
      </c>
      <c r="F460" s="12">
        <f t="shared" si="28"/>
        <v>-4.6868333995206957E-3</v>
      </c>
      <c r="I460" s="9">
        <v>42852</v>
      </c>
      <c r="J460" s="10">
        <v>9014</v>
      </c>
      <c r="K460" s="11" t="s">
        <v>84</v>
      </c>
      <c r="L460" s="12">
        <f t="shared" si="29"/>
        <v>-2.0217391304347854E-2</v>
      </c>
      <c r="O460" s="9">
        <v>42852</v>
      </c>
      <c r="P460" s="10">
        <v>9014</v>
      </c>
      <c r="Q460" s="11" t="s">
        <v>84</v>
      </c>
      <c r="R460" s="12">
        <f t="shared" si="30"/>
        <v>-2.0217391304347854E-2</v>
      </c>
      <c r="S460" s="12">
        <f t="shared" si="31"/>
        <v>-6.9401421022243781E-3</v>
      </c>
    </row>
    <row r="461" spans="3:19">
      <c r="C461" s="9">
        <v>43227</v>
      </c>
      <c r="D461" s="10">
        <v>44378.52</v>
      </c>
      <c r="E461" s="11" t="s">
        <v>79</v>
      </c>
      <c r="F461" s="12">
        <f t="shared" si="28"/>
        <v>-3.5563760485405327E-3</v>
      </c>
      <c r="I461" s="9">
        <v>42851</v>
      </c>
      <c r="J461" s="10">
        <v>9400</v>
      </c>
      <c r="K461" s="11" t="s">
        <v>84</v>
      </c>
      <c r="L461" s="12">
        <f t="shared" si="29"/>
        <v>4.2822276458841735E-2</v>
      </c>
      <c r="O461" s="9">
        <v>42851</v>
      </c>
      <c r="P461" s="10">
        <v>9400</v>
      </c>
      <c r="Q461" s="11" t="s">
        <v>84</v>
      </c>
      <c r="R461" s="12">
        <f t="shared" si="30"/>
        <v>4.2822276458841735E-2</v>
      </c>
      <c r="S461" s="12">
        <f t="shared" si="31"/>
        <v>8.504540609182154E-4</v>
      </c>
    </row>
    <row r="462" spans="3:19">
      <c r="C462" s="9">
        <v>43228</v>
      </c>
      <c r="D462" s="10">
        <v>44066.96</v>
      </c>
      <c r="E462" s="11" t="s">
        <v>79</v>
      </c>
      <c r="F462" s="12">
        <f t="shared" si="28"/>
        <v>-7.0205135277155994E-3</v>
      </c>
      <c r="I462" s="9">
        <v>42846</v>
      </c>
      <c r="J462" s="10">
        <v>9200</v>
      </c>
      <c r="K462" s="11" t="s">
        <v>84</v>
      </c>
      <c r="L462" s="12">
        <f t="shared" si="29"/>
        <v>-2.1276595744680882E-2</v>
      </c>
      <c r="O462" s="9">
        <v>42846</v>
      </c>
      <c r="P462" s="10">
        <v>9200</v>
      </c>
      <c r="Q462" s="11" t="s">
        <v>84</v>
      </c>
      <c r="R462" s="12">
        <f t="shared" si="30"/>
        <v>-2.1276595744680882E-2</v>
      </c>
      <c r="S462" s="12">
        <f t="shared" si="31"/>
        <v>1.9799333491439697E-2</v>
      </c>
    </row>
    <row r="463" spans="3:19">
      <c r="C463" s="9">
        <v>43229</v>
      </c>
      <c r="D463" s="10">
        <v>43795</v>
      </c>
      <c r="E463" s="11" t="s">
        <v>79</v>
      </c>
      <c r="F463" s="12">
        <f t="shared" si="28"/>
        <v>-6.1715171638796473E-3</v>
      </c>
      <c r="I463" s="9">
        <v>42845</v>
      </c>
      <c r="J463" s="10">
        <v>9451</v>
      </c>
      <c r="K463" s="11" t="s">
        <v>84</v>
      </c>
      <c r="L463" s="12">
        <f t="shared" si="29"/>
        <v>2.7282608695652133E-2</v>
      </c>
      <c r="O463" s="9">
        <v>42845</v>
      </c>
      <c r="P463" s="10">
        <v>9451</v>
      </c>
      <c r="Q463" s="11" t="s">
        <v>84</v>
      </c>
      <c r="R463" s="12">
        <f t="shared" si="30"/>
        <v>2.7282608695652133E-2</v>
      </c>
      <c r="S463" s="12">
        <f t="shared" si="31"/>
        <v>2.3949509573669703E-2</v>
      </c>
    </row>
    <row r="464" spans="3:19">
      <c r="C464" s="9">
        <v>43230</v>
      </c>
      <c r="D464" s="10">
        <v>43855.78</v>
      </c>
      <c r="E464" s="11" t="s">
        <v>79</v>
      </c>
      <c r="F464" s="12">
        <f t="shared" si="28"/>
        <v>1.3878296609202145E-3</v>
      </c>
      <c r="I464" s="9">
        <v>42844</v>
      </c>
      <c r="J464" s="10">
        <v>9400</v>
      </c>
      <c r="K464" s="11" t="s">
        <v>84</v>
      </c>
      <c r="L464" s="12">
        <f t="shared" si="29"/>
        <v>-5.3962543646175476E-3</v>
      </c>
      <c r="O464" s="9">
        <v>42844</v>
      </c>
      <c r="P464" s="10">
        <v>9400</v>
      </c>
      <c r="Q464" s="11" t="s">
        <v>84</v>
      </c>
      <c r="R464" s="12">
        <f t="shared" si="30"/>
        <v>-5.3962543646175476E-3</v>
      </c>
      <c r="S464" s="12">
        <f t="shared" si="31"/>
        <v>1.5554555719895502E-2</v>
      </c>
    </row>
    <row r="465" spans="3:19">
      <c r="C465" s="9">
        <v>43231</v>
      </c>
      <c r="D465" s="10">
        <v>43594.79</v>
      </c>
      <c r="E465" s="11" t="s">
        <v>79</v>
      </c>
      <c r="F465" s="12">
        <f t="shared" si="28"/>
        <v>-5.9510969819712711E-3</v>
      </c>
      <c r="I465" s="9">
        <v>42843</v>
      </c>
      <c r="J465" s="10">
        <v>9400</v>
      </c>
      <c r="K465" s="11" t="s">
        <v>84</v>
      </c>
      <c r="L465" s="12">
        <f t="shared" si="29"/>
        <v>0</v>
      </c>
      <c r="O465" s="9">
        <v>42843</v>
      </c>
      <c r="P465" s="10">
        <v>9400</v>
      </c>
      <c r="Q465" s="11" t="s">
        <v>84</v>
      </c>
      <c r="R465" s="12">
        <f t="shared" si="30"/>
        <v>0</v>
      </c>
      <c r="S465" s="12">
        <f t="shared" si="31"/>
        <v>-5.3209413578151343E-3</v>
      </c>
    </row>
    <row r="466" spans="3:19">
      <c r="C466" s="9">
        <v>43234</v>
      </c>
      <c r="D466" s="10">
        <v>42498.86</v>
      </c>
      <c r="E466" s="11" t="s">
        <v>79</v>
      </c>
      <c r="F466" s="12">
        <f t="shared" si="28"/>
        <v>-2.5139013171069258E-2</v>
      </c>
      <c r="I466" s="9">
        <v>42842</v>
      </c>
      <c r="J466" s="10">
        <v>9642.5</v>
      </c>
      <c r="K466" s="11" t="s">
        <v>84</v>
      </c>
      <c r="L466" s="12">
        <f t="shared" si="29"/>
        <v>2.5797872340425521E-2</v>
      </c>
      <c r="O466" s="9">
        <v>42842</v>
      </c>
      <c r="P466" s="10">
        <v>9642.5</v>
      </c>
      <c r="Q466" s="11" t="s">
        <v>84</v>
      </c>
      <c r="R466" s="12">
        <f t="shared" si="30"/>
        <v>2.5797872340425521E-2</v>
      </c>
      <c r="S466" s="12">
        <f t="shared" si="31"/>
        <v>-9.4991157503215851E-3</v>
      </c>
    </row>
    <row r="467" spans="3:19">
      <c r="C467" s="9">
        <v>43235</v>
      </c>
      <c r="D467" s="10">
        <v>42459.53</v>
      </c>
      <c r="E467" s="11" t="s">
        <v>79</v>
      </c>
      <c r="F467" s="12">
        <f t="shared" si="28"/>
        <v>-9.2543658818144969E-4</v>
      </c>
      <c r="I467" s="9">
        <v>42837</v>
      </c>
      <c r="J467" s="10">
        <v>9300</v>
      </c>
      <c r="K467" s="11" t="s">
        <v>84</v>
      </c>
      <c r="L467" s="12">
        <f t="shared" si="29"/>
        <v>-3.5519834067928469E-2</v>
      </c>
      <c r="O467" s="9">
        <v>42837</v>
      </c>
      <c r="P467" s="10">
        <v>9300</v>
      </c>
      <c r="Q467" s="11" t="s">
        <v>84</v>
      </c>
      <c r="R467" s="12">
        <f t="shared" si="30"/>
        <v>-3.5519834067928469E-2</v>
      </c>
      <c r="S467" s="12">
        <f t="shared" si="31"/>
        <v>4.2940870344851945E-3</v>
      </c>
    </row>
    <row r="468" spans="3:19">
      <c r="C468" s="9">
        <v>43236</v>
      </c>
      <c r="D468" s="10">
        <v>42301.2</v>
      </c>
      <c r="E468" s="11" t="s">
        <v>79</v>
      </c>
      <c r="F468" s="12">
        <f t="shared" si="28"/>
        <v>-3.7289626145179389E-3</v>
      </c>
      <c r="I468" s="9">
        <v>42832</v>
      </c>
      <c r="J468" s="10">
        <v>9300</v>
      </c>
      <c r="K468" s="11" t="s">
        <v>84</v>
      </c>
      <c r="L468" s="12">
        <f t="shared" si="29"/>
        <v>0</v>
      </c>
      <c r="O468" s="9">
        <v>42832</v>
      </c>
      <c r="P468" s="10">
        <v>9300</v>
      </c>
      <c r="Q468" s="11" t="s">
        <v>84</v>
      </c>
      <c r="R468" s="12">
        <f t="shared" si="30"/>
        <v>0</v>
      </c>
      <c r="S468" s="12">
        <f t="shared" si="31"/>
        <v>1.125017421014185E-2</v>
      </c>
    </row>
    <row r="469" spans="3:19">
      <c r="C469" s="9">
        <v>43237</v>
      </c>
      <c r="D469" s="10">
        <v>41869.65</v>
      </c>
      <c r="E469" s="11" t="s">
        <v>79</v>
      </c>
      <c r="F469" s="12">
        <f t="shared" si="28"/>
        <v>-1.0201838245723405E-2</v>
      </c>
      <c r="I469" s="9">
        <v>42830</v>
      </c>
      <c r="J469" s="10">
        <v>9300</v>
      </c>
      <c r="K469" s="11" t="s">
        <v>84</v>
      </c>
      <c r="L469" s="12">
        <f t="shared" si="29"/>
        <v>0</v>
      </c>
      <c r="O469" s="9">
        <v>42830</v>
      </c>
      <c r="P469" s="10">
        <v>9300</v>
      </c>
      <c r="Q469" s="11" t="s">
        <v>84</v>
      </c>
      <c r="R469" s="12">
        <f t="shared" si="30"/>
        <v>0</v>
      </c>
      <c r="S469" s="12">
        <f t="shared" si="31"/>
        <v>-1.0627517630562355E-2</v>
      </c>
    </row>
    <row r="470" spans="3:19">
      <c r="C470" s="9">
        <v>43238</v>
      </c>
      <c r="D470" s="10">
        <v>41623.519999999997</v>
      </c>
      <c r="E470" s="11" t="s">
        <v>79</v>
      </c>
      <c r="F470" s="12">
        <f t="shared" si="28"/>
        <v>-5.8784823852122692E-3</v>
      </c>
      <c r="I470" s="9">
        <v>42829</v>
      </c>
      <c r="J470" s="10">
        <v>9300</v>
      </c>
      <c r="K470" s="11" t="s">
        <v>84</v>
      </c>
      <c r="L470" s="12">
        <f t="shared" si="29"/>
        <v>0</v>
      </c>
      <c r="O470" s="9">
        <v>42829</v>
      </c>
      <c r="P470" s="10">
        <v>9300</v>
      </c>
      <c r="Q470" s="11" t="s">
        <v>84</v>
      </c>
      <c r="R470" s="12">
        <f t="shared" si="30"/>
        <v>0</v>
      </c>
      <c r="S470" s="12">
        <f t="shared" si="31"/>
        <v>-2.8900373747479113E-3</v>
      </c>
    </row>
    <row r="471" spans="3:19">
      <c r="C471" s="9">
        <v>43241</v>
      </c>
      <c r="D471" s="10">
        <v>41648.65</v>
      </c>
      <c r="E471" s="11" t="s">
        <v>79</v>
      </c>
      <c r="F471" s="12">
        <f t="shared" si="28"/>
        <v>6.0374519021944018E-4</v>
      </c>
      <c r="I471" s="9">
        <v>42828</v>
      </c>
      <c r="J471" s="10">
        <v>9200</v>
      </c>
      <c r="K471" s="11" t="s">
        <v>84</v>
      </c>
      <c r="L471" s="12">
        <f t="shared" si="29"/>
        <v>-1.0752688172043001E-2</v>
      </c>
      <c r="O471" s="9">
        <v>42828</v>
      </c>
      <c r="P471" s="10">
        <v>9200</v>
      </c>
      <c r="Q471" s="11" t="s">
        <v>84</v>
      </c>
      <c r="R471" s="12">
        <f t="shared" si="30"/>
        <v>-1.0752688172043001E-2</v>
      </c>
      <c r="S471" s="12">
        <f t="shared" si="31"/>
        <v>1.4914051083636526E-3</v>
      </c>
    </row>
    <row r="472" spans="3:19">
      <c r="C472" s="9">
        <v>43242</v>
      </c>
      <c r="D472" s="10">
        <v>42744.82</v>
      </c>
      <c r="E472" s="11" t="s">
        <v>79</v>
      </c>
      <c r="F472" s="12">
        <f t="shared" si="28"/>
        <v>2.6319460534735217E-2</v>
      </c>
      <c r="I472" s="9">
        <v>42825</v>
      </c>
      <c r="J472" s="10">
        <v>9095</v>
      </c>
      <c r="K472" s="11" t="s">
        <v>84</v>
      </c>
      <c r="L472" s="12">
        <f t="shared" si="29"/>
        <v>-1.1413043478260887E-2</v>
      </c>
      <c r="O472" s="9">
        <v>42825</v>
      </c>
      <c r="P472" s="10">
        <v>9095</v>
      </c>
      <c r="Q472" s="11" t="s">
        <v>84</v>
      </c>
      <c r="R472" s="12">
        <f t="shared" si="30"/>
        <v>-1.1413043478260887E-2</v>
      </c>
      <c r="S472" s="12">
        <f t="shared" si="31"/>
        <v>4.3087150539955488E-3</v>
      </c>
    </row>
    <row r="473" spans="3:19">
      <c r="C473" s="9">
        <v>43243</v>
      </c>
      <c r="D473" s="10">
        <v>42772.25</v>
      </c>
      <c r="E473" s="11" t="s">
        <v>79</v>
      </c>
      <c r="F473" s="12">
        <f t="shared" si="28"/>
        <v>6.4171518326672228E-4</v>
      </c>
      <c r="I473" s="9">
        <v>42824</v>
      </c>
      <c r="J473" s="10">
        <v>9000</v>
      </c>
      <c r="K473" s="11" t="s">
        <v>84</v>
      </c>
      <c r="L473" s="12">
        <f t="shared" si="29"/>
        <v>-1.0445299615173154E-2</v>
      </c>
      <c r="O473" s="9">
        <v>42824</v>
      </c>
      <c r="P473" s="10">
        <v>9000</v>
      </c>
      <c r="Q473" s="11" t="s">
        <v>84</v>
      </c>
      <c r="R473" s="12">
        <f t="shared" si="30"/>
        <v>-1.0445299615173154E-2</v>
      </c>
      <c r="S473" s="12">
        <f t="shared" si="31"/>
        <v>-8.8122883360898241E-3</v>
      </c>
    </row>
    <row r="474" spans="3:19">
      <c r="C474" s="9">
        <v>43244</v>
      </c>
      <c r="D474" s="10">
        <v>42536.160000000003</v>
      </c>
      <c r="E474" s="11" t="s">
        <v>79</v>
      </c>
      <c r="F474" s="12">
        <f t="shared" si="28"/>
        <v>-5.5197002729572286E-3</v>
      </c>
      <c r="I474" s="9">
        <v>42823</v>
      </c>
      <c r="J474" s="10">
        <v>9100</v>
      </c>
      <c r="K474" s="11" t="s">
        <v>84</v>
      </c>
      <c r="L474" s="12">
        <f t="shared" si="29"/>
        <v>1.1111111111111072E-2</v>
      </c>
      <c r="O474" s="9">
        <v>42823</v>
      </c>
      <c r="P474" s="10">
        <v>9100</v>
      </c>
      <c r="Q474" s="11" t="s">
        <v>84</v>
      </c>
      <c r="R474" s="12">
        <f t="shared" si="30"/>
        <v>1.1111111111111072E-2</v>
      </c>
      <c r="S474" s="12">
        <f t="shared" si="31"/>
        <v>-3.0455402866370607E-3</v>
      </c>
    </row>
    <row r="475" spans="3:19">
      <c r="C475" s="9">
        <v>43245</v>
      </c>
      <c r="D475" s="10">
        <v>42074.09</v>
      </c>
      <c r="E475" s="11" t="s">
        <v>79</v>
      </c>
      <c r="F475" s="12">
        <f t="shared" si="28"/>
        <v>-1.0862992804240079E-2</v>
      </c>
      <c r="I475" s="9">
        <v>42821</v>
      </c>
      <c r="J475" s="10">
        <v>9010</v>
      </c>
      <c r="K475" s="11" t="s">
        <v>84</v>
      </c>
      <c r="L475" s="12">
        <f t="shared" si="29"/>
        <v>-9.890109890109855E-3</v>
      </c>
      <c r="O475" s="9">
        <v>42821</v>
      </c>
      <c r="P475" s="10">
        <v>9010</v>
      </c>
      <c r="Q475" s="11" t="s">
        <v>84</v>
      </c>
      <c r="R475" s="12">
        <f t="shared" si="30"/>
        <v>-9.890109890109855E-3</v>
      </c>
      <c r="S475" s="12">
        <f t="shared" si="31"/>
        <v>-5.9400400849073387E-3</v>
      </c>
    </row>
    <row r="476" spans="3:19">
      <c r="C476" s="9">
        <v>43248</v>
      </c>
      <c r="D476" s="10">
        <v>42138.57</v>
      </c>
      <c r="E476" s="11" t="s">
        <v>79</v>
      </c>
      <c r="F476" s="12">
        <f t="shared" si="28"/>
        <v>1.5325346311709787E-3</v>
      </c>
      <c r="I476" s="9">
        <v>42818</v>
      </c>
      <c r="J476" s="10">
        <v>9000</v>
      </c>
      <c r="K476" s="11" t="s">
        <v>84</v>
      </c>
      <c r="L476" s="12">
        <f t="shared" si="29"/>
        <v>-1.1098779134295356E-3</v>
      </c>
      <c r="O476" s="9">
        <v>42818</v>
      </c>
      <c r="P476" s="10">
        <v>9000</v>
      </c>
      <c r="Q476" s="11" t="s">
        <v>84</v>
      </c>
      <c r="R476" s="12">
        <f t="shared" si="30"/>
        <v>-1.1098779134295356E-3</v>
      </c>
      <c r="S476" s="12">
        <f t="shared" si="31"/>
        <v>-9.3314964117396926E-4</v>
      </c>
    </row>
    <row r="477" spans="3:19">
      <c r="C477" s="9">
        <v>43249</v>
      </c>
      <c r="D477" s="10">
        <v>42622.74</v>
      </c>
      <c r="E477" s="11" t="s">
        <v>79</v>
      </c>
      <c r="F477" s="12">
        <f t="shared" si="28"/>
        <v>1.1489948519847637E-2</v>
      </c>
      <c r="I477" s="9">
        <v>42816</v>
      </c>
      <c r="J477" s="10">
        <v>9000</v>
      </c>
      <c r="K477" s="11" t="s">
        <v>84</v>
      </c>
      <c r="L477" s="12">
        <f t="shared" si="29"/>
        <v>0</v>
      </c>
      <c r="O477" s="9">
        <v>42816</v>
      </c>
      <c r="P477" s="10">
        <v>9000</v>
      </c>
      <c r="Q477" s="11" t="s">
        <v>84</v>
      </c>
      <c r="R477" s="12">
        <f t="shared" si="30"/>
        <v>0</v>
      </c>
      <c r="S477" s="12">
        <f t="shared" si="31"/>
        <v>-6.976714298034814E-5</v>
      </c>
    </row>
    <row r="478" spans="3:19">
      <c r="C478" s="9">
        <v>43250</v>
      </c>
      <c r="D478" s="10">
        <v>42546.48</v>
      </c>
      <c r="E478" s="11" t="s">
        <v>79</v>
      </c>
      <c r="F478" s="12">
        <f t="shared" si="28"/>
        <v>-1.7891857726648475E-3</v>
      </c>
      <c r="I478" s="9">
        <v>42815</v>
      </c>
      <c r="J478" s="10">
        <v>9000</v>
      </c>
      <c r="K478" s="11" t="s">
        <v>84</v>
      </c>
      <c r="L478" s="12">
        <f t="shared" si="29"/>
        <v>0</v>
      </c>
      <c r="O478" s="9">
        <v>42815</v>
      </c>
      <c r="P478" s="10">
        <v>9000</v>
      </c>
      <c r="Q478" s="11" t="s">
        <v>84</v>
      </c>
      <c r="R478" s="12">
        <f t="shared" si="30"/>
        <v>0</v>
      </c>
      <c r="S478" s="12">
        <f t="shared" si="31"/>
        <v>6.6237282497203509E-3</v>
      </c>
    </row>
    <row r="479" spans="3:19">
      <c r="C479" s="9">
        <v>43251</v>
      </c>
      <c r="D479" s="10">
        <v>42846.64</v>
      </c>
      <c r="E479" s="11" t="s">
        <v>79</v>
      </c>
      <c r="F479" s="12">
        <f t="shared" si="28"/>
        <v>7.0548726945212081E-3</v>
      </c>
      <c r="I479" s="9">
        <v>42810</v>
      </c>
      <c r="J479" s="10">
        <v>9000</v>
      </c>
      <c r="K479" s="11" t="s">
        <v>84</v>
      </c>
      <c r="L479" s="12">
        <f t="shared" si="29"/>
        <v>0</v>
      </c>
      <c r="O479" s="9">
        <v>42810</v>
      </c>
      <c r="P479" s="10">
        <v>9000</v>
      </c>
      <c r="Q479" s="11" t="s">
        <v>84</v>
      </c>
      <c r="R479" s="12">
        <f t="shared" si="30"/>
        <v>0</v>
      </c>
      <c r="S479" s="12">
        <f t="shared" si="31"/>
        <v>-3.3474220399476451E-4</v>
      </c>
    </row>
    <row r="480" spans="3:19">
      <c r="C480" s="9">
        <v>43252</v>
      </c>
      <c r="D480" s="10">
        <v>42912.81</v>
      </c>
      <c r="E480" s="11" t="s">
        <v>79</v>
      </c>
      <c r="F480" s="12">
        <f t="shared" si="28"/>
        <v>1.5443451341807801E-3</v>
      </c>
      <c r="I480" s="9">
        <v>42809</v>
      </c>
      <c r="J480" s="10">
        <v>9010</v>
      </c>
      <c r="K480" s="11" t="s">
        <v>84</v>
      </c>
      <c r="L480" s="12">
        <f t="shared" si="29"/>
        <v>1.1111111111110628E-3</v>
      </c>
      <c r="O480" s="9">
        <v>42809</v>
      </c>
      <c r="P480" s="10">
        <v>9010</v>
      </c>
      <c r="Q480" s="11" t="s">
        <v>84</v>
      </c>
      <c r="R480" s="12">
        <f t="shared" si="30"/>
        <v>1.1111111111110628E-3</v>
      </c>
      <c r="S480" s="12">
        <f t="shared" si="31"/>
        <v>-4.8049962236598187E-3</v>
      </c>
    </row>
    <row r="481" spans="3:19">
      <c r="C481" s="9">
        <v>43255</v>
      </c>
      <c r="D481" s="10">
        <v>43268.29</v>
      </c>
      <c r="E481" s="11" t="s">
        <v>79</v>
      </c>
      <c r="F481" s="12">
        <f t="shared" si="28"/>
        <v>8.2837735398824108E-3</v>
      </c>
      <c r="I481" s="9">
        <v>42808</v>
      </c>
      <c r="J481" s="10">
        <v>9005</v>
      </c>
      <c r="K481" s="11" t="s">
        <v>84</v>
      </c>
      <c r="L481" s="12">
        <f t="shared" si="29"/>
        <v>-5.5493895671476778E-4</v>
      </c>
      <c r="O481" s="9">
        <v>42808</v>
      </c>
      <c r="P481" s="10">
        <v>9005</v>
      </c>
      <c r="Q481" s="11" t="s">
        <v>84</v>
      </c>
      <c r="R481" s="12">
        <f t="shared" si="30"/>
        <v>-5.5493895671476778E-4</v>
      </c>
      <c r="S481" s="12">
        <f t="shared" si="31"/>
        <v>-2.3976625975322685E-3</v>
      </c>
    </row>
    <row r="482" spans="3:19">
      <c r="C482" s="9">
        <v>43256</v>
      </c>
      <c r="D482" s="10">
        <v>43702.58</v>
      </c>
      <c r="E482" s="11" t="s">
        <v>79</v>
      </c>
      <c r="F482" s="12">
        <f t="shared" si="28"/>
        <v>1.0037142674230948E-2</v>
      </c>
      <c r="I482" s="9">
        <v>42807</v>
      </c>
      <c r="J482" s="10">
        <v>9000</v>
      </c>
      <c r="K482" s="11" t="s">
        <v>84</v>
      </c>
      <c r="L482" s="12">
        <f t="shared" si="29"/>
        <v>-5.552470849528035E-4</v>
      </c>
      <c r="O482" s="9">
        <v>42807</v>
      </c>
      <c r="P482" s="10">
        <v>9000</v>
      </c>
      <c r="Q482" s="11" t="s">
        <v>84</v>
      </c>
      <c r="R482" s="12">
        <f t="shared" si="30"/>
        <v>-5.552470849528035E-4</v>
      </c>
      <c r="S482" s="12">
        <f t="shared" si="31"/>
        <v>-1.0896745897431948E-2</v>
      </c>
    </row>
    <row r="483" spans="3:19">
      <c r="C483" s="9">
        <v>43257</v>
      </c>
      <c r="D483" s="10">
        <v>44144.2</v>
      </c>
      <c r="E483" s="11" t="s">
        <v>79</v>
      </c>
      <c r="F483" s="12">
        <f t="shared" si="28"/>
        <v>1.0105124228363627E-2</v>
      </c>
      <c r="I483" s="9">
        <v>42803</v>
      </c>
      <c r="J483" s="10">
        <v>9025</v>
      </c>
      <c r="K483" s="11" t="s">
        <v>84</v>
      </c>
      <c r="L483" s="12">
        <f t="shared" si="29"/>
        <v>2.7777777777777679E-3</v>
      </c>
      <c r="O483" s="9">
        <v>42803</v>
      </c>
      <c r="P483" s="10">
        <v>9025</v>
      </c>
      <c r="Q483" s="11" t="s">
        <v>84</v>
      </c>
      <c r="R483" s="12">
        <f t="shared" si="30"/>
        <v>2.7777777777777679E-3</v>
      </c>
      <c r="S483" s="12">
        <f t="shared" si="31"/>
        <v>-7.2813192396620208E-3</v>
      </c>
    </row>
    <row r="484" spans="3:19">
      <c r="C484" s="9">
        <v>43258</v>
      </c>
      <c r="D484" s="10">
        <v>43948.11</v>
      </c>
      <c r="E484" s="11" t="s">
        <v>79</v>
      </c>
      <c r="F484" s="12">
        <f t="shared" si="28"/>
        <v>-4.4420331549783754E-3</v>
      </c>
      <c r="I484" s="9">
        <v>42802</v>
      </c>
      <c r="J484" s="10">
        <v>9300</v>
      </c>
      <c r="K484" s="11" t="s">
        <v>84</v>
      </c>
      <c r="L484" s="12">
        <f t="shared" si="29"/>
        <v>3.0470914127423754E-2</v>
      </c>
      <c r="O484" s="9">
        <v>42802</v>
      </c>
      <c r="P484" s="10">
        <v>9300</v>
      </c>
      <c r="Q484" s="11" t="s">
        <v>84</v>
      </c>
      <c r="R484" s="12">
        <f t="shared" si="30"/>
        <v>3.0470914127423754E-2</v>
      </c>
      <c r="S484" s="12">
        <f t="shared" si="31"/>
        <v>6.1070465096857429E-3</v>
      </c>
    </row>
    <row r="485" spans="3:19">
      <c r="C485" s="9">
        <v>43262</v>
      </c>
      <c r="D485" s="10">
        <v>43931.16</v>
      </c>
      <c r="E485" s="11" t="s">
        <v>79</v>
      </c>
      <c r="F485" s="12">
        <f t="shared" si="28"/>
        <v>-3.8568211465739299E-4</v>
      </c>
      <c r="I485" s="9">
        <v>42801</v>
      </c>
      <c r="J485" s="10">
        <v>9100</v>
      </c>
      <c r="K485" s="11" t="s">
        <v>84</v>
      </c>
      <c r="L485" s="12">
        <f t="shared" si="29"/>
        <v>-2.1505376344086002E-2</v>
      </c>
      <c r="O485" s="9">
        <v>42801</v>
      </c>
      <c r="P485" s="10">
        <v>9100</v>
      </c>
      <c r="Q485" s="11" t="s">
        <v>84</v>
      </c>
      <c r="R485" s="12">
        <f t="shared" si="30"/>
        <v>-2.1505376344086002E-2</v>
      </c>
      <c r="S485" s="12">
        <f t="shared" si="31"/>
        <v>3.6047415094886404E-4</v>
      </c>
    </row>
    <row r="486" spans="3:19">
      <c r="C486" s="9">
        <v>43263</v>
      </c>
      <c r="D486" s="10">
        <v>43228.9</v>
      </c>
      <c r="E486" s="11" t="s">
        <v>79</v>
      </c>
      <c r="F486" s="12">
        <f t="shared" si="28"/>
        <v>-1.5985464531325877E-2</v>
      </c>
      <c r="I486" s="9">
        <v>42797</v>
      </c>
      <c r="J486" s="10">
        <v>9011</v>
      </c>
      <c r="K486" s="11" t="s">
        <v>84</v>
      </c>
      <c r="L486" s="12">
        <f t="shared" si="29"/>
        <v>-9.7802197802198121E-3</v>
      </c>
      <c r="O486" s="9">
        <v>42797</v>
      </c>
      <c r="P486" s="10">
        <v>9011</v>
      </c>
      <c r="Q486" s="11" t="s">
        <v>84</v>
      </c>
      <c r="R486" s="12">
        <f t="shared" si="30"/>
        <v>-9.7802197802198121E-3</v>
      </c>
      <c r="S486" s="12">
        <f t="shared" si="31"/>
        <v>-1.4542394490673072E-3</v>
      </c>
    </row>
    <row r="487" spans="3:19">
      <c r="C487" s="9">
        <v>43264</v>
      </c>
      <c r="D487" s="10">
        <v>43507.5</v>
      </c>
      <c r="E487" s="11" t="s">
        <v>79</v>
      </c>
      <c r="F487" s="12">
        <f t="shared" si="28"/>
        <v>6.4447626472106112E-3</v>
      </c>
      <c r="I487" s="9">
        <v>42794</v>
      </c>
      <c r="J487" s="10">
        <v>9155</v>
      </c>
      <c r="K487" s="11" t="s">
        <v>84</v>
      </c>
      <c r="L487" s="12">
        <f t="shared" si="29"/>
        <v>1.5980468316502128E-2</v>
      </c>
      <c r="O487" s="9">
        <v>42794</v>
      </c>
      <c r="P487" s="10">
        <v>9155</v>
      </c>
      <c r="Q487" s="11" t="s">
        <v>84</v>
      </c>
      <c r="R487" s="12">
        <f t="shared" si="30"/>
        <v>1.5980468316502128E-2</v>
      </c>
      <c r="S487" s="12">
        <f t="shared" si="31"/>
        <v>2.7781928350245622E-4</v>
      </c>
    </row>
    <row r="488" spans="3:19">
      <c r="C488" s="9">
        <v>43265</v>
      </c>
      <c r="D488" s="10">
        <v>43680.68</v>
      </c>
      <c r="E488" s="11" t="s">
        <v>79</v>
      </c>
      <c r="F488" s="12">
        <f t="shared" si="28"/>
        <v>3.9804631385393918E-3</v>
      </c>
      <c r="I488" s="9">
        <v>42790</v>
      </c>
      <c r="J488" s="10">
        <v>9450</v>
      </c>
      <c r="K488" s="11" t="s">
        <v>84</v>
      </c>
      <c r="L488" s="12">
        <f t="shared" si="29"/>
        <v>3.2222829055161162E-2</v>
      </c>
      <c r="O488" s="9">
        <v>42790</v>
      </c>
      <c r="P488" s="10">
        <v>9450</v>
      </c>
      <c r="Q488" s="11" t="s">
        <v>84</v>
      </c>
      <c r="R488" s="12">
        <f t="shared" si="30"/>
        <v>3.2222829055161162E-2</v>
      </c>
      <c r="S488" s="12">
        <f t="shared" si="31"/>
        <v>-1.10614553834254E-3</v>
      </c>
    </row>
    <row r="489" spans="3:19">
      <c r="C489" s="9">
        <v>43270</v>
      </c>
      <c r="D489" s="10">
        <v>43682.84</v>
      </c>
      <c r="E489" s="11" t="s">
        <v>79</v>
      </c>
      <c r="F489" s="12">
        <f t="shared" si="28"/>
        <v>4.9449779627952495E-5</v>
      </c>
      <c r="I489" s="9">
        <v>42787</v>
      </c>
      <c r="J489" s="10">
        <v>9000</v>
      </c>
      <c r="K489" s="11" t="s">
        <v>84</v>
      </c>
      <c r="L489" s="12">
        <f t="shared" si="29"/>
        <v>-4.7619047619047672E-2</v>
      </c>
      <c r="O489" s="9">
        <v>42787</v>
      </c>
      <c r="P489" s="10">
        <v>9000</v>
      </c>
      <c r="Q489" s="11" t="s">
        <v>84</v>
      </c>
      <c r="R489" s="12">
        <f t="shared" si="30"/>
        <v>-4.7619047619047672E-2</v>
      </c>
      <c r="S489" s="12">
        <f t="shared" si="31"/>
        <v>1.75703139561878E-3</v>
      </c>
    </row>
    <row r="490" spans="3:19">
      <c r="C490" s="9">
        <v>43271</v>
      </c>
      <c r="D490" s="10">
        <v>43002.83</v>
      </c>
      <c r="E490" s="11" t="s">
        <v>79</v>
      </c>
      <c r="F490" s="12">
        <f t="shared" si="28"/>
        <v>-1.5566982366530979E-2</v>
      </c>
      <c r="I490" s="9">
        <v>42786</v>
      </c>
      <c r="J490" s="10">
        <v>9000</v>
      </c>
      <c r="K490" s="11" t="s">
        <v>84</v>
      </c>
      <c r="L490" s="12">
        <f t="shared" si="29"/>
        <v>0</v>
      </c>
      <c r="O490" s="9">
        <v>42786</v>
      </c>
      <c r="P490" s="10">
        <v>9000</v>
      </c>
      <c r="Q490" s="11" t="s">
        <v>84</v>
      </c>
      <c r="R490" s="12">
        <f t="shared" si="30"/>
        <v>0</v>
      </c>
      <c r="S490" s="12">
        <f t="shared" si="31"/>
        <v>-9.0447306985559361E-3</v>
      </c>
    </row>
    <row r="491" spans="3:19">
      <c r="C491" s="9">
        <v>43272</v>
      </c>
      <c r="D491" s="10">
        <v>42358.61</v>
      </c>
      <c r="E491" s="11" t="s">
        <v>79</v>
      </c>
      <c r="F491" s="12">
        <f t="shared" si="28"/>
        <v>-1.4980874514537779E-2</v>
      </c>
      <c r="I491" s="9">
        <v>42783</v>
      </c>
      <c r="J491" s="10">
        <v>9000</v>
      </c>
      <c r="K491" s="11" t="s">
        <v>84</v>
      </c>
      <c r="L491" s="12">
        <f t="shared" si="29"/>
        <v>0</v>
      </c>
      <c r="O491" s="9">
        <v>42783</v>
      </c>
      <c r="P491" s="10">
        <v>9000</v>
      </c>
      <c r="Q491" s="11" t="s">
        <v>84</v>
      </c>
      <c r="R491" s="12">
        <f t="shared" si="30"/>
        <v>0</v>
      </c>
      <c r="S491" s="12">
        <f t="shared" si="31"/>
        <v>-4.2870999812456567E-3</v>
      </c>
    </row>
    <row r="492" spans="3:19">
      <c r="C492" s="9">
        <v>43273</v>
      </c>
      <c r="D492" s="10">
        <v>41637.379999999997</v>
      </c>
      <c r="E492" s="11" t="s">
        <v>79</v>
      </c>
      <c r="F492" s="12">
        <f t="shared" si="28"/>
        <v>-1.7026762681778385E-2</v>
      </c>
      <c r="I492" s="9">
        <v>42779</v>
      </c>
      <c r="J492" s="10">
        <v>9000</v>
      </c>
      <c r="K492" s="11" t="s">
        <v>84</v>
      </c>
      <c r="L492" s="12">
        <f t="shared" si="29"/>
        <v>0</v>
      </c>
      <c r="O492" s="9">
        <v>42779</v>
      </c>
      <c r="P492" s="10">
        <v>9000</v>
      </c>
      <c r="Q492" s="11" t="s">
        <v>84</v>
      </c>
      <c r="R492" s="12">
        <f t="shared" si="30"/>
        <v>0</v>
      </c>
      <c r="S492" s="12">
        <f t="shared" si="31"/>
        <v>8.1221702599165724E-4</v>
      </c>
    </row>
    <row r="493" spans="3:19">
      <c r="C493" s="9">
        <v>43276</v>
      </c>
      <c r="D493" s="10">
        <v>40978.230000000003</v>
      </c>
      <c r="E493" s="11" t="s">
        <v>79</v>
      </c>
      <c r="F493" s="12">
        <f t="shared" si="28"/>
        <v>-1.5830727101464936E-2</v>
      </c>
      <c r="I493" s="9">
        <v>42776</v>
      </c>
      <c r="J493" s="10">
        <v>9000</v>
      </c>
      <c r="K493" s="11" t="s">
        <v>84</v>
      </c>
      <c r="L493" s="12">
        <f t="shared" si="29"/>
        <v>0</v>
      </c>
      <c r="O493" s="9">
        <v>42776</v>
      </c>
      <c r="P493" s="10">
        <v>9000</v>
      </c>
      <c r="Q493" s="11" t="s">
        <v>84</v>
      </c>
      <c r="R493" s="12">
        <f t="shared" si="30"/>
        <v>0</v>
      </c>
      <c r="S493" s="12">
        <f t="shared" si="31"/>
        <v>3.39223152932E-4</v>
      </c>
    </row>
    <row r="494" spans="3:19">
      <c r="C494" s="9">
        <v>43277</v>
      </c>
      <c r="D494" s="10">
        <v>41246.089999999997</v>
      </c>
      <c r="E494" s="11" t="s">
        <v>79</v>
      </c>
      <c r="F494" s="12">
        <f t="shared" si="28"/>
        <v>6.5366415289287438E-3</v>
      </c>
      <c r="I494" s="9">
        <v>42775</v>
      </c>
      <c r="J494" s="10">
        <v>9000</v>
      </c>
      <c r="K494" s="11" t="s">
        <v>84</v>
      </c>
      <c r="L494" s="12">
        <f t="shared" si="29"/>
        <v>0</v>
      </c>
      <c r="O494" s="9">
        <v>42775</v>
      </c>
      <c r="P494" s="10">
        <v>9000</v>
      </c>
      <c r="Q494" s="11" t="s">
        <v>84</v>
      </c>
      <c r="R494" s="12">
        <f t="shared" si="30"/>
        <v>0</v>
      </c>
      <c r="S494" s="12">
        <f t="shared" si="31"/>
        <v>6.6546419285362646E-4</v>
      </c>
    </row>
    <row r="495" spans="3:19">
      <c r="C495" s="9">
        <v>43278</v>
      </c>
      <c r="D495" s="10">
        <v>41717.99</v>
      </c>
      <c r="E495" s="11" t="s">
        <v>79</v>
      </c>
      <c r="F495" s="12">
        <f t="shared" si="28"/>
        <v>1.1441084476128571E-2</v>
      </c>
      <c r="I495" s="9">
        <v>42774</v>
      </c>
      <c r="J495" s="10">
        <v>9100</v>
      </c>
      <c r="K495" s="11" t="s">
        <v>84</v>
      </c>
      <c r="L495" s="12">
        <f t="shared" si="29"/>
        <v>1.1111111111111072E-2</v>
      </c>
      <c r="O495" s="9">
        <v>42774</v>
      </c>
      <c r="P495" s="10">
        <v>9100</v>
      </c>
      <c r="Q495" s="11" t="s">
        <v>84</v>
      </c>
      <c r="R495" s="12">
        <f t="shared" si="30"/>
        <v>1.1111111111111072E-2</v>
      </c>
      <c r="S495" s="12">
        <f t="shared" si="31"/>
        <v>3.1227818872237023E-4</v>
      </c>
    </row>
    <row r="496" spans="3:19">
      <c r="C496" s="9">
        <v>43279</v>
      </c>
      <c r="D496" s="10">
        <v>41997.85</v>
      </c>
      <c r="E496" s="11" t="s">
        <v>79</v>
      </c>
      <c r="F496" s="12">
        <f t="shared" si="28"/>
        <v>6.7083768896822882E-3</v>
      </c>
      <c r="I496" s="9">
        <v>42768</v>
      </c>
      <c r="J496" s="10">
        <v>9000</v>
      </c>
      <c r="K496" s="11" t="s">
        <v>84</v>
      </c>
      <c r="L496" s="12">
        <f t="shared" si="29"/>
        <v>-1.098901098901095E-2</v>
      </c>
      <c r="O496" s="9">
        <v>42768</v>
      </c>
      <c r="P496" s="10">
        <v>9000</v>
      </c>
      <c r="Q496" s="11" t="s">
        <v>84</v>
      </c>
      <c r="R496" s="12">
        <f t="shared" si="30"/>
        <v>-1.098901098901095E-2</v>
      </c>
      <c r="S496" s="12">
        <f t="shared" si="31"/>
        <v>4.248434866970241E-3</v>
      </c>
    </row>
    <row r="497" spans="3:19">
      <c r="C497" s="9">
        <v>43280</v>
      </c>
      <c r="D497" s="10">
        <v>41910.9</v>
      </c>
      <c r="E497" s="11" t="s">
        <v>79</v>
      </c>
      <c r="F497" s="12">
        <f t="shared" si="28"/>
        <v>-2.0703440771372428E-3</v>
      </c>
      <c r="I497" s="9">
        <v>42767</v>
      </c>
      <c r="J497" s="10">
        <v>9000</v>
      </c>
      <c r="K497" s="11" t="s">
        <v>84</v>
      </c>
      <c r="L497" s="12">
        <f t="shared" si="29"/>
        <v>0</v>
      </c>
      <c r="O497" s="9">
        <v>42767</v>
      </c>
      <c r="P497" s="10">
        <v>9000</v>
      </c>
      <c r="Q497" s="11" t="s">
        <v>84</v>
      </c>
      <c r="R497" s="12">
        <f t="shared" si="30"/>
        <v>0</v>
      </c>
      <c r="S497" s="12">
        <f t="shared" si="31"/>
        <v>1.4319593204515257E-2</v>
      </c>
    </row>
    <row r="498" spans="3:19">
      <c r="C498" s="9">
        <v>43283</v>
      </c>
      <c r="D498" s="10">
        <v>41734.050000000003</v>
      </c>
      <c r="E498" s="11" t="s">
        <v>79</v>
      </c>
      <c r="F498" s="12">
        <f t="shared" si="28"/>
        <v>-4.219666005740752E-3</v>
      </c>
      <c r="I498" s="9">
        <v>42766</v>
      </c>
      <c r="J498" s="10">
        <v>9000</v>
      </c>
      <c r="K498" s="11" t="s">
        <v>84</v>
      </c>
      <c r="L498" s="12">
        <f t="shared" si="29"/>
        <v>0</v>
      </c>
      <c r="O498" s="9">
        <v>42766</v>
      </c>
      <c r="P498" s="10">
        <v>9000</v>
      </c>
      <c r="Q498" s="11" t="s">
        <v>84</v>
      </c>
      <c r="R498" s="12">
        <f t="shared" si="30"/>
        <v>0</v>
      </c>
      <c r="S498" s="12">
        <f t="shared" si="31"/>
        <v>-4.3814618240864966E-3</v>
      </c>
    </row>
    <row r="499" spans="3:19">
      <c r="C499" s="9">
        <v>43284</v>
      </c>
      <c r="D499" s="10">
        <v>41564.42</v>
      </c>
      <c r="E499" s="11" t="s">
        <v>79</v>
      </c>
      <c r="F499" s="12">
        <f t="shared" si="28"/>
        <v>-4.0645468148911013E-3</v>
      </c>
      <c r="I499" s="9">
        <v>42765</v>
      </c>
      <c r="J499" s="10">
        <v>8989</v>
      </c>
      <c r="K499" s="11" t="s">
        <v>84</v>
      </c>
      <c r="L499" s="12">
        <f t="shared" si="29"/>
        <v>-1.2222222222222356E-3</v>
      </c>
      <c r="O499" s="9">
        <v>42765</v>
      </c>
      <c r="P499" s="10">
        <v>8989</v>
      </c>
      <c r="Q499" s="11" t="s">
        <v>84</v>
      </c>
      <c r="R499" s="12">
        <f t="shared" si="30"/>
        <v>-1.2222222222222356E-3</v>
      </c>
      <c r="S499" s="12">
        <f t="shared" si="31"/>
        <v>-1.9844979672270502E-2</v>
      </c>
    </row>
    <row r="500" spans="3:19">
      <c r="C500" s="9">
        <v>43285</v>
      </c>
      <c r="D500" s="10">
        <v>40345.68</v>
      </c>
      <c r="E500" s="11" t="s">
        <v>79</v>
      </c>
      <c r="F500" s="12">
        <f t="shared" si="28"/>
        <v>-2.9321713138304339E-2</v>
      </c>
      <c r="I500" s="9">
        <v>42762</v>
      </c>
      <c r="J500" s="10">
        <v>9000</v>
      </c>
      <c r="K500" s="11" t="s">
        <v>84</v>
      </c>
      <c r="L500" s="12">
        <f t="shared" si="29"/>
        <v>1.2237178774057167E-3</v>
      </c>
      <c r="O500" s="9">
        <v>42762</v>
      </c>
      <c r="P500" s="10">
        <v>9000</v>
      </c>
      <c r="Q500" s="11" t="s">
        <v>84</v>
      </c>
      <c r="R500" s="12">
        <f t="shared" si="30"/>
        <v>1.2237178774057167E-3</v>
      </c>
      <c r="S500" s="12">
        <f t="shared" si="31"/>
        <v>-4.5542787786827521E-3</v>
      </c>
    </row>
    <row r="501" spans="3:19">
      <c r="C501" s="9">
        <v>43286</v>
      </c>
      <c r="D501" s="10">
        <v>40238.81</v>
      </c>
      <c r="E501" s="11" t="s">
        <v>79</v>
      </c>
      <c r="F501" s="12">
        <f t="shared" si="28"/>
        <v>-2.6488585642875373E-3</v>
      </c>
      <c r="I501" s="9">
        <v>42760</v>
      </c>
      <c r="J501" s="10">
        <v>8902</v>
      </c>
      <c r="K501" s="11" t="s">
        <v>84</v>
      </c>
      <c r="L501" s="12">
        <f t="shared" si="29"/>
        <v>-1.0888888888888837E-2</v>
      </c>
      <c r="O501" s="9">
        <v>42760</v>
      </c>
      <c r="P501" s="10">
        <v>8902</v>
      </c>
      <c r="Q501" s="11" t="s">
        <v>84</v>
      </c>
      <c r="R501" s="12">
        <f t="shared" si="30"/>
        <v>-1.0888888888888837E-2</v>
      </c>
      <c r="S501" s="12">
        <f t="shared" si="31"/>
        <v>-4.2456390892579021E-3</v>
      </c>
    </row>
    <row r="502" spans="3:19">
      <c r="C502" s="9">
        <v>43287</v>
      </c>
      <c r="D502" s="10">
        <v>40284.14</v>
      </c>
      <c r="E502" s="11" t="s">
        <v>79</v>
      </c>
      <c r="F502" s="12">
        <f t="shared" si="28"/>
        <v>1.1265243678926229E-3</v>
      </c>
      <c r="I502" s="9">
        <v>42759</v>
      </c>
      <c r="J502" s="10">
        <v>9001</v>
      </c>
      <c r="K502" s="11" t="s">
        <v>84</v>
      </c>
      <c r="L502" s="12">
        <f t="shared" si="29"/>
        <v>1.1121096382835427E-2</v>
      </c>
      <c r="O502" s="9">
        <v>42759</v>
      </c>
      <c r="P502" s="10">
        <v>9001</v>
      </c>
      <c r="Q502" s="11" t="s">
        <v>84</v>
      </c>
      <c r="R502" s="12">
        <f t="shared" si="30"/>
        <v>1.1121096382835427E-2</v>
      </c>
      <c r="S502" s="12">
        <f t="shared" si="31"/>
        <v>1.8594046296247502E-3</v>
      </c>
    </row>
    <row r="503" spans="3:19">
      <c r="C503" s="9">
        <v>43290</v>
      </c>
      <c r="D503" s="10">
        <v>39288.480000000003</v>
      </c>
      <c r="E503" s="11" t="s">
        <v>79</v>
      </c>
      <c r="F503" s="12">
        <f t="shared" si="28"/>
        <v>-2.4715930388485297E-2</v>
      </c>
      <c r="I503" s="9">
        <v>42758</v>
      </c>
      <c r="J503" s="10">
        <v>9300</v>
      </c>
      <c r="K503" s="11" t="s">
        <v>84</v>
      </c>
      <c r="L503" s="12">
        <f t="shared" si="29"/>
        <v>3.3218531274302965E-2</v>
      </c>
      <c r="O503" s="9">
        <v>42758</v>
      </c>
      <c r="P503" s="10">
        <v>9300</v>
      </c>
      <c r="Q503" s="11" t="s">
        <v>84</v>
      </c>
      <c r="R503" s="12">
        <f t="shared" si="30"/>
        <v>3.3218531274302965E-2</v>
      </c>
      <c r="S503" s="12">
        <f t="shared" si="31"/>
        <v>1.0358589303356203E-2</v>
      </c>
    </row>
    <row r="504" spans="3:19">
      <c r="C504" s="9">
        <v>43291</v>
      </c>
      <c r="D504" s="10">
        <v>39452.81</v>
      </c>
      <c r="E504" s="11" t="s">
        <v>79</v>
      </c>
      <c r="F504" s="12">
        <f t="shared" si="28"/>
        <v>4.1826509959153046E-3</v>
      </c>
      <c r="I504" s="9">
        <v>42753</v>
      </c>
      <c r="J504" s="10">
        <v>9300</v>
      </c>
      <c r="K504" s="11" t="s">
        <v>84</v>
      </c>
      <c r="L504" s="12">
        <f t="shared" si="29"/>
        <v>0</v>
      </c>
      <c r="O504" s="9">
        <v>42753</v>
      </c>
      <c r="P504" s="10">
        <v>9300</v>
      </c>
      <c r="Q504" s="11" t="s">
        <v>84</v>
      </c>
      <c r="R504" s="12">
        <f t="shared" si="30"/>
        <v>0</v>
      </c>
      <c r="S504" s="12">
        <f t="shared" si="31"/>
        <v>-7.485827975920456E-4</v>
      </c>
    </row>
    <row r="505" spans="3:19">
      <c r="C505" s="9">
        <v>43292</v>
      </c>
      <c r="D505" s="10">
        <v>39586.76</v>
      </c>
      <c r="E505" s="11" t="s">
        <v>79</v>
      </c>
      <c r="F505" s="12">
        <f t="shared" si="28"/>
        <v>3.3951954246098648E-3</v>
      </c>
      <c r="I505" s="9">
        <v>42747</v>
      </c>
      <c r="J505" s="10">
        <v>9300</v>
      </c>
      <c r="K505" s="11" t="s">
        <v>84</v>
      </c>
      <c r="L505" s="12">
        <f t="shared" si="29"/>
        <v>0</v>
      </c>
      <c r="O505" s="9">
        <v>42747</v>
      </c>
      <c r="P505" s="10">
        <v>9300</v>
      </c>
      <c r="Q505" s="11" t="s">
        <v>84</v>
      </c>
      <c r="R505" s="12">
        <f t="shared" si="30"/>
        <v>0</v>
      </c>
      <c r="S505" s="12">
        <f t="shared" si="31"/>
        <v>2.9454180135948249E-3</v>
      </c>
    </row>
    <row r="506" spans="3:19">
      <c r="C506" s="9">
        <v>43293</v>
      </c>
      <c r="D506" s="10">
        <v>39875.120000000003</v>
      </c>
      <c r="E506" s="11" t="s">
        <v>79</v>
      </c>
      <c r="F506" s="12">
        <f t="shared" si="28"/>
        <v>7.2842536241914946E-3</v>
      </c>
      <c r="I506" s="9">
        <v>42746</v>
      </c>
      <c r="J506" s="10">
        <v>9137</v>
      </c>
      <c r="K506" s="11" t="s">
        <v>84</v>
      </c>
      <c r="L506" s="12">
        <f t="shared" si="29"/>
        <v>-1.7526881720430154E-2</v>
      </c>
      <c r="O506" s="9">
        <v>42746</v>
      </c>
      <c r="P506" s="10">
        <v>9137</v>
      </c>
      <c r="Q506" s="11" t="s">
        <v>84</v>
      </c>
      <c r="R506" s="12">
        <f t="shared" si="30"/>
        <v>-1.7526881720430154E-2</v>
      </c>
      <c r="S506" s="12">
        <f t="shared" si="31"/>
        <v>1.0351004250621854E-2</v>
      </c>
    </row>
    <row r="507" spans="3:19">
      <c r="C507" s="9">
        <v>43294</v>
      </c>
      <c r="D507" s="10">
        <v>40271</v>
      </c>
      <c r="E507" s="11" t="s">
        <v>79</v>
      </c>
      <c r="F507" s="12">
        <f t="shared" si="28"/>
        <v>9.9279952010176142E-3</v>
      </c>
      <c r="I507" s="9">
        <v>42745</v>
      </c>
      <c r="J507" s="10">
        <v>9137</v>
      </c>
      <c r="K507" s="11" t="s">
        <v>84</v>
      </c>
      <c r="L507" s="12">
        <f t="shared" si="29"/>
        <v>0</v>
      </c>
      <c r="O507" s="9">
        <v>42745</v>
      </c>
      <c r="P507" s="10">
        <v>9137</v>
      </c>
      <c r="Q507" s="11" t="s">
        <v>84</v>
      </c>
      <c r="R507" s="12">
        <f t="shared" si="30"/>
        <v>0</v>
      </c>
      <c r="S507" s="12">
        <f t="shared" si="31"/>
        <v>-3.5404177986644303E-3</v>
      </c>
    </row>
    <row r="508" spans="3:19">
      <c r="C508" s="9">
        <v>43297</v>
      </c>
      <c r="D508" s="10">
        <v>39665.769999999997</v>
      </c>
      <c r="E508" s="11" t="s">
        <v>79</v>
      </c>
      <c r="F508" s="12">
        <f t="shared" si="28"/>
        <v>-1.5028929005984515E-2</v>
      </c>
      <c r="I508" s="9">
        <v>42737</v>
      </c>
      <c r="J508" s="10">
        <v>9137.5</v>
      </c>
      <c r="K508" s="11" t="s">
        <v>84</v>
      </c>
      <c r="L508" s="12">
        <f t="shared" si="29"/>
        <v>5.472255663785397E-5</v>
      </c>
      <c r="O508" s="9">
        <v>42737</v>
      </c>
      <c r="P508" s="10">
        <v>9137.5</v>
      </c>
      <c r="Q508" s="11" t="s">
        <v>84</v>
      </c>
      <c r="R508" s="12">
        <f t="shared" si="30"/>
        <v>5.472255663785397E-5</v>
      </c>
      <c r="S508" s="12">
        <f t="shared" si="31"/>
        <v>9.0637411239407051E-3</v>
      </c>
    </row>
    <row r="509" spans="3:19">
      <c r="C509" s="9">
        <v>43298</v>
      </c>
      <c r="D509" s="10">
        <v>39932.980000000003</v>
      </c>
      <c r="E509" s="11" t="s">
        <v>79</v>
      </c>
      <c r="F509" s="12">
        <f t="shared" si="28"/>
        <v>6.7365388343654242E-3</v>
      </c>
      <c r="I509" s="9">
        <v>42733</v>
      </c>
      <c r="J509" s="10">
        <v>9000</v>
      </c>
      <c r="K509" s="11" t="s">
        <v>84</v>
      </c>
      <c r="L509" s="12">
        <f t="shared" si="29"/>
        <v>-1.5047879616963078E-2</v>
      </c>
      <c r="O509" s="9">
        <v>42733</v>
      </c>
      <c r="P509" s="10">
        <v>9000</v>
      </c>
      <c r="Q509" s="11" t="s">
        <v>84</v>
      </c>
      <c r="R509" s="12">
        <f t="shared" si="30"/>
        <v>-1.5047879616963078E-2</v>
      </c>
      <c r="S509" s="12">
        <f t="shared" si="31"/>
        <v>5.1034662790201413E-3</v>
      </c>
    </row>
    <row r="510" spans="3:19">
      <c r="C510" s="9">
        <v>43299</v>
      </c>
      <c r="D510" s="10">
        <v>40897.9</v>
      </c>
      <c r="E510" s="11" t="s">
        <v>79</v>
      </c>
      <c r="F510" s="12">
        <f t="shared" si="28"/>
        <v>2.4163485920660088E-2</v>
      </c>
      <c r="I510" s="9">
        <v>42732</v>
      </c>
      <c r="J510" s="10">
        <v>9145.7000000000007</v>
      </c>
      <c r="K510" s="11" t="s">
        <v>84</v>
      </c>
      <c r="L510" s="12">
        <f t="shared" si="29"/>
        <v>1.618888888888903E-2</v>
      </c>
      <c r="O510" s="9">
        <v>42732</v>
      </c>
      <c r="P510" s="10">
        <v>9145.7000000000007</v>
      </c>
      <c r="Q510" s="11" t="s">
        <v>84</v>
      </c>
      <c r="R510" s="12">
        <f t="shared" si="30"/>
        <v>1.618888888888903E-2</v>
      </c>
      <c r="S510" s="12">
        <f t="shared" si="31"/>
        <v>1.0744990406106325E-2</v>
      </c>
    </row>
    <row r="511" spans="3:19">
      <c r="C511" s="9">
        <v>43300</v>
      </c>
      <c r="D511" s="10">
        <v>41795.589999999997</v>
      </c>
      <c r="E511" s="11" t="s">
        <v>79</v>
      </c>
      <c r="F511" s="12">
        <f t="shared" si="28"/>
        <v>2.194953775132702E-2</v>
      </c>
      <c r="I511" s="9">
        <v>42727</v>
      </c>
      <c r="J511" s="10">
        <v>8712.5</v>
      </c>
      <c r="K511" s="11" t="s">
        <v>84</v>
      </c>
      <c r="L511" s="12">
        <f t="shared" si="29"/>
        <v>-4.736652197207436E-2</v>
      </c>
      <c r="O511" s="9">
        <v>42727</v>
      </c>
      <c r="P511" s="10">
        <v>8712.5</v>
      </c>
      <c r="Q511" s="11" t="s">
        <v>84</v>
      </c>
      <c r="R511" s="12">
        <f t="shared" si="30"/>
        <v>-4.736652197207436E-2</v>
      </c>
      <c r="S511" s="12">
        <f t="shared" si="31"/>
        <v>-1.4087860799344432E-3</v>
      </c>
    </row>
    <row r="512" spans="3:19">
      <c r="C512" s="9">
        <v>43301</v>
      </c>
      <c r="D512" s="10">
        <v>41221.75</v>
      </c>
      <c r="E512" s="11" t="s">
        <v>79</v>
      </c>
      <c r="F512" s="12">
        <f t="shared" si="28"/>
        <v>-1.3729678178965643E-2</v>
      </c>
      <c r="I512" s="9">
        <v>42725</v>
      </c>
      <c r="J512" s="10">
        <v>8700</v>
      </c>
      <c r="K512" s="11" t="s">
        <v>84</v>
      </c>
      <c r="L512" s="12">
        <f t="shared" si="29"/>
        <v>-1.4347202295552641E-3</v>
      </c>
      <c r="O512" s="9">
        <v>42725</v>
      </c>
      <c r="P512" s="10">
        <v>8700</v>
      </c>
      <c r="Q512" s="11" t="s">
        <v>84</v>
      </c>
      <c r="R512" s="12">
        <f t="shared" si="30"/>
        <v>-1.4347202295552641E-3</v>
      </c>
      <c r="S512" s="12">
        <f t="shared" si="31"/>
        <v>-4.5911824725493044E-3</v>
      </c>
    </row>
    <row r="513" spans="3:19">
      <c r="C513" s="9">
        <v>43304</v>
      </c>
      <c r="D513" s="10">
        <v>40463.980000000003</v>
      </c>
      <c r="E513" s="11" t="s">
        <v>79</v>
      </c>
      <c r="F513" s="12">
        <f t="shared" si="28"/>
        <v>-1.8382771231206796E-2</v>
      </c>
      <c r="I513" s="9">
        <v>42724</v>
      </c>
      <c r="J513" s="10">
        <v>8610</v>
      </c>
      <c r="K513" s="11" t="s">
        <v>84</v>
      </c>
      <c r="L513" s="12">
        <f t="shared" si="29"/>
        <v>-1.0344827586206917E-2</v>
      </c>
      <c r="O513" s="9">
        <v>42724</v>
      </c>
      <c r="P513" s="10">
        <v>8610</v>
      </c>
      <c r="Q513" s="11" t="s">
        <v>84</v>
      </c>
      <c r="R513" s="12">
        <f t="shared" si="30"/>
        <v>-1.0344827586206917E-2</v>
      </c>
      <c r="S513" s="12">
        <f t="shared" si="31"/>
        <v>5.7835141618016728E-3</v>
      </c>
    </row>
    <row r="514" spans="3:19">
      <c r="C514" s="9">
        <v>43305</v>
      </c>
      <c r="D514" s="10">
        <v>41339.22</v>
      </c>
      <c r="E514" s="11" t="s">
        <v>79</v>
      </c>
      <c r="F514" s="12">
        <f t="shared" si="28"/>
        <v>2.1630101636072263E-2</v>
      </c>
      <c r="I514" s="9">
        <v>42723</v>
      </c>
      <c r="J514" s="10">
        <v>8700</v>
      </c>
      <c r="K514" s="11" t="s">
        <v>84</v>
      </c>
      <c r="L514" s="12">
        <f t="shared" si="29"/>
        <v>1.0452961672473782E-2</v>
      </c>
      <c r="O514" s="9">
        <v>42723</v>
      </c>
      <c r="P514" s="10">
        <v>8700</v>
      </c>
      <c r="Q514" s="11" t="s">
        <v>84</v>
      </c>
      <c r="R514" s="12">
        <f t="shared" si="30"/>
        <v>1.0452961672473782E-2</v>
      </c>
      <c r="S514" s="12">
        <f t="shared" si="31"/>
        <v>7.6003772067678721E-3</v>
      </c>
    </row>
    <row r="515" spans="3:19">
      <c r="C515" s="9">
        <v>43307</v>
      </c>
      <c r="D515" s="10">
        <v>42089.16</v>
      </c>
      <c r="E515" s="11" t="s">
        <v>79</v>
      </c>
      <c r="F515" s="12">
        <f t="shared" si="28"/>
        <v>1.8141126029954213E-2</v>
      </c>
      <c r="I515" s="9">
        <v>42719</v>
      </c>
      <c r="J515" s="10">
        <v>8700</v>
      </c>
      <c r="K515" s="11" t="s">
        <v>84</v>
      </c>
      <c r="L515" s="12">
        <f t="shared" si="29"/>
        <v>0</v>
      </c>
      <c r="O515" s="9">
        <v>42719</v>
      </c>
      <c r="P515" s="10">
        <v>8700</v>
      </c>
      <c r="Q515" s="11" t="s">
        <v>84</v>
      </c>
      <c r="R515" s="12">
        <f t="shared" si="30"/>
        <v>0</v>
      </c>
      <c r="S515" s="12">
        <f t="shared" si="31"/>
        <v>3.747515170962501E-3</v>
      </c>
    </row>
    <row r="516" spans="3:19">
      <c r="C516" s="9">
        <v>43308</v>
      </c>
      <c r="D516" s="10">
        <v>42786.45</v>
      </c>
      <c r="E516" s="11" t="s">
        <v>79</v>
      </c>
      <c r="F516" s="12">
        <f t="shared" si="28"/>
        <v>1.6566973539029917E-2</v>
      </c>
      <c r="I516" s="9">
        <v>42718</v>
      </c>
      <c r="J516" s="10">
        <v>8800.1</v>
      </c>
      <c r="K516" s="11" t="s">
        <v>84</v>
      </c>
      <c r="L516" s="12">
        <f t="shared" si="29"/>
        <v>1.1505747126436816E-2</v>
      </c>
      <c r="O516" s="9">
        <v>42718</v>
      </c>
      <c r="P516" s="10">
        <v>8800.1</v>
      </c>
      <c r="Q516" s="11" t="s">
        <v>84</v>
      </c>
      <c r="R516" s="12">
        <f t="shared" si="30"/>
        <v>1.1505747126436816E-2</v>
      </c>
      <c r="S516" s="12">
        <f t="shared" si="31"/>
        <v>7.1390114111224978E-3</v>
      </c>
    </row>
    <row r="517" spans="3:19">
      <c r="C517" s="9">
        <v>43311</v>
      </c>
      <c r="D517" s="10">
        <v>43556.63</v>
      </c>
      <c r="E517" s="11" t="s">
        <v>79</v>
      </c>
      <c r="F517" s="12">
        <f t="shared" si="28"/>
        <v>1.8000558588057602E-2</v>
      </c>
      <c r="I517" s="9">
        <v>42717</v>
      </c>
      <c r="J517" s="10">
        <v>8800</v>
      </c>
      <c r="K517" s="11" t="s">
        <v>84</v>
      </c>
      <c r="L517" s="12">
        <f t="shared" si="29"/>
        <v>-1.1363507232964309E-5</v>
      </c>
      <c r="O517" s="9">
        <v>42717</v>
      </c>
      <c r="P517" s="10">
        <v>8800</v>
      </c>
      <c r="Q517" s="11" t="s">
        <v>84</v>
      </c>
      <c r="R517" s="12">
        <f t="shared" si="30"/>
        <v>-1.1363507232964309E-5</v>
      </c>
      <c r="S517" s="12">
        <f t="shared" si="31"/>
        <v>1.0369877165889996E-2</v>
      </c>
    </row>
    <row r="518" spans="3:19">
      <c r="C518" s="9">
        <v>43312</v>
      </c>
      <c r="D518" s="10">
        <v>42712.43</v>
      </c>
      <c r="E518" s="11" t="s">
        <v>79</v>
      </c>
      <c r="F518" s="12">
        <f t="shared" si="28"/>
        <v>-1.9381664743117089E-2</v>
      </c>
      <c r="I518" s="9">
        <v>42713</v>
      </c>
      <c r="J518" s="10">
        <v>9002.5</v>
      </c>
      <c r="K518" s="11" t="s">
        <v>84</v>
      </c>
      <c r="L518" s="12">
        <f t="shared" si="29"/>
        <v>2.301136363636358E-2</v>
      </c>
      <c r="O518" s="9">
        <v>42713</v>
      </c>
      <c r="P518" s="10">
        <v>9002.5</v>
      </c>
      <c r="Q518" s="11" t="s">
        <v>84</v>
      </c>
      <c r="R518" s="12">
        <f t="shared" si="30"/>
        <v>2.301136363636358E-2</v>
      </c>
      <c r="S518" s="12">
        <f t="shared" si="31"/>
        <v>1.4421579018183861E-2</v>
      </c>
    </row>
    <row r="519" spans="3:19">
      <c r="C519" s="9">
        <v>43313</v>
      </c>
      <c r="D519" s="10">
        <v>42810.04</v>
      </c>
      <c r="E519" s="11" t="s">
        <v>79</v>
      </c>
      <c r="F519" s="12">
        <f t="shared" ref="F519:F582" si="32">D519/D518-1</f>
        <v>2.2852832301978321E-3</v>
      </c>
      <c r="I519" s="9">
        <v>42711</v>
      </c>
      <c r="J519" s="10">
        <v>8800</v>
      </c>
      <c r="K519" s="11" t="s">
        <v>84</v>
      </c>
      <c r="L519" s="12">
        <f t="shared" ref="L519:L582" si="33">J519/J518-1</f>
        <v>-2.2493751735628953E-2</v>
      </c>
      <c r="O519" s="9">
        <v>42711</v>
      </c>
      <c r="P519" s="10">
        <v>8800</v>
      </c>
      <c r="Q519" s="11" t="s">
        <v>84</v>
      </c>
      <c r="R519" s="12">
        <f t="shared" ref="R519:R582" si="34">P519/P518-1</f>
        <v>-2.2493751735628953E-2</v>
      </c>
      <c r="S519" s="12">
        <f t="shared" ref="S519:S582" si="35">VLOOKUP(O519,$C$5:$F$989,4,)</f>
        <v>6.6876473436290329E-3</v>
      </c>
    </row>
    <row r="520" spans="3:19">
      <c r="C520" s="9">
        <v>43314</v>
      </c>
      <c r="D520" s="10">
        <v>42330.32</v>
      </c>
      <c r="E520" s="11" t="s">
        <v>79</v>
      </c>
      <c r="F520" s="12">
        <f t="shared" si="32"/>
        <v>-1.1205782568761924E-2</v>
      </c>
      <c r="I520" s="9">
        <v>42704</v>
      </c>
      <c r="J520" s="10">
        <v>8750</v>
      </c>
      <c r="K520" s="11" t="s">
        <v>84</v>
      </c>
      <c r="L520" s="12">
        <f t="shared" si="33"/>
        <v>-5.6818181818182323E-3</v>
      </c>
      <c r="O520" s="9">
        <v>42704</v>
      </c>
      <c r="P520" s="10">
        <v>8750</v>
      </c>
      <c r="Q520" s="11" t="s">
        <v>84</v>
      </c>
      <c r="R520" s="12">
        <f t="shared" si="34"/>
        <v>-5.6818181818182323E-3</v>
      </c>
      <c r="S520" s="12">
        <f t="shared" si="35"/>
        <v>-4.4123895413519243E-3</v>
      </c>
    </row>
    <row r="521" spans="3:19">
      <c r="C521" s="9">
        <v>43315</v>
      </c>
      <c r="D521" s="10">
        <v>42505.05</v>
      </c>
      <c r="E521" s="11" t="s">
        <v>79</v>
      </c>
      <c r="F521" s="12">
        <f t="shared" si="32"/>
        <v>4.1277741344738494E-3</v>
      </c>
      <c r="I521" s="9">
        <v>42703</v>
      </c>
      <c r="J521" s="10">
        <v>8710</v>
      </c>
      <c r="K521" s="11" t="s">
        <v>84</v>
      </c>
      <c r="L521" s="12">
        <f t="shared" si="33"/>
        <v>-4.5714285714285596E-3</v>
      </c>
      <c r="O521" s="9">
        <v>42703</v>
      </c>
      <c r="P521" s="10">
        <v>8710</v>
      </c>
      <c r="Q521" s="11" t="s">
        <v>84</v>
      </c>
      <c r="R521" s="12">
        <f t="shared" si="34"/>
        <v>-4.5714285714285596E-3</v>
      </c>
      <c r="S521" s="12">
        <f t="shared" si="35"/>
        <v>-5.7927516754833208E-3</v>
      </c>
    </row>
    <row r="522" spans="3:19">
      <c r="C522" s="9">
        <v>43318</v>
      </c>
      <c r="D522" s="10">
        <v>42808.66</v>
      </c>
      <c r="E522" s="11" t="s">
        <v>79</v>
      </c>
      <c r="F522" s="12">
        <f t="shared" si="32"/>
        <v>7.1429159593978664E-3</v>
      </c>
      <c r="I522" s="9">
        <v>42698</v>
      </c>
      <c r="J522" s="10">
        <v>8750</v>
      </c>
      <c r="K522" s="11" t="s">
        <v>84</v>
      </c>
      <c r="L522" s="12">
        <f t="shared" si="33"/>
        <v>4.5924225028701748E-3</v>
      </c>
      <c r="O522" s="9">
        <v>42698</v>
      </c>
      <c r="P522" s="10">
        <v>8750</v>
      </c>
      <c r="Q522" s="11" t="s">
        <v>84</v>
      </c>
      <c r="R522" s="12">
        <f t="shared" si="34"/>
        <v>4.5924225028701748E-3</v>
      </c>
      <c r="S522" s="12">
        <f t="shared" si="35"/>
        <v>1.1354042398061814E-3</v>
      </c>
    </row>
    <row r="523" spans="3:19">
      <c r="C523" s="9">
        <v>43319</v>
      </c>
      <c r="D523" s="10">
        <v>42760.13</v>
      </c>
      <c r="E523" s="11" t="s">
        <v>79</v>
      </c>
      <c r="F523" s="12">
        <f t="shared" si="32"/>
        <v>-1.1336491261348947E-3</v>
      </c>
      <c r="I523" s="9">
        <v>42697</v>
      </c>
      <c r="J523" s="10">
        <v>8550</v>
      </c>
      <c r="K523" s="11" t="s">
        <v>84</v>
      </c>
      <c r="L523" s="12">
        <f t="shared" si="33"/>
        <v>-2.2857142857142909E-2</v>
      </c>
      <c r="O523" s="9">
        <v>42697</v>
      </c>
      <c r="P523" s="10">
        <v>8550</v>
      </c>
      <c r="Q523" s="11" t="s">
        <v>84</v>
      </c>
      <c r="R523" s="12">
        <f t="shared" si="34"/>
        <v>-2.2857142857142909E-2</v>
      </c>
      <c r="S523" s="12">
        <f t="shared" si="35"/>
        <v>6.3201973748099327E-3</v>
      </c>
    </row>
    <row r="524" spans="3:19">
      <c r="C524" s="9">
        <v>43320</v>
      </c>
      <c r="D524" s="10">
        <v>42731.86</v>
      </c>
      <c r="E524" s="11" t="s">
        <v>79</v>
      </c>
      <c r="F524" s="12">
        <f t="shared" si="32"/>
        <v>-6.6112988898758829E-4</v>
      </c>
      <c r="I524" s="9">
        <v>42696</v>
      </c>
      <c r="J524" s="10">
        <v>8500</v>
      </c>
      <c r="K524" s="11" t="s">
        <v>84</v>
      </c>
      <c r="L524" s="12">
        <f t="shared" si="33"/>
        <v>-5.8479532163743242E-3</v>
      </c>
      <c r="O524" s="9">
        <v>42696</v>
      </c>
      <c r="P524" s="10">
        <v>8500</v>
      </c>
      <c r="Q524" s="11" t="s">
        <v>84</v>
      </c>
      <c r="R524" s="12">
        <f t="shared" si="34"/>
        <v>-5.8479532163743242E-3</v>
      </c>
      <c r="S524" s="12">
        <f t="shared" si="35"/>
        <v>4.5368604002353763E-3</v>
      </c>
    </row>
    <row r="525" spans="3:19">
      <c r="C525" s="9">
        <v>43321</v>
      </c>
      <c r="D525" s="10">
        <v>42923.95</v>
      </c>
      <c r="E525" s="11" t="s">
        <v>79</v>
      </c>
      <c r="F525" s="12">
        <f t="shared" si="32"/>
        <v>4.4952407875527012E-3</v>
      </c>
      <c r="I525" s="9">
        <v>42695</v>
      </c>
      <c r="J525" s="10">
        <v>8300</v>
      </c>
      <c r="K525" s="11" t="s">
        <v>84</v>
      </c>
      <c r="L525" s="12">
        <f t="shared" si="33"/>
        <v>-2.352941176470591E-2</v>
      </c>
      <c r="O525" s="9">
        <v>42695</v>
      </c>
      <c r="P525" s="10">
        <v>8300</v>
      </c>
      <c r="Q525" s="11" t="s">
        <v>84</v>
      </c>
      <c r="R525" s="12">
        <f t="shared" si="34"/>
        <v>-2.352941176470591E-2</v>
      </c>
      <c r="S525" s="12">
        <f t="shared" si="35"/>
        <v>2.6958100826603992E-3</v>
      </c>
    </row>
    <row r="526" spans="3:19">
      <c r="C526" s="9">
        <v>43322</v>
      </c>
      <c r="D526" s="10">
        <v>42842.18</v>
      </c>
      <c r="E526" s="11" t="s">
        <v>79</v>
      </c>
      <c r="F526" s="12">
        <f t="shared" si="32"/>
        <v>-1.9049970936970695E-3</v>
      </c>
      <c r="I526" s="9">
        <v>42692</v>
      </c>
      <c r="J526" s="10">
        <v>8300</v>
      </c>
      <c r="K526" s="11" t="s">
        <v>84</v>
      </c>
      <c r="L526" s="12">
        <f t="shared" si="33"/>
        <v>0</v>
      </c>
      <c r="O526" s="9">
        <v>42692</v>
      </c>
      <c r="P526" s="10">
        <v>8300</v>
      </c>
      <c r="Q526" s="11" t="s">
        <v>84</v>
      </c>
      <c r="R526" s="12">
        <f t="shared" si="34"/>
        <v>0</v>
      </c>
      <c r="S526" s="12">
        <f t="shared" si="35"/>
        <v>-2.0480149392386737E-3</v>
      </c>
    </row>
    <row r="527" spans="3:19">
      <c r="C527" s="9">
        <v>43325</v>
      </c>
      <c r="D527" s="10">
        <v>42637.58</v>
      </c>
      <c r="E527" s="11" t="s">
        <v>79</v>
      </c>
      <c r="F527" s="12">
        <f t="shared" si="32"/>
        <v>-4.7756673446589515E-3</v>
      </c>
      <c r="I527" s="9">
        <v>42691</v>
      </c>
      <c r="J527" s="10">
        <v>8310.5</v>
      </c>
      <c r="K527" s="11" t="s">
        <v>84</v>
      </c>
      <c r="L527" s="12">
        <f t="shared" si="33"/>
        <v>1.2650602409638445E-3</v>
      </c>
      <c r="O527" s="9">
        <v>42691</v>
      </c>
      <c r="P527" s="10">
        <v>8310.5</v>
      </c>
      <c r="Q527" s="11" t="s">
        <v>84</v>
      </c>
      <c r="R527" s="12">
        <f t="shared" si="34"/>
        <v>1.2650602409638445E-3</v>
      </c>
      <c r="S527" s="12">
        <f t="shared" si="35"/>
        <v>1.7285913489795135E-4</v>
      </c>
    </row>
    <row r="528" spans="3:19">
      <c r="C528" s="9">
        <v>43327</v>
      </c>
      <c r="D528" s="10">
        <v>42446.559999999998</v>
      </c>
      <c r="E528" s="11" t="s">
        <v>79</v>
      </c>
      <c r="F528" s="12">
        <f t="shared" si="32"/>
        <v>-4.4800854082245323E-3</v>
      </c>
      <c r="I528" s="9">
        <v>42688</v>
      </c>
      <c r="J528" s="10">
        <v>8310.5</v>
      </c>
      <c r="K528" s="11" t="s">
        <v>84</v>
      </c>
      <c r="L528" s="12">
        <f t="shared" si="33"/>
        <v>0</v>
      </c>
      <c r="O528" s="9">
        <v>42688</v>
      </c>
      <c r="P528" s="10">
        <v>8310.5</v>
      </c>
      <c r="Q528" s="11" t="s">
        <v>84</v>
      </c>
      <c r="R528" s="12">
        <f t="shared" si="34"/>
        <v>0</v>
      </c>
      <c r="S528" s="12">
        <f t="shared" si="35"/>
        <v>-7.5425119582386291E-3</v>
      </c>
    </row>
    <row r="529" spans="3:19">
      <c r="C529" s="9">
        <v>43328</v>
      </c>
      <c r="D529" s="10">
        <v>41960.800000000003</v>
      </c>
      <c r="E529" s="11" t="s">
        <v>79</v>
      </c>
      <c r="F529" s="12">
        <f t="shared" si="32"/>
        <v>-1.1444036925489232E-2</v>
      </c>
      <c r="I529" s="9">
        <v>42685</v>
      </c>
      <c r="J529" s="10">
        <v>8564</v>
      </c>
      <c r="K529" s="11" t="s">
        <v>84</v>
      </c>
      <c r="L529" s="12">
        <f t="shared" si="33"/>
        <v>3.0503579808675685E-2</v>
      </c>
      <c r="O529" s="9">
        <v>42685</v>
      </c>
      <c r="P529" s="10">
        <v>8564</v>
      </c>
      <c r="Q529" s="11" t="s">
        <v>84</v>
      </c>
      <c r="R529" s="12">
        <f t="shared" si="34"/>
        <v>3.0503579808675685E-2</v>
      </c>
      <c r="S529" s="12">
        <f t="shared" si="35"/>
        <v>3.3985114739865097E-3</v>
      </c>
    </row>
    <row r="530" spans="3:19">
      <c r="C530" s="9">
        <v>43329</v>
      </c>
      <c r="D530" s="10">
        <v>42446.62</v>
      </c>
      <c r="E530" s="11" t="s">
        <v>79</v>
      </c>
      <c r="F530" s="12">
        <f t="shared" si="32"/>
        <v>1.1577948942822713E-2</v>
      </c>
      <c r="I530" s="9">
        <v>42684</v>
      </c>
      <c r="J530" s="10">
        <v>8396</v>
      </c>
      <c r="K530" s="11" t="s">
        <v>84</v>
      </c>
      <c r="L530" s="12">
        <f t="shared" si="33"/>
        <v>-1.9617001401214362E-2</v>
      </c>
      <c r="O530" s="9">
        <v>42684</v>
      </c>
      <c r="P530" s="10">
        <v>8396</v>
      </c>
      <c r="Q530" s="11" t="s">
        <v>84</v>
      </c>
      <c r="R530" s="12">
        <f t="shared" si="34"/>
        <v>-1.9617001401214362E-2</v>
      </c>
      <c r="S530" s="12">
        <f t="shared" si="35"/>
        <v>1.1855852209869067E-2</v>
      </c>
    </row>
    <row r="531" spans="3:19">
      <c r="C531" s="9">
        <v>43332</v>
      </c>
      <c r="D531" s="10">
        <v>42425.1</v>
      </c>
      <c r="E531" s="11" t="s">
        <v>79</v>
      </c>
      <c r="F531" s="12">
        <f t="shared" si="32"/>
        <v>-5.0698972026519407E-4</v>
      </c>
      <c r="I531" s="9">
        <v>42681</v>
      </c>
      <c r="J531" s="10">
        <v>8300</v>
      </c>
      <c r="K531" s="11" t="s">
        <v>84</v>
      </c>
      <c r="L531" s="12">
        <f t="shared" si="33"/>
        <v>-1.1434016198189623E-2</v>
      </c>
      <c r="O531" s="9">
        <v>42681</v>
      </c>
      <c r="P531" s="10">
        <v>8300</v>
      </c>
      <c r="Q531" s="11" t="s">
        <v>84</v>
      </c>
      <c r="R531" s="12">
        <f t="shared" si="34"/>
        <v>-1.1434016198189623E-2</v>
      </c>
      <c r="S531" s="12">
        <f t="shared" si="35"/>
        <v>6.9782293012019547E-3</v>
      </c>
    </row>
    <row r="532" spans="3:19">
      <c r="C532" s="9">
        <v>43336</v>
      </c>
      <c r="D532" s="10">
        <v>42588.29</v>
      </c>
      <c r="E532" s="11" t="s">
        <v>79</v>
      </c>
      <c r="F532" s="12">
        <f t="shared" si="32"/>
        <v>3.8465436734387293E-3</v>
      </c>
      <c r="I532" s="9">
        <v>42678</v>
      </c>
      <c r="J532" s="10">
        <v>8369.7000000000007</v>
      </c>
      <c r="K532" s="11" t="s">
        <v>84</v>
      </c>
      <c r="L532" s="12">
        <f t="shared" si="33"/>
        <v>8.3975903614459391E-3</v>
      </c>
      <c r="O532" s="9">
        <v>42678</v>
      </c>
      <c r="P532" s="10">
        <v>8369.7000000000007</v>
      </c>
      <c r="Q532" s="11" t="s">
        <v>84</v>
      </c>
      <c r="R532" s="12">
        <f t="shared" si="34"/>
        <v>8.3975903614459391E-3</v>
      </c>
      <c r="S532" s="12">
        <f t="shared" si="35"/>
        <v>-3.1662110721615289E-3</v>
      </c>
    </row>
    <row r="533" spans="3:19">
      <c r="C533" s="9">
        <v>43339</v>
      </c>
      <c r="D533" s="10">
        <v>42745.78</v>
      </c>
      <c r="E533" s="11" t="s">
        <v>79</v>
      </c>
      <c r="F533" s="12">
        <f t="shared" si="32"/>
        <v>3.6979648631114692E-3</v>
      </c>
      <c r="I533" s="9">
        <v>42677</v>
      </c>
      <c r="J533" s="10">
        <v>8250</v>
      </c>
      <c r="K533" s="11" t="s">
        <v>84</v>
      </c>
      <c r="L533" s="12">
        <f t="shared" si="33"/>
        <v>-1.4301587870533039E-2</v>
      </c>
      <c r="O533" s="9">
        <v>42677</v>
      </c>
      <c r="P533" s="10">
        <v>8250</v>
      </c>
      <c r="Q533" s="11" t="s">
        <v>84</v>
      </c>
      <c r="R533" s="12">
        <f t="shared" si="34"/>
        <v>-1.4301587870533039E-2</v>
      </c>
      <c r="S533" s="12">
        <f t="shared" si="35"/>
        <v>5.5509040492061068E-3</v>
      </c>
    </row>
    <row r="534" spans="3:19">
      <c r="C534" s="9">
        <v>43340</v>
      </c>
      <c r="D534" s="10">
        <v>42544.47</v>
      </c>
      <c r="E534" s="11" t="s">
        <v>79</v>
      </c>
      <c r="F534" s="12">
        <f t="shared" si="32"/>
        <v>-4.7094707360585408E-3</v>
      </c>
      <c r="I534" s="9">
        <v>42676</v>
      </c>
      <c r="J534" s="10">
        <v>8199</v>
      </c>
      <c r="K534" s="11" t="s">
        <v>84</v>
      </c>
      <c r="L534" s="12">
        <f t="shared" si="33"/>
        <v>-6.1818181818181772E-3</v>
      </c>
      <c r="O534" s="9">
        <v>42676</v>
      </c>
      <c r="P534" s="10">
        <v>8199</v>
      </c>
      <c r="Q534" s="11" t="s">
        <v>84</v>
      </c>
      <c r="R534" s="12">
        <f t="shared" si="34"/>
        <v>-6.1818181818181772E-3</v>
      </c>
      <c r="S534" s="12">
        <f t="shared" si="35"/>
        <v>1.0723520437231349E-2</v>
      </c>
    </row>
    <row r="535" spans="3:19">
      <c r="C535" s="9">
        <v>43341</v>
      </c>
      <c r="D535" s="10">
        <v>42249.440000000002</v>
      </c>
      <c r="E535" s="11" t="s">
        <v>79</v>
      </c>
      <c r="F535" s="12">
        <f t="shared" si="32"/>
        <v>-6.9346262863304586E-3</v>
      </c>
      <c r="I535" s="9">
        <v>42675</v>
      </c>
      <c r="J535" s="10">
        <v>8311</v>
      </c>
      <c r="K535" s="11" t="s">
        <v>84</v>
      </c>
      <c r="L535" s="12">
        <f t="shared" si="33"/>
        <v>1.3660202463715132E-2</v>
      </c>
      <c r="O535" s="9">
        <v>42675</v>
      </c>
      <c r="P535" s="10">
        <v>8311</v>
      </c>
      <c r="Q535" s="11" t="s">
        <v>84</v>
      </c>
      <c r="R535" s="12">
        <f t="shared" si="34"/>
        <v>1.3660202463715132E-2</v>
      </c>
      <c r="S535" s="12">
        <f t="shared" si="35"/>
        <v>3.5244288341257812E-2</v>
      </c>
    </row>
    <row r="536" spans="3:19">
      <c r="C536" s="9">
        <v>43342</v>
      </c>
      <c r="D536" s="10">
        <v>41863.519999999997</v>
      </c>
      <c r="E536" s="11" t="s">
        <v>79</v>
      </c>
      <c r="F536" s="12">
        <f t="shared" si="32"/>
        <v>-9.1343222537388913E-3</v>
      </c>
      <c r="I536" s="9">
        <v>42674</v>
      </c>
      <c r="J536" s="10">
        <v>8100</v>
      </c>
      <c r="K536" s="11" t="s">
        <v>84</v>
      </c>
      <c r="L536" s="12">
        <f t="shared" si="33"/>
        <v>-2.5388039947058072E-2</v>
      </c>
      <c r="O536" s="9">
        <v>42674</v>
      </c>
      <c r="P536" s="10">
        <v>8100</v>
      </c>
      <c r="Q536" s="11" t="s">
        <v>84</v>
      </c>
      <c r="R536" s="12">
        <f t="shared" si="34"/>
        <v>-2.5388039947058072E-2</v>
      </c>
      <c r="S536" s="12">
        <f t="shared" si="35"/>
        <v>5.2567058110675191E-4</v>
      </c>
    </row>
    <row r="537" spans="3:19">
      <c r="C537" s="9">
        <v>43343</v>
      </c>
      <c r="D537" s="10">
        <v>41742.239999999998</v>
      </c>
      <c r="E537" s="11" t="s">
        <v>79</v>
      </c>
      <c r="F537" s="12">
        <f t="shared" si="32"/>
        <v>-2.8970330254121102E-3</v>
      </c>
      <c r="I537" s="9">
        <v>42670</v>
      </c>
      <c r="J537" s="10">
        <v>8325</v>
      </c>
      <c r="K537" s="11" t="s">
        <v>84</v>
      </c>
      <c r="L537" s="12">
        <f t="shared" si="33"/>
        <v>2.7777777777777679E-2</v>
      </c>
      <c r="O537" s="9">
        <v>42670</v>
      </c>
      <c r="P537" s="10">
        <v>8325</v>
      </c>
      <c r="Q537" s="11" t="s">
        <v>84</v>
      </c>
      <c r="R537" s="12">
        <f t="shared" si="34"/>
        <v>2.7777777777777679E-2</v>
      </c>
      <c r="S537" s="12">
        <f t="shared" si="35"/>
        <v>-1.3312175322952924E-2</v>
      </c>
    </row>
    <row r="538" spans="3:19">
      <c r="C538" s="9">
        <v>43346</v>
      </c>
      <c r="D538" s="10">
        <v>41581.96</v>
      </c>
      <c r="E538" s="11" t="s">
        <v>79</v>
      </c>
      <c r="F538" s="12">
        <f t="shared" si="32"/>
        <v>-3.83975560487404E-3</v>
      </c>
      <c r="I538" s="9">
        <v>42669</v>
      </c>
      <c r="J538" s="10">
        <v>8500</v>
      </c>
      <c r="K538" s="11" t="s">
        <v>84</v>
      </c>
      <c r="L538" s="12">
        <f t="shared" si="33"/>
        <v>2.1021021021021102E-2</v>
      </c>
      <c r="O538" s="9">
        <v>42669</v>
      </c>
      <c r="P538" s="10">
        <v>8500</v>
      </c>
      <c r="Q538" s="11" t="s">
        <v>84</v>
      </c>
      <c r="R538" s="12">
        <f t="shared" si="34"/>
        <v>2.1021021021021102E-2</v>
      </c>
      <c r="S538" s="12">
        <f t="shared" si="35"/>
        <v>-5.8371495379834215E-3</v>
      </c>
    </row>
    <row r="539" spans="3:19">
      <c r="C539" s="9">
        <v>43347</v>
      </c>
      <c r="D539" s="10">
        <v>41753.89</v>
      </c>
      <c r="E539" s="11" t="s">
        <v>79</v>
      </c>
      <c r="F539" s="12">
        <f t="shared" si="32"/>
        <v>4.1347257320241138E-3</v>
      </c>
      <c r="I539" s="9">
        <v>42668</v>
      </c>
      <c r="J539" s="10">
        <v>8399</v>
      </c>
      <c r="K539" s="11" t="s">
        <v>84</v>
      </c>
      <c r="L539" s="12">
        <f t="shared" si="33"/>
        <v>-1.1882352941176455E-2</v>
      </c>
      <c r="O539" s="9">
        <v>42668</v>
      </c>
      <c r="P539" s="10">
        <v>8399</v>
      </c>
      <c r="Q539" s="11" t="s">
        <v>84</v>
      </c>
      <c r="R539" s="12">
        <f t="shared" si="34"/>
        <v>-1.1882352941176455E-2</v>
      </c>
      <c r="S539" s="12">
        <f t="shared" si="35"/>
        <v>-2.1362463505484319E-3</v>
      </c>
    </row>
    <row r="540" spans="3:19">
      <c r="C540" s="9">
        <v>43348</v>
      </c>
      <c r="D540" s="10">
        <v>41620.959999999999</v>
      </c>
      <c r="E540" s="11" t="s">
        <v>79</v>
      </c>
      <c r="F540" s="12">
        <f t="shared" si="32"/>
        <v>-3.1836554630000347E-3</v>
      </c>
      <c r="I540" s="9">
        <v>42667</v>
      </c>
      <c r="J540" s="10">
        <v>8399</v>
      </c>
      <c r="K540" s="11" t="s">
        <v>84</v>
      </c>
      <c r="L540" s="12">
        <f t="shared" si="33"/>
        <v>0</v>
      </c>
      <c r="O540" s="9">
        <v>42667</v>
      </c>
      <c r="P540" s="10">
        <v>8399</v>
      </c>
      <c r="Q540" s="11" t="s">
        <v>84</v>
      </c>
      <c r="R540" s="12">
        <f t="shared" si="34"/>
        <v>0</v>
      </c>
      <c r="S540" s="12">
        <f t="shared" si="35"/>
        <v>-1.0641433343432372E-2</v>
      </c>
    </row>
    <row r="541" spans="3:19">
      <c r="C541" s="9">
        <v>43349</v>
      </c>
      <c r="D541" s="10">
        <v>41266.39</v>
      </c>
      <c r="E541" s="11" t="s">
        <v>79</v>
      </c>
      <c r="F541" s="12">
        <f t="shared" si="32"/>
        <v>-8.5190250296965919E-3</v>
      </c>
      <c r="I541" s="9">
        <v>42664</v>
      </c>
      <c r="J541" s="10">
        <v>8300</v>
      </c>
      <c r="K541" s="11" t="s">
        <v>84</v>
      </c>
      <c r="L541" s="12">
        <f t="shared" si="33"/>
        <v>-1.1787117513989753E-2</v>
      </c>
      <c r="O541" s="9">
        <v>42664</v>
      </c>
      <c r="P541" s="10">
        <v>8300</v>
      </c>
      <c r="Q541" s="11" t="s">
        <v>84</v>
      </c>
      <c r="R541" s="12">
        <f t="shared" si="34"/>
        <v>-1.1787117513989753E-2</v>
      </c>
      <c r="S541" s="12">
        <f t="shared" si="35"/>
        <v>-6.1262289103991563E-3</v>
      </c>
    </row>
    <row r="542" spans="3:19">
      <c r="C542" s="9">
        <v>43350</v>
      </c>
      <c r="D542" s="10">
        <v>40854.769999999997</v>
      </c>
      <c r="E542" s="11" t="s">
        <v>79</v>
      </c>
      <c r="F542" s="12">
        <f t="shared" si="32"/>
        <v>-9.974703384521999E-3</v>
      </c>
      <c r="I542" s="9">
        <v>42663</v>
      </c>
      <c r="J542" s="10">
        <v>8000</v>
      </c>
      <c r="K542" s="11" t="s">
        <v>84</v>
      </c>
      <c r="L542" s="12">
        <f t="shared" si="33"/>
        <v>-3.6144578313253017E-2</v>
      </c>
      <c r="O542" s="9">
        <v>42663</v>
      </c>
      <c r="P542" s="10">
        <v>8000</v>
      </c>
      <c r="Q542" s="11" t="s">
        <v>84</v>
      </c>
      <c r="R542" s="12">
        <f t="shared" si="34"/>
        <v>-3.6144578313253017E-2</v>
      </c>
      <c r="S542" s="12">
        <f t="shared" si="35"/>
        <v>1.5194210556410015E-2</v>
      </c>
    </row>
    <row r="543" spans="3:19">
      <c r="C543" s="9">
        <v>43353</v>
      </c>
      <c r="D543" s="10">
        <v>40684.050000000003</v>
      </c>
      <c r="E543" s="11" t="s">
        <v>79</v>
      </c>
      <c r="F543" s="12">
        <f t="shared" si="32"/>
        <v>-4.1787042247452E-3</v>
      </c>
      <c r="I543" s="9">
        <v>42661</v>
      </c>
      <c r="J543" s="10">
        <v>7800</v>
      </c>
      <c r="K543" s="11" t="s">
        <v>84</v>
      </c>
      <c r="L543" s="12">
        <f t="shared" si="33"/>
        <v>-2.5000000000000022E-2</v>
      </c>
      <c r="O543" s="9">
        <v>42661</v>
      </c>
      <c r="P543" s="10">
        <v>7800</v>
      </c>
      <c r="Q543" s="11" t="s">
        <v>84</v>
      </c>
      <c r="R543" s="12">
        <f t="shared" si="34"/>
        <v>-2.5000000000000022E-2</v>
      </c>
      <c r="S543" s="12">
        <f t="shared" si="35"/>
        <v>-7.9573245173767404E-3</v>
      </c>
    </row>
    <row r="544" spans="3:19">
      <c r="C544" s="9">
        <v>43354</v>
      </c>
      <c r="D544" s="10">
        <v>40759.53</v>
      </c>
      <c r="E544" s="11" t="s">
        <v>79</v>
      </c>
      <c r="F544" s="12">
        <f t="shared" si="32"/>
        <v>1.8552725208034193E-3</v>
      </c>
      <c r="I544" s="9">
        <v>42660</v>
      </c>
      <c r="J544" s="10">
        <v>7807.3</v>
      </c>
      <c r="K544" s="11" t="s">
        <v>84</v>
      </c>
      <c r="L544" s="12">
        <f t="shared" si="33"/>
        <v>9.3589743589750363E-4</v>
      </c>
      <c r="O544" s="9">
        <v>42660</v>
      </c>
      <c r="P544" s="10">
        <v>7807.3</v>
      </c>
      <c r="Q544" s="11" t="s">
        <v>84</v>
      </c>
      <c r="R544" s="12">
        <f t="shared" si="34"/>
        <v>9.3589743589750363E-4</v>
      </c>
      <c r="S544" s="12">
        <f t="shared" si="35"/>
        <v>-4.379428959507492E-3</v>
      </c>
    </row>
    <row r="545" spans="3:19">
      <c r="C545" s="9">
        <v>43355</v>
      </c>
      <c r="D545" s="10">
        <v>40522.04</v>
      </c>
      <c r="E545" s="11" t="s">
        <v>79</v>
      </c>
      <c r="F545" s="12">
        <f t="shared" si="32"/>
        <v>-5.8266128191369893E-3</v>
      </c>
      <c r="I545" s="9">
        <v>42656</v>
      </c>
      <c r="J545" s="10">
        <v>7800</v>
      </c>
      <c r="K545" s="11" t="s">
        <v>84</v>
      </c>
      <c r="L545" s="12">
        <f t="shared" si="33"/>
        <v>-9.3502235087672414E-4</v>
      </c>
      <c r="O545" s="9">
        <v>42656</v>
      </c>
      <c r="P545" s="10">
        <v>7800</v>
      </c>
      <c r="Q545" s="11" t="s">
        <v>84</v>
      </c>
      <c r="R545" s="12">
        <f t="shared" si="34"/>
        <v>-9.3502235087672414E-4</v>
      </c>
      <c r="S545" s="12">
        <f t="shared" si="35"/>
        <v>1.9490884569761668E-4</v>
      </c>
    </row>
    <row r="546" spans="3:19">
      <c r="C546" s="9">
        <v>43356</v>
      </c>
      <c r="D546" s="10">
        <v>41049.910000000003</v>
      </c>
      <c r="E546" s="11" t="s">
        <v>79</v>
      </c>
      <c r="F546" s="12">
        <f t="shared" si="32"/>
        <v>1.302673804181631E-2</v>
      </c>
      <c r="I546" s="9">
        <v>42653</v>
      </c>
      <c r="J546" s="10">
        <v>7899.2</v>
      </c>
      <c r="K546" s="11" t="s">
        <v>84</v>
      </c>
      <c r="L546" s="12">
        <f t="shared" si="33"/>
        <v>1.2717948717948735E-2</v>
      </c>
      <c r="O546" s="9">
        <v>42653</v>
      </c>
      <c r="P546" s="10">
        <v>7899.2</v>
      </c>
      <c r="Q546" s="11" t="s">
        <v>84</v>
      </c>
      <c r="R546" s="12">
        <f t="shared" si="34"/>
        <v>1.2717948717948735E-2</v>
      </c>
      <c r="S546" s="12">
        <f t="shared" si="35"/>
        <v>4.9390201279206902E-3</v>
      </c>
    </row>
    <row r="547" spans="3:19">
      <c r="C547" s="9">
        <v>43357</v>
      </c>
      <c r="D547" s="10">
        <v>40920.31</v>
      </c>
      <c r="E547" s="11" t="s">
        <v>79</v>
      </c>
      <c r="F547" s="12">
        <f t="shared" si="32"/>
        <v>-3.157132378609484E-3</v>
      </c>
      <c r="I547" s="9">
        <v>42649</v>
      </c>
      <c r="J547" s="10">
        <v>7690</v>
      </c>
      <c r="K547" s="11" t="s">
        <v>84</v>
      </c>
      <c r="L547" s="12">
        <f t="shared" si="33"/>
        <v>-2.6483694551346915E-2</v>
      </c>
      <c r="O547" s="9">
        <v>42649</v>
      </c>
      <c r="P547" s="10">
        <v>7690</v>
      </c>
      <c r="Q547" s="11" t="s">
        <v>84</v>
      </c>
      <c r="R547" s="12">
        <f t="shared" si="34"/>
        <v>-2.6483694551346915E-2</v>
      </c>
      <c r="S547" s="12">
        <f t="shared" si="35"/>
        <v>-3.1270104374314656E-5</v>
      </c>
    </row>
    <row r="548" spans="3:19">
      <c r="C548" s="9">
        <v>43360</v>
      </c>
      <c r="D548" s="10">
        <v>40520.47</v>
      </c>
      <c r="E548" s="11" t="s">
        <v>79</v>
      </c>
      <c r="F548" s="12">
        <f t="shared" si="32"/>
        <v>-9.7711869729236733E-3</v>
      </c>
      <c r="I548" s="9">
        <v>42648</v>
      </c>
      <c r="J548" s="10">
        <v>7600</v>
      </c>
      <c r="K548" s="11" t="s">
        <v>84</v>
      </c>
      <c r="L548" s="12">
        <f t="shared" si="33"/>
        <v>-1.1703511053316018E-2</v>
      </c>
      <c r="O548" s="9">
        <v>42648</v>
      </c>
      <c r="P548" s="10">
        <v>7600</v>
      </c>
      <c r="Q548" s="11" t="s">
        <v>84</v>
      </c>
      <c r="R548" s="12">
        <f t="shared" si="34"/>
        <v>-1.1703511053316018E-2</v>
      </c>
      <c r="S548" s="12">
        <f t="shared" si="35"/>
        <v>3.1487718719762636E-3</v>
      </c>
    </row>
    <row r="549" spans="3:19">
      <c r="C549" s="9">
        <v>43361</v>
      </c>
      <c r="D549" s="10">
        <v>41238.07</v>
      </c>
      <c r="E549" s="11" t="s">
        <v>79</v>
      </c>
      <c r="F549" s="12">
        <f t="shared" si="32"/>
        <v>1.7709567534631265E-2</v>
      </c>
      <c r="I549" s="9">
        <v>42647</v>
      </c>
      <c r="J549" s="10">
        <v>7675</v>
      </c>
      <c r="K549" s="11" t="s">
        <v>84</v>
      </c>
      <c r="L549" s="12">
        <f t="shared" si="33"/>
        <v>9.8684210526316374E-3</v>
      </c>
      <c r="O549" s="9">
        <v>42647</v>
      </c>
      <c r="P549" s="10">
        <v>7675</v>
      </c>
      <c r="Q549" s="11" t="s">
        <v>84</v>
      </c>
      <c r="R549" s="12">
        <f t="shared" si="34"/>
        <v>9.8684210526316374E-3</v>
      </c>
      <c r="S549" s="12">
        <f t="shared" si="35"/>
        <v>3.3586824478710753E-3</v>
      </c>
    </row>
    <row r="550" spans="3:19">
      <c r="C550" s="9">
        <v>43362</v>
      </c>
      <c r="D550" s="10">
        <v>41320.129999999997</v>
      </c>
      <c r="E550" s="11" t="s">
        <v>79</v>
      </c>
      <c r="F550" s="12">
        <f t="shared" si="32"/>
        <v>1.9899088390895603E-3</v>
      </c>
      <c r="I550" s="9">
        <v>42646</v>
      </c>
      <c r="J550" s="10">
        <v>7800</v>
      </c>
      <c r="K550" s="11" t="s">
        <v>84</v>
      </c>
      <c r="L550" s="12">
        <f t="shared" si="33"/>
        <v>1.6286644951140072E-2</v>
      </c>
      <c r="O550" s="9">
        <v>42646</v>
      </c>
      <c r="P550" s="10">
        <v>7800</v>
      </c>
      <c r="Q550" s="11" t="s">
        <v>84</v>
      </c>
      <c r="R550" s="12">
        <f t="shared" si="34"/>
        <v>1.6286644951140072E-2</v>
      </c>
      <c r="S550" s="12">
        <f t="shared" si="35"/>
        <v>1.0963990014259295E-2</v>
      </c>
    </row>
    <row r="551" spans="3:19">
      <c r="C551" s="9">
        <v>43367</v>
      </c>
      <c r="D551" s="10">
        <v>41004.550000000003</v>
      </c>
      <c r="E551" s="11" t="s">
        <v>79</v>
      </c>
      <c r="F551" s="12">
        <f t="shared" si="32"/>
        <v>-7.6374396692361346E-3</v>
      </c>
      <c r="I551" s="9">
        <v>42643</v>
      </c>
      <c r="J551" s="10">
        <v>7600</v>
      </c>
      <c r="K551" s="11" t="s">
        <v>84</v>
      </c>
      <c r="L551" s="12">
        <f t="shared" si="33"/>
        <v>-2.5641025641025661E-2</v>
      </c>
      <c r="O551" s="9">
        <v>42643</v>
      </c>
      <c r="P551" s="10">
        <v>7600</v>
      </c>
      <c r="Q551" s="11" t="s">
        <v>84</v>
      </c>
      <c r="R551" s="12">
        <f t="shared" si="34"/>
        <v>-2.5641025641025661E-2</v>
      </c>
      <c r="S551" s="12">
        <f t="shared" si="35"/>
        <v>6.1120938506316058E-3</v>
      </c>
    </row>
    <row r="552" spans="3:19">
      <c r="C552" s="9">
        <v>43368</v>
      </c>
      <c r="D552" s="10">
        <v>41036.300000000003</v>
      </c>
      <c r="E552" s="11" t="s">
        <v>79</v>
      </c>
      <c r="F552" s="12">
        <f t="shared" si="32"/>
        <v>7.743043150090223E-4</v>
      </c>
      <c r="I552" s="9">
        <v>42642</v>
      </c>
      <c r="J552" s="10">
        <v>7500</v>
      </c>
      <c r="K552" s="11" t="s">
        <v>84</v>
      </c>
      <c r="L552" s="12">
        <f t="shared" si="33"/>
        <v>-1.3157894736842146E-2</v>
      </c>
      <c r="O552" s="9">
        <v>42642</v>
      </c>
      <c r="P552" s="10">
        <v>7500</v>
      </c>
      <c r="Q552" s="11" t="s">
        <v>84</v>
      </c>
      <c r="R552" s="12">
        <f t="shared" si="34"/>
        <v>-1.3157894736842146E-2</v>
      </c>
      <c r="S552" s="12">
        <f t="shared" si="35"/>
        <v>-1.4744138399633844E-3</v>
      </c>
    </row>
    <row r="553" spans="3:19">
      <c r="C553" s="9">
        <v>43369</v>
      </c>
      <c r="D553" s="10">
        <v>40909.910000000003</v>
      </c>
      <c r="E553" s="11" t="s">
        <v>79</v>
      </c>
      <c r="F553" s="12">
        <f t="shared" si="32"/>
        <v>-3.0799560389216385E-3</v>
      </c>
      <c r="I553" s="9">
        <v>42640</v>
      </c>
      <c r="J553" s="10">
        <v>7600</v>
      </c>
      <c r="K553" s="11" t="s">
        <v>84</v>
      </c>
      <c r="L553" s="12">
        <f t="shared" si="33"/>
        <v>1.3333333333333419E-2</v>
      </c>
      <c r="O553" s="9">
        <v>42640</v>
      </c>
      <c r="P553" s="10">
        <v>7600</v>
      </c>
      <c r="Q553" s="11" t="s">
        <v>84</v>
      </c>
      <c r="R553" s="12">
        <f t="shared" si="34"/>
        <v>1.3333333333333419E-2</v>
      </c>
      <c r="S553" s="12">
        <f t="shared" si="35"/>
        <v>1.8303980332543546E-3</v>
      </c>
    </row>
    <row r="554" spans="3:19">
      <c r="C554" s="9">
        <v>43370</v>
      </c>
      <c r="D554" s="10">
        <v>40851.800000000003</v>
      </c>
      <c r="E554" s="11" t="s">
        <v>79</v>
      </c>
      <c r="F554" s="12">
        <f t="shared" si="32"/>
        <v>-1.420438226336862E-3</v>
      </c>
      <c r="I554" s="9">
        <v>42635</v>
      </c>
      <c r="J554" s="10">
        <v>7500</v>
      </c>
      <c r="K554" s="11" t="s">
        <v>84</v>
      </c>
      <c r="L554" s="12">
        <f t="shared" si="33"/>
        <v>-1.3157894736842146E-2</v>
      </c>
      <c r="O554" s="9">
        <v>42635</v>
      </c>
      <c r="P554" s="10">
        <v>7500</v>
      </c>
      <c r="Q554" s="11" t="s">
        <v>84</v>
      </c>
      <c r="R554" s="12">
        <f t="shared" si="34"/>
        <v>-1.3157894736842146E-2</v>
      </c>
      <c r="S554" s="12">
        <f t="shared" si="35"/>
        <v>9.1495350178596446E-3</v>
      </c>
    </row>
    <row r="555" spans="3:19">
      <c r="C555" s="9">
        <v>43371</v>
      </c>
      <c r="D555" s="10">
        <v>40998.589999999997</v>
      </c>
      <c r="E555" s="11" t="s">
        <v>79</v>
      </c>
      <c r="F555" s="12">
        <f t="shared" si="32"/>
        <v>3.5932321219627195E-3</v>
      </c>
      <c r="I555" s="9">
        <v>42634</v>
      </c>
      <c r="J555" s="10">
        <v>7425</v>
      </c>
      <c r="K555" s="11" t="s">
        <v>84</v>
      </c>
      <c r="L555" s="12">
        <f t="shared" si="33"/>
        <v>-1.0000000000000009E-2</v>
      </c>
      <c r="O555" s="9">
        <v>42634</v>
      </c>
      <c r="P555" s="10">
        <v>7425</v>
      </c>
      <c r="Q555" s="11" t="s">
        <v>84</v>
      </c>
      <c r="R555" s="12">
        <f t="shared" si="34"/>
        <v>-1.0000000000000009E-2</v>
      </c>
      <c r="S555" s="12">
        <f t="shared" si="35"/>
        <v>-1.4105937314547234E-2</v>
      </c>
    </row>
    <row r="556" spans="3:19">
      <c r="C556" s="9">
        <v>43374</v>
      </c>
      <c r="D556" s="10">
        <v>40929.440000000002</v>
      </c>
      <c r="E556" s="11" t="s">
        <v>79</v>
      </c>
      <c r="F556" s="12">
        <f t="shared" si="32"/>
        <v>-1.6866433699304073E-3</v>
      </c>
      <c r="I556" s="9">
        <v>42633</v>
      </c>
      <c r="J556" s="10">
        <v>7500</v>
      </c>
      <c r="K556" s="11" t="s">
        <v>84</v>
      </c>
      <c r="L556" s="12">
        <f t="shared" si="33"/>
        <v>1.0101010101010166E-2</v>
      </c>
      <c r="O556" s="9">
        <v>42633</v>
      </c>
      <c r="P556" s="10">
        <v>7500</v>
      </c>
      <c r="Q556" s="11" t="s">
        <v>84</v>
      </c>
      <c r="R556" s="12">
        <f t="shared" si="34"/>
        <v>1.0101010101010166E-2</v>
      </c>
      <c r="S556" s="12">
        <f t="shared" si="35"/>
        <v>-1.8374493253943136E-3</v>
      </c>
    </row>
    <row r="557" spans="3:19">
      <c r="C557" s="9">
        <v>43375</v>
      </c>
      <c r="D557" s="10">
        <v>40800.25</v>
      </c>
      <c r="E557" s="11" t="s">
        <v>79</v>
      </c>
      <c r="F557" s="12">
        <f t="shared" si="32"/>
        <v>-3.1564077104402344E-3</v>
      </c>
      <c r="I557" s="9">
        <v>42632</v>
      </c>
      <c r="J557" s="10">
        <v>7400</v>
      </c>
      <c r="K557" s="11" t="s">
        <v>84</v>
      </c>
      <c r="L557" s="12">
        <f t="shared" si="33"/>
        <v>-1.3333333333333308E-2</v>
      </c>
      <c r="O557" s="9">
        <v>42632</v>
      </c>
      <c r="P557" s="10">
        <v>7400</v>
      </c>
      <c r="Q557" s="11" t="s">
        <v>84</v>
      </c>
      <c r="R557" s="12">
        <f t="shared" si="34"/>
        <v>-1.3333333333333308E-2</v>
      </c>
      <c r="S557" s="12">
        <f t="shared" si="35"/>
        <v>1.2645031374740601E-3</v>
      </c>
    </row>
    <row r="558" spans="3:19">
      <c r="C558" s="9">
        <v>43376</v>
      </c>
      <c r="D558" s="10">
        <v>40560.19</v>
      </c>
      <c r="E558" s="11" t="s">
        <v>79</v>
      </c>
      <c r="F558" s="12">
        <f t="shared" si="32"/>
        <v>-5.8837874767924125E-3</v>
      </c>
      <c r="I558" s="9">
        <v>42622</v>
      </c>
      <c r="J558" s="10">
        <v>7600</v>
      </c>
      <c r="K558" s="11" t="s">
        <v>84</v>
      </c>
      <c r="L558" s="12">
        <f t="shared" si="33"/>
        <v>2.7027027027026973E-2</v>
      </c>
      <c r="O558" s="9">
        <v>42622</v>
      </c>
      <c r="P558" s="10">
        <v>7600</v>
      </c>
      <c r="Q558" s="11" t="s">
        <v>84</v>
      </c>
      <c r="R558" s="12">
        <f t="shared" si="34"/>
        <v>2.7027027027026973E-2</v>
      </c>
      <c r="S558" s="12">
        <f t="shared" si="35"/>
        <v>5.0651606886724654E-3</v>
      </c>
    </row>
    <row r="559" spans="3:19">
      <c r="C559" s="9">
        <v>43377</v>
      </c>
      <c r="D559" s="10">
        <v>40087.120000000003</v>
      </c>
      <c r="E559" s="11" t="s">
        <v>79</v>
      </c>
      <c r="F559" s="12">
        <f t="shared" si="32"/>
        <v>-1.166340690218659E-2</v>
      </c>
      <c r="I559" s="9">
        <v>42621</v>
      </c>
      <c r="J559" s="10">
        <v>7400</v>
      </c>
      <c r="K559" s="11" t="s">
        <v>84</v>
      </c>
      <c r="L559" s="12">
        <f t="shared" si="33"/>
        <v>-2.6315789473684181E-2</v>
      </c>
      <c r="O559" s="9">
        <v>42621</v>
      </c>
      <c r="P559" s="10">
        <v>7400</v>
      </c>
      <c r="Q559" s="11" t="s">
        <v>84</v>
      </c>
      <c r="R559" s="12">
        <f t="shared" si="34"/>
        <v>-2.6315789473684181E-2</v>
      </c>
      <c r="S559" s="12">
        <f t="shared" si="35"/>
        <v>1.2987443890923878E-3</v>
      </c>
    </row>
    <row r="560" spans="3:19">
      <c r="C560" s="9">
        <v>43378</v>
      </c>
      <c r="D560" s="10">
        <v>39226.35</v>
      </c>
      <c r="E560" s="11" t="s">
        <v>79</v>
      </c>
      <c r="F560" s="12">
        <f t="shared" si="32"/>
        <v>-2.1472482932173853E-2</v>
      </c>
      <c r="I560" s="9">
        <v>42620</v>
      </c>
      <c r="J560" s="10">
        <v>7400</v>
      </c>
      <c r="K560" s="11" t="s">
        <v>84</v>
      </c>
      <c r="L560" s="12">
        <f t="shared" si="33"/>
        <v>0</v>
      </c>
      <c r="O560" s="9">
        <v>42620</v>
      </c>
      <c r="P560" s="10">
        <v>7400</v>
      </c>
      <c r="Q560" s="11" t="s">
        <v>84</v>
      </c>
      <c r="R560" s="12">
        <f t="shared" si="34"/>
        <v>0</v>
      </c>
      <c r="S560" s="12">
        <f t="shared" si="35"/>
        <v>9.9750636007938098E-3</v>
      </c>
    </row>
    <row r="561" spans="3:19">
      <c r="C561" s="9">
        <v>43381</v>
      </c>
      <c r="D561" s="10">
        <v>37898.29</v>
      </c>
      <c r="E561" s="11" t="s">
        <v>79</v>
      </c>
      <c r="F561" s="12">
        <f t="shared" si="32"/>
        <v>-3.3856323619199769E-2</v>
      </c>
      <c r="I561" s="9">
        <v>42619</v>
      </c>
      <c r="J561" s="10">
        <v>7425</v>
      </c>
      <c r="K561" s="11" t="s">
        <v>84</v>
      </c>
      <c r="L561" s="12">
        <f t="shared" si="33"/>
        <v>3.3783783783782884E-3</v>
      </c>
      <c r="O561" s="9">
        <v>42619</v>
      </c>
      <c r="P561" s="10">
        <v>7425</v>
      </c>
      <c r="Q561" s="11" t="s">
        <v>84</v>
      </c>
      <c r="R561" s="12">
        <f t="shared" si="34"/>
        <v>3.3783783783782884E-3</v>
      </c>
      <c r="S561" s="12">
        <f t="shared" si="35"/>
        <v>1.0460279275148476E-2</v>
      </c>
    </row>
    <row r="562" spans="3:19">
      <c r="C562" s="9">
        <v>43382</v>
      </c>
      <c r="D562" s="10">
        <v>38504.839999999997</v>
      </c>
      <c r="E562" s="11" t="s">
        <v>79</v>
      </c>
      <c r="F562" s="12">
        <f t="shared" si="32"/>
        <v>1.600467989452814E-2</v>
      </c>
      <c r="I562" s="9">
        <v>42618</v>
      </c>
      <c r="J562" s="10">
        <v>7500</v>
      </c>
      <c r="K562" s="11" t="s">
        <v>84</v>
      </c>
      <c r="L562" s="12">
        <f t="shared" si="33"/>
        <v>1.0101010101010166E-2</v>
      </c>
      <c r="O562" s="9">
        <v>42618</v>
      </c>
      <c r="P562" s="10">
        <v>7500</v>
      </c>
      <c r="Q562" s="11" t="s">
        <v>84</v>
      </c>
      <c r="R562" s="12">
        <f t="shared" si="34"/>
        <v>1.0101010101010166E-2</v>
      </c>
      <c r="S562" s="12">
        <f t="shared" si="35"/>
        <v>-4.7267617982169607E-3</v>
      </c>
    </row>
    <row r="563" spans="3:19">
      <c r="C563" s="9">
        <v>43383</v>
      </c>
      <c r="D563" s="10">
        <v>38792.089999999997</v>
      </c>
      <c r="E563" s="11" t="s">
        <v>79</v>
      </c>
      <c r="F563" s="12">
        <f t="shared" si="32"/>
        <v>7.460101119755258E-3</v>
      </c>
      <c r="I563" s="9">
        <v>42615</v>
      </c>
      <c r="J563" s="10">
        <v>7500</v>
      </c>
      <c r="K563" s="11" t="s">
        <v>84</v>
      </c>
      <c r="L563" s="12">
        <f t="shared" si="33"/>
        <v>0</v>
      </c>
      <c r="O563" s="9">
        <v>42615</v>
      </c>
      <c r="P563" s="10">
        <v>7500</v>
      </c>
      <c r="Q563" s="11" t="s">
        <v>84</v>
      </c>
      <c r="R563" s="12">
        <f t="shared" si="34"/>
        <v>0</v>
      </c>
      <c r="S563" s="12">
        <f t="shared" si="35"/>
        <v>-6.8955503543525198E-3</v>
      </c>
    </row>
    <row r="564" spans="3:19">
      <c r="C564" s="9">
        <v>43384</v>
      </c>
      <c r="D564" s="10">
        <v>38398.300000000003</v>
      </c>
      <c r="E564" s="11" t="s">
        <v>79</v>
      </c>
      <c r="F564" s="12">
        <f t="shared" si="32"/>
        <v>-1.0151296308087421E-2</v>
      </c>
      <c r="I564" s="9">
        <v>42614</v>
      </c>
      <c r="J564" s="10">
        <v>7410</v>
      </c>
      <c r="K564" s="11" t="s">
        <v>84</v>
      </c>
      <c r="L564" s="12">
        <f t="shared" si="33"/>
        <v>-1.2000000000000011E-2</v>
      </c>
      <c r="O564" s="9">
        <v>42614</v>
      </c>
      <c r="P564" s="10">
        <v>7410</v>
      </c>
      <c r="Q564" s="11" t="s">
        <v>84</v>
      </c>
      <c r="R564" s="12">
        <f t="shared" si="34"/>
        <v>-1.2000000000000011E-2</v>
      </c>
      <c r="S564" s="12">
        <f t="shared" si="35"/>
        <v>-1.78122954324067E-3</v>
      </c>
    </row>
    <row r="565" spans="3:19">
      <c r="C565" s="9">
        <v>43385</v>
      </c>
      <c r="D565" s="10">
        <v>37517.93</v>
      </c>
      <c r="E565" s="11" t="s">
        <v>79</v>
      </c>
      <c r="F565" s="12">
        <f t="shared" si="32"/>
        <v>-2.2927317094767252E-2</v>
      </c>
      <c r="I565" s="9">
        <v>42613</v>
      </c>
      <c r="J565" s="10">
        <v>7500</v>
      </c>
      <c r="K565" s="11" t="s">
        <v>84</v>
      </c>
      <c r="L565" s="12">
        <f t="shared" si="33"/>
        <v>1.2145748987854255E-2</v>
      </c>
      <c r="O565" s="9">
        <v>42613</v>
      </c>
      <c r="P565" s="10">
        <v>7500</v>
      </c>
      <c r="Q565" s="11" t="s">
        <v>84</v>
      </c>
      <c r="R565" s="12">
        <f t="shared" si="34"/>
        <v>1.2145748987854255E-2</v>
      </c>
      <c r="S565" s="12">
        <f t="shared" si="35"/>
        <v>-4.5561851570034007E-3</v>
      </c>
    </row>
    <row r="566" spans="3:19">
      <c r="C566" s="9">
        <v>43388</v>
      </c>
      <c r="D566" s="10">
        <v>36767.57</v>
      </c>
      <c r="E566" s="11" t="s">
        <v>79</v>
      </c>
      <c r="F566" s="12">
        <f t="shared" si="32"/>
        <v>-2.0000037315491603E-2</v>
      </c>
      <c r="I566" s="9">
        <v>42612</v>
      </c>
      <c r="J566" s="10">
        <v>7500</v>
      </c>
      <c r="K566" s="11" t="s">
        <v>84</v>
      </c>
      <c r="L566" s="12">
        <f t="shared" si="33"/>
        <v>0</v>
      </c>
      <c r="O566" s="9">
        <v>42612</v>
      </c>
      <c r="P566" s="10">
        <v>7500</v>
      </c>
      <c r="Q566" s="11" t="s">
        <v>84</v>
      </c>
      <c r="R566" s="12">
        <f t="shared" si="34"/>
        <v>0</v>
      </c>
      <c r="S566" s="12">
        <f t="shared" si="35"/>
        <v>-7.8030093681080714E-4</v>
      </c>
    </row>
    <row r="567" spans="3:19">
      <c r="C567" s="9">
        <v>43389</v>
      </c>
      <c r="D567" s="10">
        <v>36663.379999999997</v>
      </c>
      <c r="E567" s="11" t="s">
        <v>79</v>
      </c>
      <c r="F567" s="12">
        <f t="shared" si="32"/>
        <v>-2.8337472397550467E-3</v>
      </c>
      <c r="I567" s="9">
        <v>42611</v>
      </c>
      <c r="J567" s="10">
        <v>7500</v>
      </c>
      <c r="K567" s="11" t="s">
        <v>84</v>
      </c>
      <c r="L567" s="12">
        <f t="shared" si="33"/>
        <v>0</v>
      </c>
      <c r="O567" s="9">
        <v>42611</v>
      </c>
      <c r="P567" s="10">
        <v>7500</v>
      </c>
      <c r="Q567" s="11" t="s">
        <v>84</v>
      </c>
      <c r="R567" s="12">
        <f t="shared" si="34"/>
        <v>0</v>
      </c>
      <c r="S567" s="12">
        <f t="shared" si="35"/>
        <v>2.4124207610445314E-3</v>
      </c>
    </row>
    <row r="568" spans="3:19">
      <c r="C568" s="9">
        <v>43390</v>
      </c>
      <c r="D568" s="10">
        <v>37647.339999999997</v>
      </c>
      <c r="E568" s="11" t="s">
        <v>79</v>
      </c>
      <c r="F568" s="12">
        <f t="shared" si="32"/>
        <v>2.6837678359169281E-2</v>
      </c>
      <c r="I568" s="9">
        <v>42608</v>
      </c>
      <c r="J568" s="10">
        <v>7550</v>
      </c>
      <c r="K568" s="11" t="s">
        <v>84</v>
      </c>
      <c r="L568" s="12">
        <f t="shared" si="33"/>
        <v>6.6666666666665986E-3</v>
      </c>
      <c r="O568" s="9">
        <v>42608</v>
      </c>
      <c r="P568" s="10">
        <v>7550</v>
      </c>
      <c r="Q568" s="11" t="s">
        <v>84</v>
      </c>
      <c r="R568" s="12">
        <f t="shared" si="34"/>
        <v>6.6666666666665986E-3</v>
      </c>
      <c r="S568" s="12">
        <f t="shared" si="35"/>
        <v>3.382580964563342E-3</v>
      </c>
    </row>
    <row r="569" spans="3:19">
      <c r="C569" s="9">
        <v>43391</v>
      </c>
      <c r="D569" s="10">
        <v>37982.25</v>
      </c>
      <c r="E569" s="11" t="s">
        <v>79</v>
      </c>
      <c r="F569" s="12">
        <f t="shared" si="32"/>
        <v>8.8959804331463221E-3</v>
      </c>
      <c r="I569" s="9">
        <v>42606</v>
      </c>
      <c r="J569" s="10">
        <v>7351</v>
      </c>
      <c r="K569" s="11" t="s">
        <v>84</v>
      </c>
      <c r="L569" s="12">
        <f t="shared" si="33"/>
        <v>-2.6357615894039732E-2</v>
      </c>
      <c r="O569" s="9">
        <v>42606</v>
      </c>
      <c r="P569" s="10">
        <v>7351</v>
      </c>
      <c r="Q569" s="11" t="s">
        <v>84</v>
      </c>
      <c r="R569" s="12">
        <f t="shared" si="34"/>
        <v>-2.6357615894039732E-2</v>
      </c>
      <c r="S569" s="12">
        <f t="shared" si="35"/>
        <v>2.7002407856409061E-3</v>
      </c>
    </row>
    <row r="570" spans="3:19">
      <c r="C570" s="9">
        <v>43392</v>
      </c>
      <c r="D570" s="10">
        <v>38430.269999999997</v>
      </c>
      <c r="E570" s="11" t="s">
        <v>79</v>
      </c>
      <c r="F570" s="12">
        <f t="shared" si="32"/>
        <v>1.1795509744683352E-2</v>
      </c>
      <c r="I570" s="9">
        <v>42605</v>
      </c>
      <c r="J570" s="10">
        <v>7400</v>
      </c>
      <c r="K570" s="11" t="s">
        <v>84</v>
      </c>
      <c r="L570" s="12">
        <f t="shared" si="33"/>
        <v>6.6657597605768171E-3</v>
      </c>
      <c r="O570" s="9">
        <v>42605</v>
      </c>
      <c r="P570" s="10">
        <v>7400</v>
      </c>
      <c r="Q570" s="11" t="s">
        <v>84</v>
      </c>
      <c r="R570" s="12">
        <f t="shared" si="34"/>
        <v>6.6657597605768171E-3</v>
      </c>
      <c r="S570" s="12">
        <f t="shared" si="35"/>
        <v>-1.4638368186891126E-3</v>
      </c>
    </row>
    <row r="571" spans="3:19">
      <c r="C571" s="9">
        <v>43395</v>
      </c>
      <c r="D571" s="10">
        <v>38345.42</v>
      </c>
      <c r="E571" s="11" t="s">
        <v>79</v>
      </c>
      <c r="F571" s="12">
        <f t="shared" si="32"/>
        <v>-2.2078949744562815E-3</v>
      </c>
      <c r="I571" s="9">
        <v>42604</v>
      </c>
      <c r="J571" s="10">
        <v>7400</v>
      </c>
      <c r="K571" s="11" t="s">
        <v>84</v>
      </c>
      <c r="L571" s="12">
        <f t="shared" si="33"/>
        <v>0</v>
      </c>
      <c r="O571" s="9">
        <v>42604</v>
      </c>
      <c r="P571" s="10">
        <v>7400</v>
      </c>
      <c r="Q571" s="11" t="s">
        <v>84</v>
      </c>
      <c r="R571" s="12">
        <f t="shared" si="34"/>
        <v>0</v>
      </c>
      <c r="S571" s="12">
        <f t="shared" si="35"/>
        <v>-1.0412900756170407E-3</v>
      </c>
    </row>
    <row r="572" spans="3:19">
      <c r="C572" s="9">
        <v>43396</v>
      </c>
      <c r="D572" s="10">
        <v>37714.9</v>
      </c>
      <c r="E572" s="11" t="s">
        <v>79</v>
      </c>
      <c r="F572" s="12">
        <f t="shared" si="32"/>
        <v>-1.6443163225229984E-2</v>
      </c>
      <c r="I572" s="9">
        <v>42598</v>
      </c>
      <c r="J572" s="10">
        <v>7505</v>
      </c>
      <c r="K572" s="11" t="s">
        <v>84</v>
      </c>
      <c r="L572" s="12">
        <f t="shared" si="33"/>
        <v>1.4189189189189211E-2</v>
      </c>
      <c r="O572" s="9">
        <v>42598</v>
      </c>
      <c r="P572" s="10">
        <v>7505</v>
      </c>
      <c r="Q572" s="11" t="s">
        <v>84</v>
      </c>
      <c r="R572" s="12">
        <f t="shared" si="34"/>
        <v>1.4189189189189211E-2</v>
      </c>
      <c r="S572" s="12">
        <f t="shared" si="35"/>
        <v>4.9087546202253307E-4</v>
      </c>
    </row>
    <row r="573" spans="3:19">
      <c r="C573" s="9">
        <v>43397</v>
      </c>
      <c r="D573" s="10">
        <v>39271.120000000003</v>
      </c>
      <c r="E573" s="11" t="s">
        <v>79</v>
      </c>
      <c r="F573" s="12">
        <f t="shared" si="32"/>
        <v>4.1262737008450179E-2</v>
      </c>
      <c r="I573" s="9">
        <v>42597</v>
      </c>
      <c r="J573" s="10">
        <v>7450</v>
      </c>
      <c r="K573" s="11" t="s">
        <v>84</v>
      </c>
      <c r="L573" s="12">
        <f t="shared" si="33"/>
        <v>-7.3284477015322924E-3</v>
      </c>
      <c r="O573" s="9">
        <v>42597</v>
      </c>
      <c r="P573" s="10">
        <v>7450</v>
      </c>
      <c r="Q573" s="11" t="s">
        <v>84</v>
      </c>
      <c r="R573" s="12">
        <f t="shared" si="34"/>
        <v>-7.3284477015322924E-3</v>
      </c>
      <c r="S573" s="12">
        <f t="shared" si="35"/>
        <v>3.079109664214652E-3</v>
      </c>
    </row>
    <row r="574" spans="3:19">
      <c r="C574" s="9">
        <v>43398</v>
      </c>
      <c r="D574" s="10">
        <v>39631.910000000003</v>
      </c>
      <c r="E574" s="11" t="s">
        <v>79</v>
      </c>
      <c r="F574" s="12">
        <f t="shared" si="32"/>
        <v>9.1871584003715423E-3</v>
      </c>
      <c r="I574" s="9">
        <v>42594</v>
      </c>
      <c r="J574" s="10">
        <v>7450</v>
      </c>
      <c r="K574" s="11" t="s">
        <v>84</v>
      </c>
      <c r="L574" s="12">
        <f t="shared" si="33"/>
        <v>0</v>
      </c>
      <c r="O574" s="9">
        <v>42594</v>
      </c>
      <c r="P574" s="10">
        <v>7450</v>
      </c>
      <c r="Q574" s="11" t="s">
        <v>84</v>
      </c>
      <c r="R574" s="12">
        <f t="shared" si="34"/>
        <v>0</v>
      </c>
      <c r="S574" s="12">
        <f t="shared" si="35"/>
        <v>1.1549962871535424E-3</v>
      </c>
    </row>
    <row r="575" spans="3:19">
      <c r="C575" s="9">
        <v>43399</v>
      </c>
      <c r="D575" s="10">
        <v>40556.449999999997</v>
      </c>
      <c r="E575" s="11" t="s">
        <v>79</v>
      </c>
      <c r="F575" s="12">
        <f t="shared" si="32"/>
        <v>2.3328171667729158E-2</v>
      </c>
      <c r="I575" s="9">
        <v>42593</v>
      </c>
      <c r="J575" s="10">
        <v>7400</v>
      </c>
      <c r="K575" s="11" t="s">
        <v>84</v>
      </c>
      <c r="L575" s="12">
        <f t="shared" si="33"/>
        <v>-6.7114093959731447E-3</v>
      </c>
      <c r="O575" s="9">
        <v>42593</v>
      </c>
      <c r="P575" s="10">
        <v>7400</v>
      </c>
      <c r="Q575" s="11" t="s">
        <v>84</v>
      </c>
      <c r="R575" s="12">
        <f t="shared" si="34"/>
        <v>-6.7114093959731447E-3</v>
      </c>
      <c r="S575" s="12">
        <f t="shared" si="35"/>
        <v>1.3997931963820598E-3</v>
      </c>
    </row>
    <row r="576" spans="3:19">
      <c r="C576" s="9">
        <v>43402</v>
      </c>
      <c r="D576" s="10">
        <v>41453.760000000002</v>
      </c>
      <c r="E576" s="11" t="s">
        <v>79</v>
      </c>
      <c r="F576" s="12">
        <f t="shared" si="32"/>
        <v>2.2124964093257704E-2</v>
      </c>
      <c r="I576" s="9">
        <v>42592</v>
      </c>
      <c r="J576" s="10">
        <v>7420</v>
      </c>
      <c r="K576" s="11" t="s">
        <v>84</v>
      </c>
      <c r="L576" s="12">
        <f t="shared" si="33"/>
        <v>2.7027027027026751E-3</v>
      </c>
      <c r="O576" s="9">
        <v>42592</v>
      </c>
      <c r="P576" s="10">
        <v>7420</v>
      </c>
      <c r="Q576" s="11" t="s">
        <v>84</v>
      </c>
      <c r="R576" s="12">
        <f t="shared" si="34"/>
        <v>2.7027027027026751E-3</v>
      </c>
      <c r="S576" s="12">
        <f t="shared" si="35"/>
        <v>3.5843848192718131E-3</v>
      </c>
    </row>
    <row r="577" spans="3:19">
      <c r="C577" s="9">
        <v>43403</v>
      </c>
      <c r="D577" s="10">
        <v>41609.03</v>
      </c>
      <c r="E577" s="11" t="s">
        <v>79</v>
      </c>
      <c r="F577" s="12">
        <f t="shared" si="32"/>
        <v>3.7456192152411916E-3</v>
      </c>
      <c r="I577" s="9">
        <v>42591</v>
      </c>
      <c r="J577" s="10">
        <v>7500</v>
      </c>
      <c r="K577" s="11" t="s">
        <v>84</v>
      </c>
      <c r="L577" s="12">
        <f t="shared" si="33"/>
        <v>1.0781671159029615E-2</v>
      </c>
      <c r="O577" s="9">
        <v>42591</v>
      </c>
      <c r="P577" s="10">
        <v>7500</v>
      </c>
      <c r="Q577" s="11" t="s">
        <v>84</v>
      </c>
      <c r="R577" s="12">
        <f t="shared" si="34"/>
        <v>1.0781671159029615E-2</v>
      </c>
      <c r="S577" s="12">
        <f t="shared" si="35"/>
        <v>4.7507141650267037E-3</v>
      </c>
    </row>
    <row r="578" spans="3:19">
      <c r="C578" s="9">
        <v>43404</v>
      </c>
      <c r="D578" s="10">
        <v>41649.360000000001</v>
      </c>
      <c r="E578" s="11" t="s">
        <v>79</v>
      </c>
      <c r="F578" s="12">
        <f t="shared" si="32"/>
        <v>9.6926075902281639E-4</v>
      </c>
      <c r="I578" s="9">
        <v>42587</v>
      </c>
      <c r="J578" s="10">
        <v>7500</v>
      </c>
      <c r="K578" s="11" t="s">
        <v>84</v>
      </c>
      <c r="L578" s="12">
        <f t="shared" si="33"/>
        <v>0</v>
      </c>
      <c r="O578" s="9">
        <v>42587</v>
      </c>
      <c r="P578" s="10">
        <v>7500</v>
      </c>
      <c r="Q578" s="11" t="s">
        <v>84</v>
      </c>
      <c r="R578" s="12">
        <f t="shared" si="34"/>
        <v>0</v>
      </c>
      <c r="S578" s="12">
        <f t="shared" si="35"/>
        <v>-1.4320589555019136E-3</v>
      </c>
    </row>
    <row r="579" spans="3:19">
      <c r="C579" s="9">
        <v>43405</v>
      </c>
      <c r="D579" s="10">
        <v>41716.1</v>
      </c>
      <c r="E579" s="11" t="s">
        <v>79</v>
      </c>
      <c r="F579" s="12">
        <f t="shared" si="32"/>
        <v>1.60242558349033E-3</v>
      </c>
      <c r="I579" s="9">
        <v>42586</v>
      </c>
      <c r="J579" s="10">
        <v>7400</v>
      </c>
      <c r="K579" s="11" t="s">
        <v>84</v>
      </c>
      <c r="L579" s="12">
        <f t="shared" si="33"/>
        <v>-1.3333333333333308E-2</v>
      </c>
      <c r="O579" s="9">
        <v>42586</v>
      </c>
      <c r="P579" s="10">
        <v>7400</v>
      </c>
      <c r="Q579" s="11" t="s">
        <v>84</v>
      </c>
      <c r="R579" s="12">
        <f t="shared" si="34"/>
        <v>-1.3333333333333308E-2</v>
      </c>
      <c r="S579" s="12">
        <f t="shared" si="35"/>
        <v>-4.2674935429739547E-3</v>
      </c>
    </row>
    <row r="580" spans="3:19">
      <c r="C580" s="9">
        <v>43406</v>
      </c>
      <c r="D580" s="10">
        <v>42004.09</v>
      </c>
      <c r="E580" s="11" t="s">
        <v>79</v>
      </c>
      <c r="F580" s="12">
        <f t="shared" si="32"/>
        <v>6.9035696050205875E-3</v>
      </c>
      <c r="I580" s="9">
        <v>42585</v>
      </c>
      <c r="J580" s="10">
        <v>7480</v>
      </c>
      <c r="K580" s="11" t="s">
        <v>84</v>
      </c>
      <c r="L580" s="12">
        <f t="shared" si="33"/>
        <v>1.08108108108107E-2</v>
      </c>
      <c r="O580" s="9">
        <v>42585</v>
      </c>
      <c r="P580" s="10">
        <v>7480</v>
      </c>
      <c r="Q580" s="11" t="s">
        <v>84</v>
      </c>
      <c r="R580" s="12">
        <f t="shared" si="34"/>
        <v>1.08108108108107E-2</v>
      </c>
      <c r="S580" s="12">
        <f t="shared" si="35"/>
        <v>-4.3021665657541064E-3</v>
      </c>
    </row>
    <row r="581" spans="3:19">
      <c r="C581" s="9">
        <v>43409</v>
      </c>
      <c r="D581" s="10">
        <v>41493.96</v>
      </c>
      <c r="E581" s="11" t="s">
        <v>79</v>
      </c>
      <c r="F581" s="12">
        <f t="shared" si="32"/>
        <v>-1.2144769711711301E-2</v>
      </c>
      <c r="I581" s="9">
        <v>42584</v>
      </c>
      <c r="J581" s="10">
        <v>7431.3</v>
      </c>
      <c r="K581" s="11" t="s">
        <v>84</v>
      </c>
      <c r="L581" s="12">
        <f t="shared" si="33"/>
        <v>-6.5106951871657381E-3</v>
      </c>
      <c r="O581" s="9">
        <v>42584</v>
      </c>
      <c r="P581" s="10">
        <v>7431.3</v>
      </c>
      <c r="Q581" s="11" t="s">
        <v>84</v>
      </c>
      <c r="R581" s="12">
        <f t="shared" si="34"/>
        <v>-6.5106951871657381E-3</v>
      </c>
      <c r="S581" s="12">
        <f t="shared" si="35"/>
        <v>-3.444668226439962E-4</v>
      </c>
    </row>
    <row r="582" spans="3:19">
      <c r="C582" s="9">
        <v>43410</v>
      </c>
      <c r="D582" s="10">
        <v>40958.53</v>
      </c>
      <c r="E582" s="11" t="s">
        <v>79</v>
      </c>
      <c r="F582" s="12">
        <f t="shared" si="32"/>
        <v>-1.2903805758717635E-2</v>
      </c>
      <c r="I582" s="9">
        <v>42580</v>
      </c>
      <c r="J582" s="10">
        <v>7500</v>
      </c>
      <c r="K582" s="11" t="s">
        <v>84</v>
      </c>
      <c r="L582" s="12">
        <f t="shared" si="33"/>
        <v>9.2446812805295764E-3</v>
      </c>
      <c r="O582" s="9">
        <v>42580</v>
      </c>
      <c r="P582" s="10">
        <v>7500</v>
      </c>
      <c r="Q582" s="11" t="s">
        <v>84</v>
      </c>
      <c r="R582" s="12">
        <f t="shared" si="34"/>
        <v>9.2446812805295764E-3</v>
      </c>
      <c r="S582" s="12">
        <f t="shared" si="35"/>
        <v>9.1970960485920905E-4</v>
      </c>
    </row>
    <row r="583" spans="3:19">
      <c r="C583" s="9">
        <v>43411</v>
      </c>
      <c r="D583" s="10">
        <v>41543.980000000003</v>
      </c>
      <c r="E583" s="11" t="s">
        <v>79</v>
      </c>
      <c r="F583" s="12">
        <f t="shared" ref="F583:F646" si="36">D583/D582-1</f>
        <v>1.4293725873462781E-2</v>
      </c>
      <c r="I583" s="9">
        <v>42579</v>
      </c>
      <c r="J583" s="10">
        <v>7509.8</v>
      </c>
      <c r="K583" s="11" t="s">
        <v>84</v>
      </c>
      <c r="L583" s="12">
        <f t="shared" ref="L583:L590" si="37">J583/J582-1</f>
        <v>1.3066666666667892E-3</v>
      </c>
      <c r="O583" s="9">
        <v>42579</v>
      </c>
      <c r="P583" s="10">
        <v>7509.8</v>
      </c>
      <c r="Q583" s="11" t="s">
        <v>84</v>
      </c>
      <c r="R583" s="12">
        <f t="shared" ref="R583:R590" si="38">P583/P582-1</f>
        <v>1.3066666666667892E-3</v>
      </c>
      <c r="S583" s="12">
        <f t="shared" ref="S583:S590" si="39">VLOOKUP(O583,$C$5:$F$989,4,)</f>
        <v>8.6243250597117793E-4</v>
      </c>
    </row>
    <row r="584" spans="3:19">
      <c r="C584" s="9">
        <v>43412</v>
      </c>
      <c r="D584" s="10">
        <v>41367.379999999997</v>
      </c>
      <c r="E584" s="11" t="s">
        <v>79</v>
      </c>
      <c r="F584" s="12">
        <f t="shared" si="36"/>
        <v>-4.2509167393207647E-3</v>
      </c>
      <c r="I584" s="9">
        <v>42578</v>
      </c>
      <c r="J584" s="10">
        <v>7420</v>
      </c>
      <c r="K584" s="11" t="s">
        <v>84</v>
      </c>
      <c r="L584" s="12">
        <f t="shared" si="37"/>
        <v>-1.1957708594103722E-2</v>
      </c>
      <c r="O584" s="9">
        <v>42578</v>
      </c>
      <c r="P584" s="10">
        <v>7420</v>
      </c>
      <c r="Q584" s="11" t="s">
        <v>84</v>
      </c>
      <c r="R584" s="12">
        <f t="shared" si="38"/>
        <v>-1.1957708594103722E-2</v>
      </c>
      <c r="S584" s="12">
        <f t="shared" si="39"/>
        <v>7.3476275393493662E-3</v>
      </c>
    </row>
    <row r="585" spans="3:19">
      <c r="C585" s="9">
        <v>43413</v>
      </c>
      <c r="D585" s="10">
        <v>41388.879999999997</v>
      </c>
      <c r="E585" s="11" t="s">
        <v>79</v>
      </c>
      <c r="F585" s="12">
        <f t="shared" si="36"/>
        <v>5.1973318107156885E-4</v>
      </c>
      <c r="I585" s="9">
        <v>42572</v>
      </c>
      <c r="J585" s="10">
        <v>7425</v>
      </c>
      <c r="K585" s="11" t="s">
        <v>84</v>
      </c>
      <c r="L585" s="12">
        <f t="shared" si="37"/>
        <v>6.738544474393926E-4</v>
      </c>
      <c r="O585" s="9">
        <v>42572</v>
      </c>
      <c r="P585" s="10">
        <v>7425</v>
      </c>
      <c r="Q585" s="11" t="s">
        <v>84</v>
      </c>
      <c r="R585" s="12">
        <f t="shared" si="38"/>
        <v>6.738544474393926E-4</v>
      </c>
      <c r="S585" s="12">
        <f t="shared" si="39"/>
        <v>5.3198577244972789E-3</v>
      </c>
    </row>
    <row r="586" spans="3:19">
      <c r="C586" s="9">
        <v>43416</v>
      </c>
      <c r="D586" s="10">
        <v>41096.33</v>
      </c>
      <c r="E586" s="11" t="s">
        <v>79</v>
      </c>
      <c r="F586" s="12">
        <f t="shared" si="36"/>
        <v>-7.0683236656801096E-3</v>
      </c>
      <c r="I586" s="9">
        <v>42571</v>
      </c>
      <c r="J586" s="10">
        <v>7525</v>
      </c>
      <c r="K586" s="11" t="s">
        <v>84</v>
      </c>
      <c r="L586" s="12">
        <f t="shared" si="37"/>
        <v>1.3468013468013407E-2</v>
      </c>
      <c r="O586" s="9">
        <v>42571</v>
      </c>
      <c r="P586" s="10">
        <v>7525</v>
      </c>
      <c r="Q586" s="11" t="s">
        <v>84</v>
      </c>
      <c r="R586" s="12">
        <f t="shared" si="38"/>
        <v>1.3468013468013407E-2</v>
      </c>
      <c r="S586" s="12">
        <f t="shared" si="39"/>
        <v>-2.8077823186991591E-3</v>
      </c>
    </row>
    <row r="587" spans="3:19">
      <c r="C587" s="9">
        <v>43417</v>
      </c>
      <c r="D587" s="10">
        <v>41152.28</v>
      </c>
      <c r="E587" s="11" t="s">
        <v>79</v>
      </c>
      <c r="F587" s="12">
        <f t="shared" si="36"/>
        <v>1.3614354371789261E-3</v>
      </c>
      <c r="I587" s="9">
        <v>42570</v>
      </c>
      <c r="J587" s="10">
        <v>7525</v>
      </c>
      <c r="K587" s="11" t="s">
        <v>84</v>
      </c>
      <c r="L587" s="12">
        <f t="shared" si="37"/>
        <v>0</v>
      </c>
      <c r="O587" s="9">
        <v>42570</v>
      </c>
      <c r="P587" s="10">
        <v>7525</v>
      </c>
      <c r="Q587" s="11" t="s">
        <v>84</v>
      </c>
      <c r="R587" s="12">
        <f t="shared" si="38"/>
        <v>0</v>
      </c>
      <c r="S587" s="12">
        <f t="shared" si="39"/>
        <v>-1.1303522638254071E-3</v>
      </c>
    </row>
    <row r="588" spans="3:19">
      <c r="C588" s="9">
        <v>43418</v>
      </c>
      <c r="D588" s="10">
        <v>40994.050000000003</v>
      </c>
      <c r="E588" s="11" t="s">
        <v>79</v>
      </c>
      <c r="F588" s="12">
        <f t="shared" si="36"/>
        <v>-3.8449874466249812E-3</v>
      </c>
      <c r="I588" s="9">
        <v>42569</v>
      </c>
      <c r="J588" s="10">
        <v>7824.5</v>
      </c>
      <c r="K588" s="11" t="s">
        <v>84</v>
      </c>
      <c r="L588" s="12">
        <f t="shared" si="37"/>
        <v>3.9800664451827172E-2</v>
      </c>
      <c r="O588" s="9">
        <v>42569</v>
      </c>
      <c r="P588" s="10">
        <v>7824.5</v>
      </c>
      <c r="Q588" s="11" t="s">
        <v>84</v>
      </c>
      <c r="R588" s="12">
        <f t="shared" si="38"/>
        <v>3.9800664451827172E-2</v>
      </c>
      <c r="S588" s="12">
        <f t="shared" si="39"/>
        <v>1.6530372326348797E-3</v>
      </c>
    </row>
    <row r="589" spans="3:19">
      <c r="C589" s="9">
        <v>43419</v>
      </c>
      <c r="D589" s="10">
        <v>41428.629999999997</v>
      </c>
      <c r="E589" s="11" t="s">
        <v>79</v>
      </c>
      <c r="F589" s="12">
        <f t="shared" si="36"/>
        <v>1.0601050640275611E-2</v>
      </c>
      <c r="I589" s="9">
        <v>42564</v>
      </c>
      <c r="J589" s="10">
        <v>7499</v>
      </c>
      <c r="K589" s="11" t="s">
        <v>84</v>
      </c>
      <c r="L589" s="12">
        <f t="shared" si="37"/>
        <v>-4.1600102242954851E-2</v>
      </c>
      <c r="O589" s="9">
        <v>42564</v>
      </c>
      <c r="P589" s="10">
        <v>7499</v>
      </c>
      <c r="Q589" s="11" t="s">
        <v>84</v>
      </c>
      <c r="R589" s="12">
        <f t="shared" si="38"/>
        <v>-4.1600102242954851E-2</v>
      </c>
      <c r="S589" s="12">
        <f t="shared" si="39"/>
        <v>4.5706532293543489E-4</v>
      </c>
    </row>
    <row r="590" spans="3:19">
      <c r="C590" s="9">
        <v>43420</v>
      </c>
      <c r="D590" s="10">
        <v>41660.75</v>
      </c>
      <c r="E590" s="11" t="s">
        <v>79</v>
      </c>
      <c r="F590" s="12">
        <f t="shared" si="36"/>
        <v>5.6028886303989278E-3</v>
      </c>
      <c r="I590" s="9">
        <v>42563</v>
      </c>
      <c r="J590" s="10">
        <v>7550.5</v>
      </c>
      <c r="K590" s="11" t="s">
        <v>84</v>
      </c>
      <c r="L590" s="12">
        <f t="shared" si="37"/>
        <v>6.8675823443125061E-3</v>
      </c>
      <c r="O590" s="9">
        <v>42563</v>
      </c>
      <c r="P590" s="10">
        <v>7550.5</v>
      </c>
      <c r="Q590" s="11" t="s">
        <v>84</v>
      </c>
      <c r="R590" s="12">
        <f t="shared" si="38"/>
        <v>6.8675823443125061E-3</v>
      </c>
      <c r="S590" s="12">
        <f t="shared" si="39"/>
        <v>1.72972448887041E-2</v>
      </c>
    </row>
    <row r="591" spans="3:19">
      <c r="C591" s="9">
        <v>43423</v>
      </c>
      <c r="D591" s="10">
        <v>41352.769999999997</v>
      </c>
      <c r="E591" s="11" t="s">
        <v>79</v>
      </c>
      <c r="F591" s="12">
        <f t="shared" si="36"/>
        <v>-7.3925697449038763E-3</v>
      </c>
      <c r="I591" s="9"/>
      <c r="K591" s="11"/>
      <c r="L591" s="12"/>
      <c r="O591" s="9"/>
      <c r="Q591" s="11"/>
      <c r="R591" s="12"/>
      <c r="S591" s="12"/>
    </row>
    <row r="592" spans="3:19">
      <c r="C592" s="9">
        <v>43424</v>
      </c>
      <c r="D592" s="10">
        <v>41419.24</v>
      </c>
      <c r="E592" s="11" t="s">
        <v>79</v>
      </c>
      <c r="F592" s="12">
        <f t="shared" si="36"/>
        <v>1.6073892994350469E-3</v>
      </c>
      <c r="I592" s="9"/>
      <c r="K592" s="11"/>
      <c r="L592" s="12"/>
      <c r="O592" s="9"/>
      <c r="Q592" s="11"/>
      <c r="R592" s="12"/>
      <c r="S592" s="12"/>
    </row>
    <row r="593" spans="3:19">
      <c r="C593" s="9">
        <v>43426</v>
      </c>
      <c r="D593" s="10">
        <v>40874.03</v>
      </c>
      <c r="E593" s="11" t="s">
        <v>79</v>
      </c>
      <c r="F593" s="12">
        <f t="shared" si="36"/>
        <v>-1.3163206278048567E-2</v>
      </c>
      <c r="I593" s="9"/>
      <c r="K593" s="11"/>
      <c r="L593" s="12"/>
      <c r="O593" s="9"/>
      <c r="Q593" s="11"/>
      <c r="R593" s="12"/>
      <c r="S593" s="12"/>
    </row>
    <row r="594" spans="3:19">
      <c r="C594" s="9">
        <v>43427</v>
      </c>
      <c r="D594" s="10">
        <v>40869.279999999999</v>
      </c>
      <c r="E594" s="11" t="s">
        <v>79</v>
      </c>
      <c r="F594" s="12">
        <f t="shared" si="36"/>
        <v>-1.1621070885348139E-4</v>
      </c>
      <c r="I594" s="9"/>
      <c r="K594" s="11"/>
      <c r="L594" s="12"/>
      <c r="O594" s="9"/>
      <c r="Q594" s="11"/>
      <c r="R594" s="12"/>
      <c r="S594" s="12"/>
    </row>
    <row r="595" spans="3:19">
      <c r="C595" s="9">
        <v>43430</v>
      </c>
      <c r="D595" s="10">
        <v>40771.550000000003</v>
      </c>
      <c r="E595" s="11" t="s">
        <v>79</v>
      </c>
      <c r="F595" s="12">
        <f t="shared" si="36"/>
        <v>-2.3912826455468883E-3</v>
      </c>
      <c r="I595" s="9"/>
      <c r="K595" s="11"/>
      <c r="L595" s="12"/>
      <c r="O595" s="9"/>
      <c r="Q595" s="11"/>
      <c r="R595" s="12"/>
      <c r="S595" s="12"/>
    </row>
    <row r="596" spans="3:19">
      <c r="C596" s="9">
        <v>43431</v>
      </c>
      <c r="D596" s="10">
        <v>40894.22</v>
      </c>
      <c r="E596" s="11" t="s">
        <v>79</v>
      </c>
      <c r="F596" s="12">
        <f t="shared" si="36"/>
        <v>3.008715636270809E-3</v>
      </c>
      <c r="I596" s="9"/>
      <c r="K596" s="11"/>
      <c r="L596" s="12"/>
      <c r="O596" s="9"/>
      <c r="Q596" s="11"/>
      <c r="R596" s="12"/>
      <c r="S596" s="12"/>
    </row>
    <row r="597" spans="3:19">
      <c r="C597" s="9">
        <v>43432</v>
      </c>
      <c r="D597" s="10">
        <v>40704.800000000003</v>
      </c>
      <c r="E597" s="11" t="s">
        <v>79</v>
      </c>
      <c r="F597" s="12">
        <f t="shared" si="36"/>
        <v>-4.6319504321148397E-3</v>
      </c>
      <c r="I597" s="9"/>
      <c r="K597" s="11"/>
      <c r="L597" s="12"/>
      <c r="O597" s="9"/>
      <c r="Q597" s="11"/>
      <c r="R597" s="12"/>
      <c r="S597" s="12"/>
    </row>
    <row r="598" spans="3:19">
      <c r="C598" s="9">
        <v>43433</v>
      </c>
      <c r="D598" s="10">
        <v>40638.83</v>
      </c>
      <c r="E598" s="11" t="s">
        <v>79</v>
      </c>
      <c r="F598" s="12">
        <f t="shared" si="36"/>
        <v>-1.6206933825986258E-3</v>
      </c>
      <c r="I598" s="9"/>
      <c r="K598" s="11"/>
      <c r="L598" s="12"/>
      <c r="O598" s="9"/>
      <c r="Q598" s="11"/>
      <c r="R598" s="12"/>
      <c r="S598" s="12"/>
    </row>
    <row r="599" spans="3:19">
      <c r="C599" s="9">
        <v>43434</v>
      </c>
      <c r="D599" s="10">
        <v>40496.03</v>
      </c>
      <c r="E599" s="11" t="s">
        <v>79</v>
      </c>
      <c r="F599" s="12">
        <f t="shared" si="36"/>
        <v>-3.5138806899707165E-3</v>
      </c>
      <c r="I599" s="9"/>
      <c r="K599" s="11"/>
      <c r="L599" s="12"/>
      <c r="O599" s="9"/>
      <c r="Q599" s="11"/>
      <c r="R599" s="12"/>
      <c r="S599" s="12"/>
    </row>
    <row r="600" spans="3:19">
      <c r="C600" s="9">
        <v>43437</v>
      </c>
      <c r="D600" s="10">
        <v>39160.6</v>
      </c>
      <c r="E600" s="11" t="s">
        <v>79</v>
      </c>
      <c r="F600" s="12">
        <f t="shared" si="36"/>
        <v>-3.2976812788809151E-2</v>
      </c>
      <c r="I600" s="9"/>
      <c r="K600" s="11"/>
      <c r="L600" s="12"/>
      <c r="O600" s="9"/>
      <c r="Q600" s="11"/>
      <c r="R600" s="12"/>
      <c r="S600" s="12"/>
    </row>
    <row r="601" spans="3:19">
      <c r="C601" s="9">
        <v>43438</v>
      </c>
      <c r="D601" s="10">
        <v>39602.870000000003</v>
      </c>
      <c r="E601" s="11" t="s">
        <v>79</v>
      </c>
      <c r="F601" s="12">
        <f t="shared" si="36"/>
        <v>1.1293749329683411E-2</v>
      </c>
      <c r="I601" s="9"/>
      <c r="K601" s="11"/>
      <c r="L601" s="12"/>
      <c r="O601" s="9"/>
      <c r="Q601" s="11"/>
      <c r="R601" s="12"/>
      <c r="S601" s="12"/>
    </row>
    <row r="602" spans="3:19">
      <c r="C602" s="9">
        <v>43439</v>
      </c>
      <c r="D602" s="10">
        <v>39303.11</v>
      </c>
      <c r="E602" s="11" t="s">
        <v>79</v>
      </c>
      <c r="F602" s="12">
        <f t="shared" si="36"/>
        <v>-7.5691483975782736E-3</v>
      </c>
      <c r="I602" s="9"/>
      <c r="K602" s="11"/>
      <c r="L602" s="12"/>
      <c r="O602" s="9"/>
      <c r="Q602" s="11"/>
      <c r="R602" s="12"/>
      <c r="S602" s="12"/>
    </row>
    <row r="603" spans="3:19">
      <c r="C603" s="9">
        <v>43440</v>
      </c>
      <c r="D603" s="10">
        <v>38300.620000000003</v>
      </c>
      <c r="E603" s="11" t="s">
        <v>79</v>
      </c>
      <c r="F603" s="12">
        <f t="shared" si="36"/>
        <v>-2.5506632935663354E-2</v>
      </c>
      <c r="I603" s="9"/>
      <c r="K603" s="11"/>
      <c r="L603" s="12"/>
      <c r="O603" s="9"/>
      <c r="Q603" s="11"/>
      <c r="R603" s="12"/>
      <c r="S603" s="12"/>
    </row>
    <row r="604" spans="3:19">
      <c r="C604" s="9">
        <v>43441</v>
      </c>
      <c r="D604" s="10">
        <v>38562.050000000003</v>
      </c>
      <c r="E604" s="11" t="s">
        <v>79</v>
      </c>
      <c r="F604" s="12">
        <f t="shared" si="36"/>
        <v>6.8257380689920044E-3</v>
      </c>
      <c r="I604" s="9"/>
      <c r="K604" s="11"/>
      <c r="L604" s="12"/>
      <c r="O604" s="9"/>
      <c r="Q604" s="11"/>
      <c r="R604" s="12"/>
      <c r="S604" s="12"/>
    </row>
    <row r="605" spans="3:19">
      <c r="C605" s="9">
        <v>43444</v>
      </c>
      <c r="D605" s="10">
        <v>39299.620000000003</v>
      </c>
      <c r="E605" s="11" t="s">
        <v>79</v>
      </c>
      <c r="F605" s="12">
        <f t="shared" si="36"/>
        <v>1.9126835839899492E-2</v>
      </c>
      <c r="I605" s="9"/>
      <c r="K605" s="11"/>
      <c r="L605" s="12"/>
      <c r="O605" s="9"/>
      <c r="Q605" s="11"/>
      <c r="R605" s="12"/>
      <c r="S605" s="12"/>
    </row>
    <row r="606" spans="3:19">
      <c r="C606" s="9">
        <v>43445</v>
      </c>
      <c r="D606" s="10">
        <v>38851.96</v>
      </c>
      <c r="E606" s="11" t="s">
        <v>79</v>
      </c>
      <c r="F606" s="12">
        <f t="shared" si="36"/>
        <v>-1.1390949836156294E-2</v>
      </c>
      <c r="I606" s="9"/>
      <c r="K606" s="11"/>
      <c r="L606" s="12"/>
      <c r="O606" s="9"/>
      <c r="Q606" s="11"/>
      <c r="R606" s="12"/>
      <c r="S606" s="12"/>
    </row>
    <row r="607" spans="3:19">
      <c r="C607" s="9">
        <v>43446</v>
      </c>
      <c r="D607" s="10">
        <v>38307.440000000002</v>
      </c>
      <c r="E607" s="11" t="s">
        <v>79</v>
      </c>
      <c r="F607" s="12">
        <f t="shared" si="36"/>
        <v>-1.4015251740195245E-2</v>
      </c>
      <c r="I607" s="9"/>
      <c r="K607" s="11"/>
      <c r="L607" s="12"/>
      <c r="O607" s="9"/>
      <c r="Q607" s="11"/>
      <c r="R607" s="12"/>
      <c r="S607" s="12"/>
    </row>
    <row r="608" spans="3:19">
      <c r="C608" s="9">
        <v>43447</v>
      </c>
      <c r="D608" s="10">
        <v>38011.629999999997</v>
      </c>
      <c r="E608" s="11" t="s">
        <v>79</v>
      </c>
      <c r="F608" s="12">
        <f t="shared" si="36"/>
        <v>-7.7219986509149408E-3</v>
      </c>
      <c r="I608" s="9"/>
      <c r="K608" s="11"/>
      <c r="L608" s="12"/>
      <c r="O608" s="9"/>
      <c r="Q608" s="11"/>
      <c r="R608" s="12"/>
      <c r="S608" s="12"/>
    </row>
    <row r="609" spans="3:19">
      <c r="C609" s="9">
        <v>43448</v>
      </c>
      <c r="D609" s="10">
        <v>38585.660000000003</v>
      </c>
      <c r="E609" s="11" t="s">
        <v>79</v>
      </c>
      <c r="F609" s="12">
        <f t="shared" si="36"/>
        <v>1.510143079894255E-2</v>
      </c>
      <c r="I609" s="9"/>
      <c r="K609" s="11"/>
      <c r="L609" s="12"/>
      <c r="O609" s="9"/>
      <c r="Q609" s="11"/>
      <c r="R609" s="12"/>
      <c r="S609" s="12"/>
    </row>
    <row r="610" spans="3:19">
      <c r="C610" s="9">
        <v>43451</v>
      </c>
      <c r="D610" s="10">
        <v>38309.17</v>
      </c>
      <c r="E610" s="11" t="s">
        <v>79</v>
      </c>
      <c r="F610" s="12">
        <f t="shared" si="36"/>
        <v>-7.1656154125653293E-3</v>
      </c>
      <c r="I610" s="9"/>
      <c r="K610" s="11"/>
      <c r="L610" s="12"/>
      <c r="O610" s="9"/>
      <c r="Q610" s="11"/>
      <c r="R610" s="12"/>
      <c r="S610" s="12"/>
    </row>
    <row r="611" spans="3:19">
      <c r="C611" s="9">
        <v>43452</v>
      </c>
      <c r="D611" s="10">
        <v>38115.81</v>
      </c>
      <c r="E611" s="11" t="s">
        <v>79</v>
      </c>
      <c r="F611" s="12">
        <f t="shared" si="36"/>
        <v>-5.0473555026120387E-3</v>
      </c>
      <c r="I611" s="9"/>
      <c r="K611" s="11"/>
      <c r="L611" s="12"/>
      <c r="O611" s="9"/>
      <c r="Q611" s="11"/>
      <c r="R611" s="12"/>
      <c r="S611" s="12"/>
    </row>
    <row r="612" spans="3:19">
      <c r="C612" s="9">
        <v>43453</v>
      </c>
      <c r="D612" s="10">
        <v>38063.15</v>
      </c>
      <c r="E612" s="11" t="s">
        <v>79</v>
      </c>
      <c r="F612" s="12">
        <f t="shared" si="36"/>
        <v>-1.3815789301079295E-3</v>
      </c>
      <c r="I612" s="9"/>
      <c r="K612" s="11"/>
      <c r="L612" s="12"/>
      <c r="O612" s="9"/>
      <c r="Q612" s="11"/>
      <c r="R612" s="12"/>
      <c r="S612" s="12"/>
    </row>
    <row r="613" spans="3:19">
      <c r="C613" s="9">
        <v>43454</v>
      </c>
      <c r="D613" s="10">
        <v>38236.519999999997</v>
      </c>
      <c r="E613" s="11" t="s">
        <v>79</v>
      </c>
      <c r="F613" s="12">
        <f t="shared" si="36"/>
        <v>4.5547990641865432E-3</v>
      </c>
      <c r="I613" s="9"/>
      <c r="K613" s="11"/>
      <c r="L613" s="12"/>
      <c r="O613" s="9"/>
      <c r="Q613" s="11"/>
      <c r="R613" s="12"/>
      <c r="S613" s="12"/>
    </row>
    <row r="614" spans="3:19">
      <c r="C614" s="9">
        <v>43455</v>
      </c>
      <c r="D614" s="10">
        <v>38251.040000000001</v>
      </c>
      <c r="E614" s="11" t="s">
        <v>79</v>
      </c>
      <c r="F614" s="12">
        <f t="shared" si="36"/>
        <v>3.7974167105181422E-4</v>
      </c>
      <c r="I614" s="9"/>
      <c r="K614" s="11"/>
      <c r="L614" s="12"/>
      <c r="O614" s="9"/>
      <c r="Q614" s="11"/>
      <c r="R614" s="12"/>
      <c r="S614" s="12"/>
    </row>
    <row r="615" spans="3:19">
      <c r="C615" s="9">
        <v>43458</v>
      </c>
      <c r="D615" s="10">
        <v>38308.92</v>
      </c>
      <c r="E615" s="11" t="s">
        <v>79</v>
      </c>
      <c r="F615" s="12">
        <f t="shared" si="36"/>
        <v>1.5131614722108111E-3</v>
      </c>
      <c r="I615" s="9"/>
      <c r="K615" s="11"/>
      <c r="L615" s="12"/>
      <c r="O615" s="9"/>
      <c r="Q615" s="11"/>
      <c r="R615" s="12"/>
      <c r="S615" s="12"/>
    </row>
    <row r="616" spans="3:19">
      <c r="C616" s="9">
        <v>43460</v>
      </c>
      <c r="D616" s="10">
        <v>38218.07</v>
      </c>
      <c r="E616" s="11" t="s">
        <v>79</v>
      </c>
      <c r="F616" s="12">
        <f t="shared" si="36"/>
        <v>-2.3715103427608408E-3</v>
      </c>
      <c r="I616" s="9"/>
      <c r="K616" s="11"/>
      <c r="L616" s="12"/>
      <c r="O616" s="9"/>
      <c r="Q616" s="11"/>
      <c r="R616" s="12"/>
      <c r="S616" s="12"/>
    </row>
    <row r="617" spans="3:19">
      <c r="C617" s="9">
        <v>43461</v>
      </c>
      <c r="D617" s="10">
        <v>37853.57</v>
      </c>
      <c r="E617" s="11" t="s">
        <v>79</v>
      </c>
      <c r="F617" s="12">
        <f t="shared" si="36"/>
        <v>-9.5373732896506525E-3</v>
      </c>
      <c r="I617" s="9"/>
      <c r="K617" s="11"/>
      <c r="L617" s="12"/>
      <c r="O617" s="9"/>
      <c r="Q617" s="11"/>
      <c r="R617" s="12"/>
      <c r="S617" s="12"/>
    </row>
    <row r="618" spans="3:19">
      <c r="C618" s="9">
        <v>43462</v>
      </c>
      <c r="D618" s="10">
        <v>37167.019999999997</v>
      </c>
      <c r="E618" s="11" t="s">
        <v>79</v>
      </c>
      <c r="F618" s="12">
        <f t="shared" si="36"/>
        <v>-1.813699474052255E-2</v>
      </c>
      <c r="I618" s="9"/>
      <c r="K618" s="11"/>
      <c r="L618" s="12"/>
      <c r="O618" s="9"/>
      <c r="Q618" s="11"/>
      <c r="R618" s="12"/>
      <c r="S618" s="12"/>
    </row>
    <row r="619" spans="3:19">
      <c r="C619" s="9">
        <v>43465</v>
      </c>
      <c r="D619" s="10">
        <v>37066.67</v>
      </c>
      <c r="E619" s="11" t="s">
        <v>79</v>
      </c>
      <c r="F619" s="12">
        <f t="shared" si="36"/>
        <v>-2.6999743320825775E-3</v>
      </c>
      <c r="I619" s="9"/>
      <c r="K619" s="11"/>
      <c r="L619" s="12"/>
      <c r="O619" s="9"/>
      <c r="Q619" s="11"/>
      <c r="R619" s="12"/>
      <c r="S619" s="12"/>
    </row>
    <row r="620" spans="3:19">
      <c r="C620" s="9">
        <v>43466</v>
      </c>
      <c r="D620" s="10">
        <v>37995.760000000002</v>
      </c>
      <c r="E620" s="11" t="s">
        <v>79</v>
      </c>
      <c r="F620" s="12">
        <f t="shared" si="36"/>
        <v>2.5065375443761306E-2</v>
      </c>
      <c r="I620" s="9"/>
      <c r="K620" s="11"/>
      <c r="L620" s="12"/>
      <c r="O620" s="9"/>
      <c r="Q620" s="11"/>
      <c r="R620" s="12"/>
      <c r="S620" s="12"/>
    </row>
    <row r="621" spans="3:19">
      <c r="C621" s="9">
        <v>43467</v>
      </c>
      <c r="D621" s="10">
        <v>37795.25</v>
      </c>
      <c r="E621" s="11" t="s">
        <v>79</v>
      </c>
      <c r="F621" s="12">
        <f t="shared" si="36"/>
        <v>-5.2771677681930917E-3</v>
      </c>
      <c r="I621" s="9"/>
      <c r="K621" s="11"/>
      <c r="L621" s="12"/>
      <c r="O621" s="9"/>
      <c r="Q621" s="11"/>
      <c r="R621" s="12"/>
      <c r="S621" s="12"/>
    </row>
    <row r="622" spans="3:19">
      <c r="C622" s="9">
        <v>43468</v>
      </c>
      <c r="D622" s="10">
        <v>37542.01</v>
      </c>
      <c r="E622" s="11" t="s">
        <v>79</v>
      </c>
      <c r="F622" s="12">
        <f t="shared" si="36"/>
        <v>-6.7003128700034997E-3</v>
      </c>
      <c r="I622" s="9"/>
      <c r="K622" s="11"/>
      <c r="L622" s="12"/>
      <c r="O622" s="9"/>
      <c r="Q622" s="11"/>
      <c r="R622" s="12"/>
      <c r="S622" s="12"/>
    </row>
    <row r="623" spans="3:19">
      <c r="C623" s="9">
        <v>43469</v>
      </c>
      <c r="D623" s="10">
        <v>37547.49</v>
      </c>
      <c r="E623" s="11" t="s">
        <v>79</v>
      </c>
      <c r="F623" s="12">
        <f t="shared" si="36"/>
        <v>1.4596980822267902E-4</v>
      </c>
      <c r="I623" s="9"/>
      <c r="K623" s="11"/>
      <c r="L623" s="12"/>
      <c r="O623" s="9"/>
      <c r="Q623" s="11"/>
      <c r="R623" s="12"/>
      <c r="S623" s="12"/>
    </row>
    <row r="624" spans="3:19">
      <c r="C624" s="9">
        <v>43472</v>
      </c>
      <c r="D624" s="10">
        <v>38562.400000000001</v>
      </c>
      <c r="E624" s="11" t="s">
        <v>79</v>
      </c>
      <c r="F624" s="12">
        <f t="shared" si="36"/>
        <v>2.7030035829292531E-2</v>
      </c>
      <c r="I624" s="9"/>
      <c r="K624" s="11"/>
      <c r="L624" s="12"/>
      <c r="O624" s="9"/>
      <c r="Q624" s="11"/>
      <c r="R624" s="12"/>
      <c r="S624" s="12"/>
    </row>
    <row r="625" spans="3:19">
      <c r="C625" s="9">
        <v>43473</v>
      </c>
      <c r="D625" s="10">
        <v>39052.5</v>
      </c>
      <c r="E625" s="11" t="s">
        <v>79</v>
      </c>
      <c r="F625" s="12">
        <f t="shared" si="36"/>
        <v>1.2709271207186346E-2</v>
      </c>
      <c r="I625" s="9"/>
      <c r="K625" s="11"/>
      <c r="L625" s="12"/>
      <c r="O625" s="9"/>
      <c r="Q625" s="11"/>
      <c r="R625" s="12"/>
      <c r="S625" s="12"/>
    </row>
    <row r="626" spans="3:19">
      <c r="C626" s="9">
        <v>43474</v>
      </c>
      <c r="D626" s="10">
        <v>38921.69</v>
      </c>
      <c r="E626" s="11" t="s">
        <v>79</v>
      </c>
      <c r="F626" s="12">
        <f t="shared" si="36"/>
        <v>-3.3495934959348883E-3</v>
      </c>
      <c r="I626" s="9"/>
      <c r="K626" s="11"/>
      <c r="L626" s="12"/>
      <c r="O626" s="9"/>
      <c r="Q626" s="11"/>
      <c r="R626" s="12"/>
      <c r="S626" s="12"/>
    </row>
    <row r="627" spans="3:19">
      <c r="C627" s="9">
        <v>43475</v>
      </c>
      <c r="D627" s="10">
        <v>39090.28</v>
      </c>
      <c r="E627" s="11" t="s">
        <v>79</v>
      </c>
      <c r="F627" s="12">
        <f t="shared" si="36"/>
        <v>4.3315179787926095E-3</v>
      </c>
      <c r="I627" s="9"/>
      <c r="K627" s="11"/>
      <c r="L627" s="12"/>
      <c r="O627" s="9"/>
      <c r="Q627" s="11"/>
      <c r="R627" s="12"/>
      <c r="S627" s="12"/>
    </row>
    <row r="628" spans="3:19">
      <c r="C628" s="9">
        <v>43476</v>
      </c>
      <c r="D628" s="10">
        <v>39049.08</v>
      </c>
      <c r="E628" s="11" t="s">
        <v>79</v>
      </c>
      <c r="F628" s="12">
        <f t="shared" si="36"/>
        <v>-1.0539704499429314E-3</v>
      </c>
      <c r="I628" s="9"/>
      <c r="K628" s="11"/>
      <c r="L628" s="12"/>
      <c r="O628" s="9"/>
      <c r="Q628" s="11"/>
      <c r="R628" s="12"/>
      <c r="S628" s="12"/>
    </row>
    <row r="629" spans="3:19">
      <c r="C629" s="9">
        <v>43479</v>
      </c>
      <c r="D629" s="10">
        <v>39412.550000000003</v>
      </c>
      <c r="E629" s="11" t="s">
        <v>79</v>
      </c>
      <c r="F629" s="12">
        <f t="shared" si="36"/>
        <v>9.3080297922512045E-3</v>
      </c>
      <c r="I629" s="9"/>
      <c r="K629" s="11"/>
      <c r="L629" s="12"/>
      <c r="O629" s="9"/>
      <c r="Q629" s="11"/>
      <c r="R629" s="12"/>
      <c r="S629" s="12"/>
    </row>
    <row r="630" spans="3:19">
      <c r="C630" s="9">
        <v>43480</v>
      </c>
      <c r="D630" s="10">
        <v>39614.17</v>
      </c>
      <c r="E630" s="11" t="s">
        <v>79</v>
      </c>
      <c r="F630" s="12">
        <f t="shared" si="36"/>
        <v>5.1156294124585777E-3</v>
      </c>
      <c r="I630" s="9"/>
      <c r="K630" s="11"/>
      <c r="L630" s="12"/>
      <c r="O630" s="9"/>
      <c r="Q630" s="11"/>
      <c r="R630" s="12"/>
      <c r="S630" s="12"/>
    </row>
    <row r="631" spans="3:19">
      <c r="C631" s="9">
        <v>43481</v>
      </c>
      <c r="D631" s="10">
        <v>39271.94</v>
      </c>
      <c r="E631" s="11" t="s">
        <v>79</v>
      </c>
      <c r="F631" s="12">
        <f t="shared" si="36"/>
        <v>-8.6390804098633867E-3</v>
      </c>
      <c r="I631" s="9"/>
      <c r="K631" s="11"/>
      <c r="L631" s="12"/>
      <c r="O631" s="9"/>
      <c r="Q631" s="11"/>
      <c r="R631" s="12"/>
      <c r="S631" s="12"/>
    </row>
    <row r="632" spans="3:19">
      <c r="C632" s="9">
        <v>43482</v>
      </c>
      <c r="D632" s="10">
        <v>39243.89</v>
      </c>
      <c r="E632" s="11" t="s">
        <v>79</v>
      </c>
      <c r="F632" s="12">
        <f t="shared" si="36"/>
        <v>-7.142504291869356E-4</v>
      </c>
      <c r="I632" s="9"/>
      <c r="K632" s="11"/>
      <c r="L632" s="12"/>
      <c r="O632" s="9"/>
      <c r="Q632" s="11"/>
      <c r="R632" s="12"/>
      <c r="S632" s="12"/>
    </row>
    <row r="633" spans="3:19">
      <c r="C633" s="9">
        <v>43483</v>
      </c>
      <c r="D633" s="10">
        <v>39306.5</v>
      </c>
      <c r="E633" s="11" t="s">
        <v>79</v>
      </c>
      <c r="F633" s="12">
        <f t="shared" si="36"/>
        <v>1.5954075908377607E-3</v>
      </c>
      <c r="I633" s="9"/>
      <c r="K633" s="11"/>
      <c r="L633" s="12"/>
      <c r="O633" s="9"/>
      <c r="Q633" s="11"/>
      <c r="R633" s="12"/>
      <c r="S633" s="12"/>
    </row>
    <row r="634" spans="3:19">
      <c r="C634" s="9">
        <v>43486</v>
      </c>
      <c r="D634" s="10">
        <v>39543.769999999997</v>
      </c>
      <c r="E634" s="11" t="s">
        <v>79</v>
      </c>
      <c r="F634" s="12">
        <f t="shared" si="36"/>
        <v>6.0364061923598999E-3</v>
      </c>
      <c r="I634" s="9"/>
      <c r="K634" s="11"/>
      <c r="L634" s="12"/>
      <c r="O634" s="9"/>
      <c r="Q634" s="11"/>
      <c r="R634" s="12"/>
      <c r="S634" s="12"/>
    </row>
    <row r="635" spans="3:19">
      <c r="C635" s="9">
        <v>43487</v>
      </c>
      <c r="D635" s="10">
        <v>39902.21</v>
      </c>
      <c r="E635" s="11" t="s">
        <v>79</v>
      </c>
      <c r="F635" s="12">
        <f t="shared" si="36"/>
        <v>9.0643861220112143E-3</v>
      </c>
      <c r="I635" s="9"/>
      <c r="K635" s="11"/>
      <c r="L635" s="12"/>
      <c r="O635" s="9"/>
      <c r="Q635" s="11"/>
      <c r="R635" s="12"/>
      <c r="S635" s="12"/>
    </row>
    <row r="636" spans="3:19">
      <c r="C636" s="9">
        <v>43488</v>
      </c>
      <c r="D636" s="10">
        <v>40057.85</v>
      </c>
      <c r="E636" s="11" t="s">
        <v>79</v>
      </c>
      <c r="F636" s="12">
        <f t="shared" si="36"/>
        <v>3.9005358349826214E-3</v>
      </c>
      <c r="I636" s="9"/>
      <c r="K636" s="11"/>
      <c r="L636" s="12"/>
      <c r="O636" s="9"/>
      <c r="Q636" s="11"/>
      <c r="R636" s="12"/>
      <c r="S636" s="12"/>
    </row>
    <row r="637" spans="3:19">
      <c r="C637" s="9">
        <v>43489</v>
      </c>
      <c r="D637" s="10">
        <v>40289.160000000003</v>
      </c>
      <c r="E637" s="11" t="s">
        <v>79</v>
      </c>
      <c r="F637" s="12">
        <f t="shared" si="36"/>
        <v>5.7743987757705728E-3</v>
      </c>
      <c r="I637" s="9"/>
      <c r="K637" s="11"/>
      <c r="L637" s="12"/>
      <c r="O637" s="9"/>
      <c r="Q637" s="11"/>
      <c r="R637" s="12"/>
      <c r="S637" s="12"/>
    </row>
    <row r="638" spans="3:19">
      <c r="C638" s="9">
        <v>43490</v>
      </c>
      <c r="D638" s="10">
        <v>40264.78</v>
      </c>
      <c r="E638" s="11" t="s">
        <v>79</v>
      </c>
      <c r="F638" s="12">
        <f t="shared" si="36"/>
        <v>-6.0512554741787294E-4</v>
      </c>
      <c r="I638" s="9"/>
      <c r="K638" s="11"/>
      <c r="L638" s="12"/>
      <c r="O638" s="9"/>
      <c r="Q638" s="11"/>
      <c r="R638" s="12"/>
      <c r="S638" s="12"/>
    </row>
    <row r="639" spans="3:19">
      <c r="C639" s="9">
        <v>43493</v>
      </c>
      <c r="D639" s="10">
        <v>40420.089999999997</v>
      </c>
      <c r="E639" s="11" t="s">
        <v>79</v>
      </c>
      <c r="F639" s="12">
        <f t="shared" si="36"/>
        <v>3.8572171510684594E-3</v>
      </c>
      <c r="I639" s="9"/>
      <c r="K639" s="11"/>
      <c r="L639" s="12"/>
      <c r="O639" s="9"/>
      <c r="Q639" s="11"/>
      <c r="R639" s="12"/>
      <c r="S639" s="12"/>
    </row>
    <row r="640" spans="3:19">
      <c r="C640" s="9">
        <v>43494</v>
      </c>
      <c r="D640" s="10">
        <v>40624.39</v>
      </c>
      <c r="E640" s="11" t="s">
        <v>79</v>
      </c>
      <c r="F640" s="12">
        <f t="shared" si="36"/>
        <v>5.054417246473264E-3</v>
      </c>
      <c r="I640" s="9"/>
      <c r="K640" s="11"/>
      <c r="L640" s="12"/>
      <c r="O640" s="9"/>
      <c r="Q640" s="11"/>
      <c r="R640" s="12"/>
      <c r="S640" s="12"/>
    </row>
    <row r="641" spans="3:19">
      <c r="C641" s="9">
        <v>43495</v>
      </c>
      <c r="D641" s="10">
        <v>40607.120000000003</v>
      </c>
      <c r="E641" s="11" t="s">
        <v>79</v>
      </c>
      <c r="F641" s="12">
        <f t="shared" si="36"/>
        <v>-4.2511407555900771E-4</v>
      </c>
      <c r="I641" s="9"/>
      <c r="K641" s="11"/>
      <c r="L641" s="12"/>
      <c r="O641" s="9"/>
      <c r="Q641" s="11"/>
      <c r="R641" s="12"/>
      <c r="S641" s="12"/>
    </row>
    <row r="642" spans="3:19">
      <c r="C642" s="9">
        <v>43496</v>
      </c>
      <c r="D642" s="10">
        <v>40799.519999999997</v>
      </c>
      <c r="E642" s="11" t="s">
        <v>79</v>
      </c>
      <c r="F642" s="12">
        <f t="shared" si="36"/>
        <v>4.738085340698639E-3</v>
      </c>
      <c r="I642" s="9"/>
      <c r="K642" s="11"/>
      <c r="L642" s="12"/>
      <c r="O642" s="9"/>
      <c r="Q642" s="11"/>
      <c r="R642" s="12"/>
      <c r="S642" s="12"/>
    </row>
    <row r="643" spans="3:19">
      <c r="C643" s="9">
        <v>43497</v>
      </c>
      <c r="D643" s="10">
        <v>41112.71</v>
      </c>
      <c r="E643" s="11" t="s">
        <v>79</v>
      </c>
      <c r="F643" s="12">
        <f t="shared" si="36"/>
        <v>7.6763157997938869E-3</v>
      </c>
      <c r="I643" s="9"/>
      <c r="K643" s="11"/>
      <c r="L643" s="12"/>
      <c r="O643" s="9"/>
      <c r="Q643" s="11"/>
      <c r="R643" s="12"/>
      <c r="S643" s="12"/>
    </row>
    <row r="644" spans="3:19">
      <c r="C644" s="9">
        <v>43500</v>
      </c>
      <c r="D644" s="10">
        <v>41614.39</v>
      </c>
      <c r="E644" s="11" t="s">
        <v>79</v>
      </c>
      <c r="F644" s="12">
        <f t="shared" si="36"/>
        <v>1.2202552446676451E-2</v>
      </c>
      <c r="I644" s="9"/>
      <c r="K644" s="11"/>
      <c r="L644" s="12"/>
      <c r="O644" s="9"/>
      <c r="Q644" s="11"/>
      <c r="R644" s="12"/>
      <c r="S644" s="12"/>
    </row>
    <row r="645" spans="3:19">
      <c r="C645" s="9">
        <v>43502</v>
      </c>
      <c r="D645" s="10">
        <v>41505.68</v>
      </c>
      <c r="E645" s="11" t="s">
        <v>79</v>
      </c>
      <c r="F645" s="12">
        <f t="shared" si="36"/>
        <v>-2.6123175180507996E-3</v>
      </c>
      <c r="I645" s="9"/>
      <c r="K645" s="11"/>
      <c r="L645" s="12"/>
      <c r="O645" s="9"/>
      <c r="Q645" s="11"/>
      <c r="R645" s="12"/>
      <c r="S645" s="12"/>
    </row>
    <row r="646" spans="3:19">
      <c r="C646" s="9">
        <v>43503</v>
      </c>
      <c r="D646" s="10">
        <v>41332.75</v>
      </c>
      <c r="E646" s="11" t="s">
        <v>79</v>
      </c>
      <c r="F646" s="12">
        <f t="shared" si="36"/>
        <v>-4.1664177047575635E-3</v>
      </c>
      <c r="I646" s="9"/>
      <c r="K646" s="11"/>
      <c r="L646" s="12"/>
      <c r="O646" s="9"/>
      <c r="Q646" s="11"/>
      <c r="R646" s="12"/>
      <c r="S646" s="12"/>
    </row>
    <row r="647" spans="3:19">
      <c r="C647" s="9">
        <v>43504</v>
      </c>
      <c r="D647" s="10">
        <v>40887.35</v>
      </c>
      <c r="E647" s="11" t="s">
        <v>79</v>
      </c>
      <c r="F647" s="12">
        <f t="shared" ref="F647:F710" si="40">D647/D646-1</f>
        <v>-1.0775958531672902E-2</v>
      </c>
      <c r="I647" s="9"/>
      <c r="K647" s="11"/>
      <c r="L647" s="12"/>
      <c r="O647" s="9"/>
      <c r="Q647" s="11"/>
      <c r="R647" s="12"/>
      <c r="S647" s="12"/>
    </row>
    <row r="648" spans="3:19">
      <c r="C648" s="9">
        <v>43507</v>
      </c>
      <c r="D648" s="10">
        <v>40326.53</v>
      </c>
      <c r="E648" s="11" t="s">
        <v>79</v>
      </c>
      <c r="F648" s="12">
        <f t="shared" si="40"/>
        <v>-1.3716222743709205E-2</v>
      </c>
      <c r="I648" s="9"/>
      <c r="K648" s="11"/>
      <c r="L648" s="12"/>
      <c r="O648" s="9"/>
      <c r="Q648" s="11"/>
      <c r="R648" s="12"/>
      <c r="S648" s="12"/>
    </row>
    <row r="649" spans="3:19">
      <c r="C649" s="9">
        <v>43508</v>
      </c>
      <c r="D649" s="10">
        <v>40596.28</v>
      </c>
      <c r="E649" s="11" t="s">
        <v>79</v>
      </c>
      <c r="F649" s="12">
        <f t="shared" si="40"/>
        <v>6.6891448383978869E-3</v>
      </c>
      <c r="I649" s="9"/>
      <c r="K649" s="11"/>
      <c r="L649" s="12"/>
      <c r="O649" s="9"/>
      <c r="Q649" s="11"/>
      <c r="R649" s="12"/>
      <c r="S649" s="12"/>
    </row>
    <row r="650" spans="3:19">
      <c r="C650" s="9">
        <v>43509</v>
      </c>
      <c r="D650" s="10">
        <v>40544.11</v>
      </c>
      <c r="E650" s="11" t="s">
        <v>79</v>
      </c>
      <c r="F650" s="12">
        <f t="shared" si="40"/>
        <v>-1.2850931169062774E-3</v>
      </c>
      <c r="I650" s="9"/>
      <c r="K650" s="11"/>
      <c r="L650" s="12"/>
      <c r="O650" s="9"/>
      <c r="Q650" s="11"/>
      <c r="R650" s="12"/>
      <c r="S650" s="12"/>
    </row>
    <row r="651" spans="3:19">
      <c r="C651" s="9">
        <v>43510</v>
      </c>
      <c r="D651" s="10">
        <v>40506.980000000003</v>
      </c>
      <c r="E651" s="11" t="s">
        <v>79</v>
      </c>
      <c r="F651" s="12">
        <f t="shared" si="40"/>
        <v>-9.1579270083863573E-4</v>
      </c>
      <c r="I651" s="9"/>
      <c r="K651" s="11"/>
      <c r="L651" s="12"/>
      <c r="O651" s="9"/>
      <c r="Q651" s="11"/>
      <c r="R651" s="12"/>
      <c r="S651" s="12"/>
    </row>
    <row r="652" spans="3:19">
      <c r="C652" s="9">
        <v>43511</v>
      </c>
      <c r="D652" s="10">
        <v>40486.67</v>
      </c>
      <c r="E652" s="11" t="s">
        <v>79</v>
      </c>
      <c r="F652" s="12">
        <f t="shared" si="40"/>
        <v>-5.0139506820812141E-4</v>
      </c>
      <c r="I652" s="9"/>
      <c r="K652" s="11"/>
      <c r="L652" s="12"/>
      <c r="O652" s="9"/>
      <c r="Q652" s="11"/>
      <c r="R652" s="12"/>
      <c r="S652" s="12"/>
    </row>
    <row r="653" spans="3:19">
      <c r="C653" s="9">
        <v>43514</v>
      </c>
      <c r="D653" s="10">
        <v>40219.47</v>
      </c>
      <c r="E653" s="11" t="s">
        <v>79</v>
      </c>
      <c r="F653" s="12">
        <f t="shared" si="40"/>
        <v>-6.5997030627610309E-3</v>
      </c>
      <c r="I653" s="9"/>
      <c r="K653" s="11"/>
      <c r="L653" s="12"/>
      <c r="O653" s="9"/>
      <c r="Q653" s="11"/>
      <c r="R653" s="12"/>
      <c r="S653" s="12"/>
    </row>
    <row r="654" spans="3:19">
      <c r="C654" s="9">
        <v>43515</v>
      </c>
      <c r="D654" s="10">
        <v>39957.07</v>
      </c>
      <c r="E654" s="11" t="s">
        <v>79</v>
      </c>
      <c r="F654" s="12">
        <f t="shared" si="40"/>
        <v>-6.5242033273934519E-3</v>
      </c>
      <c r="I654" s="9"/>
      <c r="K654" s="11"/>
      <c r="L654" s="12"/>
      <c r="O654" s="9"/>
      <c r="Q654" s="11"/>
      <c r="R654" s="12"/>
      <c r="S654" s="12"/>
    </row>
    <row r="655" spans="3:19">
      <c r="C655" s="9">
        <v>43516</v>
      </c>
      <c r="D655" s="10">
        <v>40279.379999999997</v>
      </c>
      <c r="E655" s="11" t="s">
        <v>79</v>
      </c>
      <c r="F655" s="12">
        <f t="shared" si="40"/>
        <v>8.0664072716041257E-3</v>
      </c>
      <c r="I655" s="9"/>
      <c r="K655" s="11"/>
      <c r="L655" s="12"/>
      <c r="O655" s="9"/>
      <c r="Q655" s="11"/>
      <c r="R655" s="12"/>
      <c r="S655" s="12"/>
    </row>
    <row r="656" spans="3:19">
      <c r="C656" s="9">
        <v>43517</v>
      </c>
      <c r="D656" s="10">
        <v>40070.71</v>
      </c>
      <c r="E656" s="11" t="s">
        <v>79</v>
      </c>
      <c r="F656" s="12">
        <f t="shared" si="40"/>
        <v>-5.1805663344370867E-3</v>
      </c>
      <c r="I656" s="9"/>
      <c r="K656" s="11"/>
      <c r="L656" s="12"/>
      <c r="O656" s="9"/>
      <c r="Q656" s="11"/>
      <c r="R656" s="12"/>
      <c r="S656" s="12"/>
    </row>
    <row r="657" spans="3:19">
      <c r="C657" s="9">
        <v>43518</v>
      </c>
      <c r="D657" s="10">
        <v>40016.129999999997</v>
      </c>
      <c r="E657" s="11" t="s">
        <v>79</v>
      </c>
      <c r="F657" s="12">
        <f t="shared" si="40"/>
        <v>-1.3620921615814519E-3</v>
      </c>
      <c r="I657" s="9"/>
      <c r="K657" s="11"/>
      <c r="L657" s="12"/>
      <c r="O657" s="9"/>
      <c r="Q657" s="11"/>
      <c r="R657" s="12"/>
      <c r="S657" s="12"/>
    </row>
    <row r="658" spans="3:19">
      <c r="C658" s="9">
        <v>43521</v>
      </c>
      <c r="D658" s="10">
        <v>39606.79</v>
      </c>
      <c r="E658" s="11" t="s">
        <v>79</v>
      </c>
      <c r="F658" s="12">
        <f t="shared" si="40"/>
        <v>-1.0229375004529362E-2</v>
      </c>
      <c r="I658" s="9"/>
      <c r="K658" s="11"/>
      <c r="L658" s="12"/>
      <c r="O658" s="9"/>
      <c r="Q658" s="11"/>
      <c r="R658" s="12"/>
      <c r="S658" s="12"/>
    </row>
    <row r="659" spans="3:19">
      <c r="C659" s="9">
        <v>43522</v>
      </c>
      <c r="D659" s="10">
        <v>38821.67</v>
      </c>
      <c r="E659" s="11" t="s">
        <v>79</v>
      </c>
      <c r="F659" s="12">
        <f t="shared" si="40"/>
        <v>-1.9822863705945437E-2</v>
      </c>
      <c r="I659" s="9"/>
      <c r="K659" s="11"/>
      <c r="L659" s="12"/>
      <c r="O659" s="9"/>
      <c r="Q659" s="11"/>
      <c r="R659" s="12"/>
      <c r="S659" s="12"/>
    </row>
    <row r="660" spans="3:19">
      <c r="C660" s="9">
        <v>43523</v>
      </c>
      <c r="D660" s="10">
        <v>38692.69</v>
      </c>
      <c r="E660" s="11" t="s">
        <v>79</v>
      </c>
      <c r="F660" s="12">
        <f t="shared" si="40"/>
        <v>-3.3223712426589946E-3</v>
      </c>
      <c r="I660" s="9"/>
      <c r="K660" s="11"/>
      <c r="L660" s="12"/>
      <c r="O660" s="9"/>
      <c r="Q660" s="11"/>
      <c r="R660" s="12"/>
      <c r="S660" s="12"/>
    </row>
    <row r="661" spans="3:19">
      <c r="C661" s="9">
        <v>43524</v>
      </c>
      <c r="D661" s="10">
        <v>39054.6</v>
      </c>
      <c r="E661" s="11" t="s">
        <v>79</v>
      </c>
      <c r="F661" s="12">
        <f t="shared" si="40"/>
        <v>9.3534463486513175E-3</v>
      </c>
      <c r="I661" s="9"/>
      <c r="K661" s="11"/>
      <c r="L661" s="12"/>
      <c r="O661" s="9"/>
      <c r="Q661" s="11"/>
      <c r="R661" s="12"/>
      <c r="S661" s="12"/>
    </row>
    <row r="662" spans="3:19">
      <c r="C662" s="9">
        <v>43525</v>
      </c>
      <c r="D662" s="10">
        <v>39539.01</v>
      </c>
      <c r="E662" s="11" t="s">
        <v>79</v>
      </c>
      <c r="F662" s="12">
        <f t="shared" si="40"/>
        <v>1.240340446451893E-2</v>
      </c>
      <c r="I662" s="9"/>
      <c r="K662" s="11"/>
      <c r="L662" s="12"/>
      <c r="O662" s="9"/>
      <c r="Q662" s="11"/>
      <c r="R662" s="12"/>
      <c r="S662" s="12"/>
    </row>
    <row r="663" spans="3:19">
      <c r="C663" s="9">
        <v>43528</v>
      </c>
      <c r="D663" s="10">
        <v>39749.74</v>
      </c>
      <c r="E663" s="11" t="s">
        <v>79</v>
      </c>
      <c r="F663" s="12">
        <f t="shared" si="40"/>
        <v>5.3296731506426998E-3</v>
      </c>
      <c r="I663" s="9"/>
      <c r="K663" s="11"/>
      <c r="L663" s="12"/>
      <c r="O663" s="9"/>
      <c r="Q663" s="11"/>
      <c r="R663" s="12"/>
      <c r="S663" s="12"/>
    </row>
    <row r="664" spans="3:19">
      <c r="C664" s="9">
        <v>43529</v>
      </c>
      <c r="D664" s="10">
        <v>39688.51</v>
      </c>
      <c r="E664" s="11" t="s">
        <v>79</v>
      </c>
      <c r="F664" s="12">
        <f t="shared" si="40"/>
        <v>-1.5403874339805501E-3</v>
      </c>
      <c r="I664" s="9"/>
      <c r="K664" s="11"/>
      <c r="L664" s="12"/>
      <c r="O664" s="9"/>
      <c r="Q664" s="11"/>
      <c r="R664" s="12"/>
      <c r="S664" s="12"/>
    </row>
    <row r="665" spans="3:19">
      <c r="C665" s="9">
        <v>43530</v>
      </c>
      <c r="D665" s="10">
        <v>39568.1</v>
      </c>
      <c r="E665" s="11" t="s">
        <v>79</v>
      </c>
      <c r="F665" s="12">
        <f t="shared" si="40"/>
        <v>-3.0338755473562351E-3</v>
      </c>
      <c r="I665" s="9"/>
      <c r="K665" s="11"/>
      <c r="L665" s="12"/>
      <c r="O665" s="9"/>
      <c r="Q665" s="11"/>
      <c r="R665" s="12"/>
      <c r="S665" s="12"/>
    </row>
    <row r="666" spans="3:19">
      <c r="C666" s="9">
        <v>43531</v>
      </c>
      <c r="D666" s="10">
        <v>39294.1</v>
      </c>
      <c r="E666" s="11" t="s">
        <v>79</v>
      </c>
      <c r="F666" s="12">
        <f t="shared" si="40"/>
        <v>-6.9247702063025551E-3</v>
      </c>
      <c r="I666" s="9"/>
      <c r="K666" s="11"/>
      <c r="L666" s="12"/>
      <c r="O666" s="9"/>
      <c r="Q666" s="11"/>
      <c r="R666" s="12"/>
      <c r="S666" s="12"/>
    </row>
    <row r="667" spans="3:19">
      <c r="C667" s="9">
        <v>43532</v>
      </c>
      <c r="D667" s="10">
        <v>38950.230000000003</v>
      </c>
      <c r="E667" s="11" t="s">
        <v>79</v>
      </c>
      <c r="F667" s="12">
        <f t="shared" si="40"/>
        <v>-8.7511865649040343E-3</v>
      </c>
      <c r="I667" s="9"/>
      <c r="K667" s="11"/>
      <c r="L667" s="12"/>
      <c r="O667" s="9"/>
      <c r="Q667" s="11"/>
      <c r="R667" s="12"/>
      <c r="S667" s="12"/>
    </row>
    <row r="668" spans="3:19">
      <c r="C668" s="9">
        <v>43535</v>
      </c>
      <c r="D668" s="10">
        <v>38924.11</v>
      </c>
      <c r="E668" s="11" t="s">
        <v>79</v>
      </c>
      <c r="F668" s="12">
        <f t="shared" si="40"/>
        <v>-6.7059937771873912E-4</v>
      </c>
      <c r="I668" s="9"/>
      <c r="K668" s="11"/>
      <c r="L668" s="12"/>
      <c r="O668" s="9"/>
      <c r="Q668" s="11"/>
      <c r="R668" s="12"/>
      <c r="S668" s="12"/>
    </row>
    <row r="669" spans="3:19">
      <c r="C669" s="9">
        <v>43536</v>
      </c>
      <c r="D669" s="10">
        <v>38896.49</v>
      </c>
      <c r="E669" s="11" t="s">
        <v>79</v>
      </c>
      <c r="F669" s="12">
        <f t="shared" si="40"/>
        <v>-7.0958590960723544E-4</v>
      </c>
      <c r="I669" s="9"/>
      <c r="K669" s="11"/>
      <c r="L669" s="12"/>
      <c r="O669" s="9"/>
      <c r="Q669" s="11"/>
      <c r="R669" s="12"/>
      <c r="S669" s="12"/>
    </row>
    <row r="670" spans="3:19">
      <c r="C670" s="9">
        <v>43537</v>
      </c>
      <c r="D670" s="10">
        <v>38928.93</v>
      </c>
      <c r="E670" s="11" t="s">
        <v>79</v>
      </c>
      <c r="F670" s="12">
        <f t="shared" si="40"/>
        <v>8.3400841566949602E-4</v>
      </c>
      <c r="I670" s="9"/>
      <c r="K670" s="11"/>
      <c r="L670" s="12"/>
      <c r="O670" s="9"/>
      <c r="Q670" s="11"/>
      <c r="R670" s="12"/>
      <c r="S670" s="12"/>
    </row>
    <row r="671" spans="3:19">
      <c r="C671" s="9">
        <v>43538</v>
      </c>
      <c r="D671" s="10">
        <v>38808.61</v>
      </c>
      <c r="E671" s="11" t="s">
        <v>79</v>
      </c>
      <c r="F671" s="12">
        <f t="shared" si="40"/>
        <v>-3.0907605218021272E-3</v>
      </c>
      <c r="I671" s="9"/>
      <c r="K671" s="11"/>
      <c r="L671" s="12"/>
      <c r="O671" s="9"/>
      <c r="Q671" s="11"/>
      <c r="R671" s="12"/>
      <c r="S671" s="12"/>
    </row>
    <row r="672" spans="3:19">
      <c r="C672" s="9">
        <v>43539</v>
      </c>
      <c r="D672" s="10">
        <v>38306.949999999997</v>
      </c>
      <c r="E672" s="11" t="s">
        <v>79</v>
      </c>
      <c r="F672" s="12">
        <f t="shared" si="40"/>
        <v>-1.2926512956789815E-2</v>
      </c>
      <c r="I672" s="9"/>
      <c r="K672" s="11"/>
      <c r="L672" s="12"/>
      <c r="O672" s="9"/>
      <c r="Q672" s="11"/>
      <c r="R672" s="12"/>
      <c r="S672" s="12"/>
    </row>
    <row r="673" spans="3:19">
      <c r="C673" s="9">
        <v>43542</v>
      </c>
      <c r="D673" s="10">
        <v>38851.949999999997</v>
      </c>
      <c r="E673" s="11" t="s">
        <v>79</v>
      </c>
      <c r="F673" s="12">
        <f t="shared" si="40"/>
        <v>1.4227183317909731E-2</v>
      </c>
      <c r="I673" s="9"/>
      <c r="K673" s="11"/>
      <c r="L673" s="12"/>
      <c r="O673" s="9"/>
      <c r="Q673" s="11"/>
      <c r="R673" s="12"/>
      <c r="S673" s="12"/>
    </row>
    <row r="674" spans="3:19">
      <c r="C674" s="9">
        <v>43543</v>
      </c>
      <c r="D674" s="10">
        <v>38612.370000000003</v>
      </c>
      <c r="E674" s="11" t="s">
        <v>79</v>
      </c>
      <c r="F674" s="12">
        <f t="shared" si="40"/>
        <v>-6.1664858520613652E-3</v>
      </c>
      <c r="I674" s="9"/>
      <c r="K674" s="11"/>
      <c r="L674" s="12"/>
      <c r="O674" s="9"/>
      <c r="Q674" s="11"/>
      <c r="R674" s="12"/>
      <c r="S674" s="12"/>
    </row>
    <row r="675" spans="3:19">
      <c r="C675" s="9">
        <v>43544</v>
      </c>
      <c r="D675" s="10">
        <v>38547.760000000002</v>
      </c>
      <c r="E675" s="11" t="s">
        <v>79</v>
      </c>
      <c r="F675" s="12">
        <f t="shared" si="40"/>
        <v>-1.6732979612492649E-3</v>
      </c>
      <c r="I675" s="9"/>
      <c r="K675" s="11"/>
      <c r="L675" s="12"/>
      <c r="O675" s="9"/>
      <c r="Q675" s="11"/>
      <c r="R675" s="12"/>
      <c r="S675" s="12"/>
    </row>
    <row r="676" spans="3:19">
      <c r="C676" s="9">
        <v>43545</v>
      </c>
      <c r="D676" s="10">
        <v>38384.71</v>
      </c>
      <c r="E676" s="11" t="s">
        <v>79</v>
      </c>
      <c r="F676" s="12">
        <f t="shared" si="40"/>
        <v>-4.2298177637301038E-3</v>
      </c>
      <c r="I676" s="9"/>
      <c r="K676" s="11"/>
      <c r="L676" s="12"/>
      <c r="O676" s="9"/>
      <c r="Q676" s="11"/>
      <c r="R676" s="12"/>
      <c r="S676" s="12"/>
    </row>
    <row r="677" spans="3:19">
      <c r="C677" s="9">
        <v>43546</v>
      </c>
      <c r="D677" s="10">
        <v>38531.870000000003</v>
      </c>
      <c r="E677" s="11" t="s">
        <v>79</v>
      </c>
      <c r="F677" s="12">
        <f t="shared" si="40"/>
        <v>3.8338182052177761E-3</v>
      </c>
      <c r="I677" s="9"/>
      <c r="K677" s="11"/>
      <c r="L677" s="12"/>
      <c r="O677" s="9"/>
      <c r="Q677" s="11"/>
      <c r="R677" s="12"/>
      <c r="S677" s="12"/>
    </row>
    <row r="678" spans="3:19">
      <c r="C678" s="9">
        <v>43549</v>
      </c>
      <c r="D678" s="10">
        <v>38128.660000000003</v>
      </c>
      <c r="E678" s="11" t="s">
        <v>79</v>
      </c>
      <c r="F678" s="12">
        <f t="shared" si="40"/>
        <v>-1.0464324726518592E-2</v>
      </c>
      <c r="I678" s="9"/>
      <c r="K678" s="11"/>
      <c r="L678" s="12"/>
      <c r="O678" s="9"/>
      <c r="Q678" s="11"/>
      <c r="R678" s="12"/>
      <c r="S678" s="12"/>
    </row>
    <row r="679" spans="3:19">
      <c r="C679" s="9">
        <v>43550</v>
      </c>
      <c r="D679" s="10">
        <v>38329.129999999997</v>
      </c>
      <c r="E679" s="11" t="s">
        <v>79</v>
      </c>
      <c r="F679" s="12">
        <f t="shared" si="40"/>
        <v>5.2577247666190097E-3</v>
      </c>
      <c r="I679" s="9"/>
      <c r="K679" s="11"/>
      <c r="L679" s="12"/>
      <c r="O679" s="9"/>
      <c r="Q679" s="11"/>
      <c r="R679" s="12"/>
      <c r="S679" s="12"/>
    </row>
    <row r="680" spans="3:19">
      <c r="C680" s="9">
        <v>43551</v>
      </c>
      <c r="D680" s="10">
        <v>38965.01</v>
      </c>
      <c r="E680" s="11" t="s">
        <v>79</v>
      </c>
      <c r="F680" s="12">
        <f t="shared" si="40"/>
        <v>1.658999304184583E-2</v>
      </c>
      <c r="I680" s="9"/>
      <c r="K680" s="11"/>
      <c r="L680" s="12"/>
      <c r="O680" s="9"/>
      <c r="Q680" s="11"/>
      <c r="R680" s="12"/>
      <c r="S680" s="12"/>
    </row>
    <row r="681" spans="3:19">
      <c r="C681" s="9">
        <v>43552</v>
      </c>
      <c r="D681" s="10">
        <v>38552.949999999997</v>
      </c>
      <c r="E681" s="11" t="s">
        <v>79</v>
      </c>
      <c r="F681" s="12">
        <f t="shared" si="40"/>
        <v>-1.0575128814287571E-2</v>
      </c>
      <c r="I681" s="9"/>
      <c r="K681" s="11"/>
      <c r="L681" s="12"/>
      <c r="O681" s="9"/>
      <c r="Q681" s="11"/>
      <c r="R681" s="12"/>
      <c r="S681" s="12"/>
    </row>
    <row r="682" spans="3:19">
      <c r="C682" s="9">
        <v>43553</v>
      </c>
      <c r="D682" s="10">
        <v>38649.339999999997</v>
      </c>
      <c r="E682" s="11" t="s">
        <v>79</v>
      </c>
      <c r="F682" s="12">
        <f t="shared" si="40"/>
        <v>2.500197779936375E-3</v>
      </c>
      <c r="I682" s="9"/>
      <c r="K682" s="11"/>
      <c r="L682" s="12"/>
      <c r="O682" s="9"/>
      <c r="Q682" s="11"/>
      <c r="R682" s="12"/>
      <c r="S682" s="12"/>
    </row>
    <row r="683" spans="3:19">
      <c r="C683" s="9">
        <v>43556</v>
      </c>
      <c r="D683" s="10">
        <v>38354.85</v>
      </c>
      <c r="E683" s="11" t="s">
        <v>79</v>
      </c>
      <c r="F683" s="12">
        <f t="shared" si="40"/>
        <v>-7.6195350295761299E-3</v>
      </c>
      <c r="I683" s="9"/>
      <c r="K683" s="11"/>
      <c r="L683" s="12"/>
      <c r="O683" s="9"/>
      <c r="Q683" s="11"/>
      <c r="R683" s="12"/>
      <c r="S683" s="12"/>
    </row>
    <row r="684" spans="3:19">
      <c r="C684" s="9">
        <v>43557</v>
      </c>
      <c r="D684" s="10">
        <v>38036.03</v>
      </c>
      <c r="E684" s="11" t="s">
        <v>79</v>
      </c>
      <c r="F684" s="12">
        <f t="shared" si="40"/>
        <v>-8.3123777045145397E-3</v>
      </c>
      <c r="I684" s="9"/>
      <c r="K684" s="11"/>
      <c r="L684" s="12"/>
      <c r="O684" s="9"/>
      <c r="Q684" s="11"/>
      <c r="R684" s="12"/>
      <c r="S684" s="12"/>
    </row>
    <row r="685" spans="3:19">
      <c r="C685" s="9">
        <v>43558</v>
      </c>
      <c r="D685" s="10">
        <v>38022.800000000003</v>
      </c>
      <c r="E685" s="11" t="s">
        <v>79</v>
      </c>
      <c r="F685" s="12">
        <f t="shared" si="40"/>
        <v>-3.4782809877886844E-4</v>
      </c>
      <c r="I685" s="9"/>
      <c r="K685" s="11"/>
      <c r="L685" s="12"/>
      <c r="O685" s="9"/>
      <c r="Q685" s="11"/>
      <c r="R685" s="12"/>
      <c r="S685" s="12"/>
    </row>
    <row r="686" spans="3:19">
      <c r="C686" s="9">
        <v>43559</v>
      </c>
      <c r="D686" s="10">
        <v>37516.11</v>
      </c>
      <c r="E686" s="11" t="s">
        <v>79</v>
      </c>
      <c r="F686" s="12">
        <f t="shared" si="40"/>
        <v>-1.332595179734275E-2</v>
      </c>
      <c r="I686" s="9"/>
      <c r="K686" s="11"/>
      <c r="L686" s="12"/>
      <c r="O686" s="9"/>
      <c r="Q686" s="11"/>
      <c r="R686" s="12"/>
      <c r="S686" s="12"/>
    </row>
    <row r="687" spans="3:19">
      <c r="C687" s="9">
        <v>43560</v>
      </c>
      <c r="D687" s="10">
        <v>37521.81</v>
      </c>
      <c r="E687" s="11" t="s">
        <v>79</v>
      </c>
      <c r="F687" s="12">
        <f t="shared" si="40"/>
        <v>1.5193472884034165E-4</v>
      </c>
      <c r="I687" s="9"/>
      <c r="K687" s="11"/>
      <c r="L687" s="12"/>
      <c r="O687" s="9"/>
      <c r="Q687" s="11"/>
      <c r="R687" s="12"/>
      <c r="S687" s="12"/>
    </row>
    <row r="688" spans="3:19">
      <c r="C688" s="9">
        <v>43563</v>
      </c>
      <c r="D688" s="10">
        <v>36921.910000000003</v>
      </c>
      <c r="E688" s="11" t="s">
        <v>79</v>
      </c>
      <c r="F688" s="12">
        <f t="shared" si="40"/>
        <v>-1.5988034692356101E-2</v>
      </c>
      <c r="I688" s="9"/>
      <c r="K688" s="11"/>
      <c r="L688" s="12"/>
      <c r="O688" s="9"/>
      <c r="Q688" s="11"/>
      <c r="R688" s="12"/>
      <c r="S688" s="12"/>
    </row>
    <row r="689" spans="3:19">
      <c r="C689" s="9">
        <v>43564</v>
      </c>
      <c r="D689" s="10">
        <v>37129.97</v>
      </c>
      <c r="E689" s="11" t="s">
        <v>79</v>
      </c>
      <c r="F689" s="12">
        <f t="shared" si="40"/>
        <v>5.6351364271240989E-3</v>
      </c>
      <c r="I689" s="9"/>
      <c r="K689" s="11"/>
      <c r="L689" s="12"/>
      <c r="O689" s="9"/>
      <c r="Q689" s="11"/>
      <c r="R689" s="12"/>
      <c r="S689" s="12"/>
    </row>
    <row r="690" spans="3:19">
      <c r="C690" s="9">
        <v>43565</v>
      </c>
      <c r="D690" s="10">
        <v>36579.32</v>
      </c>
      <c r="E690" s="11" t="s">
        <v>79</v>
      </c>
      <c r="F690" s="12">
        <f t="shared" si="40"/>
        <v>-1.4830337864533694E-2</v>
      </c>
      <c r="I690" s="9"/>
      <c r="K690" s="11"/>
      <c r="L690" s="12"/>
      <c r="O690" s="9"/>
      <c r="Q690" s="11"/>
      <c r="R690" s="12"/>
      <c r="S690" s="12"/>
    </row>
    <row r="691" spans="3:19">
      <c r="C691" s="9">
        <v>43566</v>
      </c>
      <c r="D691" s="10">
        <v>36787.64</v>
      </c>
      <c r="E691" s="11" t="s">
        <v>79</v>
      </c>
      <c r="F691" s="12">
        <f t="shared" si="40"/>
        <v>5.6950211212236646E-3</v>
      </c>
      <c r="I691" s="9"/>
      <c r="K691" s="11"/>
      <c r="L691" s="12"/>
      <c r="O691" s="9"/>
      <c r="Q691" s="11"/>
      <c r="R691" s="12"/>
      <c r="S691" s="12"/>
    </row>
    <row r="692" spans="3:19">
      <c r="C692" s="9">
        <v>43567</v>
      </c>
      <c r="D692" s="10">
        <v>37337.870000000003</v>
      </c>
      <c r="E692" s="11" t="s">
        <v>79</v>
      </c>
      <c r="F692" s="12">
        <f t="shared" si="40"/>
        <v>1.4956925750061689E-2</v>
      </c>
      <c r="I692" s="9"/>
      <c r="K692" s="11"/>
      <c r="L692" s="12"/>
      <c r="O692" s="9"/>
      <c r="Q692" s="11"/>
      <c r="R692" s="12"/>
      <c r="S692" s="12"/>
    </row>
    <row r="693" spans="3:19">
      <c r="C693" s="9">
        <v>43570</v>
      </c>
      <c r="D693" s="10">
        <v>37504.080000000002</v>
      </c>
      <c r="E693" s="11" t="s">
        <v>79</v>
      </c>
      <c r="F693" s="12">
        <f t="shared" si="40"/>
        <v>4.4515126331523547E-3</v>
      </c>
      <c r="I693" s="9"/>
      <c r="K693" s="11"/>
      <c r="L693" s="12"/>
      <c r="O693" s="9"/>
      <c r="Q693" s="11"/>
      <c r="R693" s="12"/>
      <c r="S693" s="12"/>
    </row>
    <row r="694" spans="3:19">
      <c r="C694" s="9">
        <v>43571</v>
      </c>
      <c r="D694" s="10">
        <v>37381.949999999997</v>
      </c>
      <c r="E694" s="11" t="s">
        <v>79</v>
      </c>
      <c r="F694" s="12">
        <f t="shared" si="40"/>
        <v>-3.2564456987080881E-3</v>
      </c>
      <c r="I694" s="9"/>
      <c r="K694" s="11"/>
      <c r="L694" s="12"/>
      <c r="O694" s="9"/>
      <c r="Q694" s="11"/>
      <c r="R694" s="12"/>
      <c r="S694" s="12"/>
    </row>
    <row r="695" spans="3:19">
      <c r="C695" s="9">
        <v>43572</v>
      </c>
      <c r="D695" s="10">
        <v>36752.57</v>
      </c>
      <c r="E695" s="11" t="s">
        <v>79</v>
      </c>
      <c r="F695" s="12">
        <f t="shared" si="40"/>
        <v>-1.6836467867513583E-2</v>
      </c>
      <c r="I695" s="9"/>
      <c r="K695" s="11"/>
      <c r="L695" s="12"/>
      <c r="O695" s="9"/>
      <c r="Q695" s="11"/>
      <c r="R695" s="12"/>
      <c r="S695" s="12"/>
    </row>
    <row r="696" spans="3:19">
      <c r="C696" s="9">
        <v>43573</v>
      </c>
      <c r="D696" s="10">
        <v>36811.86</v>
      </c>
      <c r="E696" s="11" t="s">
        <v>79</v>
      </c>
      <c r="F696" s="12">
        <f t="shared" si="40"/>
        <v>1.6132205176400127E-3</v>
      </c>
      <c r="I696" s="9"/>
      <c r="K696" s="11"/>
      <c r="L696" s="12"/>
      <c r="O696" s="9"/>
      <c r="Q696" s="11"/>
      <c r="R696" s="12"/>
      <c r="S696" s="12"/>
    </row>
    <row r="697" spans="3:19">
      <c r="C697" s="9">
        <v>43574</v>
      </c>
      <c r="D697" s="10">
        <v>37292.47</v>
      </c>
      <c r="E697" s="11" t="s">
        <v>79</v>
      </c>
      <c r="F697" s="12">
        <f t="shared" si="40"/>
        <v>1.305584667550086E-2</v>
      </c>
      <c r="I697" s="9"/>
      <c r="K697" s="11"/>
      <c r="L697" s="12"/>
      <c r="O697" s="9"/>
      <c r="Q697" s="11"/>
      <c r="R697" s="12"/>
      <c r="S697" s="12"/>
    </row>
    <row r="698" spans="3:19">
      <c r="C698" s="9">
        <v>43577</v>
      </c>
      <c r="D698" s="10">
        <v>36901.69</v>
      </c>
      <c r="E698" s="11" t="s">
        <v>79</v>
      </c>
      <c r="F698" s="12">
        <f t="shared" si="40"/>
        <v>-1.0478791026713896E-2</v>
      </c>
      <c r="I698" s="9"/>
      <c r="K698" s="11"/>
      <c r="L698" s="12"/>
      <c r="O698" s="9"/>
      <c r="Q698" s="11"/>
      <c r="R698" s="12"/>
      <c r="S698" s="12"/>
    </row>
    <row r="699" spans="3:19">
      <c r="C699" s="9">
        <v>43578</v>
      </c>
      <c r="D699" s="10">
        <v>36404.03</v>
      </c>
      <c r="E699" s="11" t="s">
        <v>79</v>
      </c>
      <c r="F699" s="12">
        <f t="shared" si="40"/>
        <v>-1.3486103210991196E-2</v>
      </c>
      <c r="I699" s="9"/>
      <c r="K699" s="11"/>
      <c r="L699" s="12"/>
      <c r="O699" s="9"/>
      <c r="Q699" s="11"/>
      <c r="R699" s="12"/>
      <c r="S699" s="12"/>
    </row>
    <row r="700" spans="3:19">
      <c r="C700" s="9">
        <v>43579</v>
      </c>
      <c r="D700" s="10">
        <v>36504.25</v>
      </c>
      <c r="E700" s="11" t="s">
        <v>79</v>
      </c>
      <c r="F700" s="12">
        <f t="shared" si="40"/>
        <v>2.752991907764013E-3</v>
      </c>
      <c r="I700" s="9"/>
      <c r="K700" s="11"/>
      <c r="L700" s="12"/>
      <c r="O700" s="9"/>
      <c r="Q700" s="11"/>
      <c r="R700" s="12"/>
      <c r="S700" s="12"/>
    </row>
    <row r="701" spans="3:19">
      <c r="C701" s="9">
        <v>43580</v>
      </c>
      <c r="D701" s="10">
        <v>36796.03</v>
      </c>
      <c r="E701" s="11" t="s">
        <v>79</v>
      </c>
      <c r="F701" s="12">
        <f t="shared" si="40"/>
        <v>7.9930419060794122E-3</v>
      </c>
      <c r="I701" s="9"/>
      <c r="K701" s="11"/>
      <c r="L701" s="12"/>
      <c r="O701" s="9"/>
      <c r="Q701" s="11"/>
      <c r="R701" s="12"/>
      <c r="S701" s="12"/>
    </row>
    <row r="702" spans="3:19">
      <c r="C702" s="9">
        <v>43581</v>
      </c>
      <c r="D702" s="10">
        <v>37130.629999999997</v>
      </c>
      <c r="E702" s="11" t="s">
        <v>79</v>
      </c>
      <c r="F702" s="12">
        <f t="shared" si="40"/>
        <v>9.093372301305358E-3</v>
      </c>
      <c r="I702" s="9"/>
      <c r="K702" s="11"/>
      <c r="L702" s="12"/>
      <c r="O702" s="9"/>
      <c r="Q702" s="11"/>
      <c r="R702" s="12"/>
      <c r="S702" s="12"/>
    </row>
    <row r="703" spans="3:19">
      <c r="C703" s="9">
        <v>43584</v>
      </c>
      <c r="D703" s="10">
        <v>37026.269999999997</v>
      </c>
      <c r="E703" s="11" t="s">
        <v>79</v>
      </c>
      <c r="F703" s="12">
        <f t="shared" si="40"/>
        <v>-2.8106175413668E-3</v>
      </c>
      <c r="I703" s="9"/>
      <c r="K703" s="11"/>
      <c r="L703" s="12"/>
      <c r="O703" s="9"/>
      <c r="Q703" s="11"/>
      <c r="R703" s="12"/>
      <c r="S703" s="12"/>
    </row>
    <row r="704" spans="3:19">
      <c r="C704" s="9">
        <v>43585</v>
      </c>
      <c r="D704" s="10">
        <v>36784.44</v>
      </c>
      <c r="E704" s="11" t="s">
        <v>79</v>
      </c>
      <c r="F704" s="12">
        <f t="shared" si="40"/>
        <v>-6.5313087167568895E-3</v>
      </c>
      <c r="I704" s="9"/>
      <c r="K704" s="11"/>
      <c r="L704" s="12"/>
      <c r="O704" s="9"/>
      <c r="Q704" s="11"/>
      <c r="R704" s="12"/>
      <c r="S704" s="12"/>
    </row>
    <row r="705" spans="3:19">
      <c r="C705" s="9">
        <v>43587</v>
      </c>
      <c r="D705" s="10">
        <v>36547.629999999997</v>
      </c>
      <c r="E705" s="11" t="s">
        <v>79</v>
      </c>
      <c r="F705" s="12">
        <f t="shared" si="40"/>
        <v>-6.4377764076333222E-3</v>
      </c>
      <c r="I705" s="9"/>
      <c r="K705" s="11"/>
      <c r="L705" s="12"/>
      <c r="O705" s="9"/>
      <c r="Q705" s="11"/>
      <c r="R705" s="12"/>
      <c r="S705" s="12"/>
    </row>
    <row r="706" spans="3:19">
      <c r="C706" s="9">
        <v>43588</v>
      </c>
      <c r="D706" s="10">
        <v>36122.949999999997</v>
      </c>
      <c r="E706" s="11" t="s">
        <v>79</v>
      </c>
      <c r="F706" s="12">
        <f t="shared" si="40"/>
        <v>-1.1619905312601708E-2</v>
      </c>
      <c r="I706" s="9"/>
      <c r="K706" s="11"/>
      <c r="L706" s="12"/>
      <c r="O706" s="9"/>
      <c r="Q706" s="11"/>
      <c r="R706" s="12"/>
      <c r="S706" s="12"/>
    </row>
    <row r="707" spans="3:19">
      <c r="C707" s="9">
        <v>43591</v>
      </c>
      <c r="D707" s="10">
        <v>35605.42</v>
      </c>
      <c r="E707" s="11" t="s">
        <v>79</v>
      </c>
      <c r="F707" s="12">
        <f t="shared" si="40"/>
        <v>-1.432690297996142E-2</v>
      </c>
      <c r="I707" s="9"/>
      <c r="K707" s="11"/>
      <c r="L707" s="12"/>
      <c r="O707" s="9"/>
      <c r="Q707" s="11"/>
      <c r="R707" s="12"/>
      <c r="S707" s="12"/>
    </row>
    <row r="708" spans="3:19">
      <c r="C708" s="9">
        <v>43592</v>
      </c>
      <c r="D708" s="10">
        <v>35631.06</v>
      </c>
      <c r="E708" s="11" t="s">
        <v>79</v>
      </c>
      <c r="F708" s="12">
        <f t="shared" si="40"/>
        <v>7.2011508360247944E-4</v>
      </c>
      <c r="I708" s="9"/>
      <c r="K708" s="11"/>
      <c r="L708" s="12"/>
      <c r="O708" s="9"/>
      <c r="Q708" s="11"/>
      <c r="R708" s="12"/>
      <c r="S708" s="12"/>
    </row>
    <row r="709" spans="3:19">
      <c r="C709" s="9">
        <v>43593</v>
      </c>
      <c r="D709" s="10">
        <v>35035.03</v>
      </c>
      <c r="E709" s="11" t="s">
        <v>79</v>
      </c>
      <c r="F709" s="12">
        <f t="shared" si="40"/>
        <v>-1.6727821176243385E-2</v>
      </c>
      <c r="I709" s="9"/>
      <c r="K709" s="11"/>
      <c r="L709" s="12"/>
      <c r="O709" s="9"/>
      <c r="Q709" s="11"/>
      <c r="R709" s="12"/>
      <c r="S709" s="12"/>
    </row>
    <row r="710" spans="3:19">
      <c r="C710" s="9">
        <v>43594</v>
      </c>
      <c r="D710" s="10">
        <v>34887.64</v>
      </c>
      <c r="E710" s="11" t="s">
        <v>79</v>
      </c>
      <c r="F710" s="12">
        <f t="shared" si="40"/>
        <v>-4.2069323188819174E-3</v>
      </c>
      <c r="I710" s="9"/>
      <c r="K710" s="11"/>
      <c r="L710" s="12"/>
      <c r="O710" s="9"/>
      <c r="Q710" s="11"/>
      <c r="R710" s="12"/>
      <c r="S710" s="12"/>
    </row>
    <row r="711" spans="3:19">
      <c r="C711" s="9">
        <v>43595</v>
      </c>
      <c r="D711" s="10">
        <v>34716.53</v>
      </c>
      <c r="E711" s="11" t="s">
        <v>79</v>
      </c>
      <c r="F711" s="12">
        <f t="shared" ref="F711:F774" si="41">D711/D710-1</f>
        <v>-4.9046023176116949E-3</v>
      </c>
      <c r="I711" s="9"/>
      <c r="K711" s="11"/>
      <c r="L711" s="12"/>
      <c r="O711" s="9"/>
      <c r="Q711" s="11"/>
      <c r="R711" s="12"/>
      <c r="S711" s="12"/>
    </row>
    <row r="712" spans="3:19">
      <c r="C712" s="9">
        <v>43598</v>
      </c>
      <c r="D712" s="10">
        <v>33900.379999999997</v>
      </c>
      <c r="E712" s="11" t="s">
        <v>79</v>
      </c>
      <c r="F712" s="12">
        <f t="shared" si="41"/>
        <v>-2.3508973967156344E-2</v>
      </c>
      <c r="I712" s="9"/>
      <c r="K712" s="11"/>
      <c r="L712" s="12"/>
      <c r="O712" s="9"/>
      <c r="Q712" s="11"/>
      <c r="R712" s="12"/>
      <c r="S712" s="12"/>
    </row>
    <row r="713" spans="3:19">
      <c r="C713" s="9">
        <v>43599</v>
      </c>
      <c r="D713" s="10">
        <v>33885.089999999997</v>
      </c>
      <c r="E713" s="11" t="s">
        <v>79</v>
      </c>
      <c r="F713" s="12">
        <f t="shared" si="41"/>
        <v>-4.5102739261337899E-4</v>
      </c>
      <c r="I713" s="9"/>
      <c r="K713" s="11"/>
      <c r="L713" s="12"/>
      <c r="O713" s="9"/>
      <c r="Q713" s="11"/>
      <c r="R713" s="12"/>
      <c r="S713" s="12"/>
    </row>
    <row r="714" spans="3:19">
      <c r="C714" s="9">
        <v>43600</v>
      </c>
      <c r="D714" s="10">
        <v>34291.65</v>
      </c>
      <c r="E714" s="11" t="s">
        <v>79</v>
      </c>
      <c r="F714" s="12">
        <f t="shared" si="41"/>
        <v>1.1998197437280034E-2</v>
      </c>
      <c r="I714" s="9"/>
      <c r="K714" s="11"/>
      <c r="L714" s="12"/>
      <c r="O714" s="9"/>
      <c r="Q714" s="11"/>
      <c r="R714" s="12"/>
      <c r="S714" s="12"/>
    </row>
    <row r="715" spans="3:19">
      <c r="C715" s="9">
        <v>43601</v>
      </c>
      <c r="D715" s="10">
        <v>33971.120000000003</v>
      </c>
      <c r="E715" s="11" t="s">
        <v>79</v>
      </c>
      <c r="F715" s="12">
        <f t="shared" si="41"/>
        <v>-9.3471734372653215E-3</v>
      </c>
      <c r="I715" s="9"/>
      <c r="K715" s="11"/>
      <c r="L715" s="12"/>
      <c r="O715" s="9"/>
      <c r="Q715" s="11"/>
      <c r="R715" s="12"/>
      <c r="S715" s="12"/>
    </row>
    <row r="716" spans="3:19">
      <c r="C716" s="9">
        <v>43602</v>
      </c>
      <c r="D716" s="10">
        <v>33166.620000000003</v>
      </c>
      <c r="E716" s="11" t="s">
        <v>79</v>
      </c>
      <c r="F716" s="12">
        <f t="shared" si="41"/>
        <v>-2.3681880373682129E-2</v>
      </c>
      <c r="I716" s="9"/>
      <c r="K716" s="11"/>
      <c r="L716" s="12"/>
      <c r="O716" s="9"/>
      <c r="Q716" s="11"/>
      <c r="R716" s="12"/>
      <c r="S716" s="12"/>
    </row>
    <row r="717" spans="3:19">
      <c r="C717" s="9">
        <v>43605</v>
      </c>
      <c r="D717" s="10">
        <v>33250.54</v>
      </c>
      <c r="E717" s="11" t="s">
        <v>79</v>
      </c>
      <c r="F717" s="12">
        <f t="shared" si="41"/>
        <v>2.5302548164389815E-3</v>
      </c>
      <c r="I717" s="9"/>
      <c r="K717" s="11"/>
      <c r="L717" s="12"/>
      <c r="O717" s="9"/>
      <c r="Q717" s="11"/>
      <c r="R717" s="12"/>
      <c r="S717" s="12"/>
    </row>
    <row r="718" spans="3:19">
      <c r="C718" s="9">
        <v>43606</v>
      </c>
      <c r="D718" s="10">
        <v>33442.1</v>
      </c>
      <c r="E718" s="11" t="s">
        <v>79</v>
      </c>
      <c r="F718" s="12">
        <f t="shared" si="41"/>
        <v>5.7611094436360588E-3</v>
      </c>
      <c r="I718" s="9"/>
      <c r="K718" s="11"/>
      <c r="L718" s="12"/>
      <c r="O718" s="9"/>
      <c r="Q718" s="11"/>
      <c r="R718" s="12"/>
      <c r="S718" s="12"/>
    </row>
    <row r="719" spans="3:19">
      <c r="C719" s="9">
        <v>43607</v>
      </c>
      <c r="D719" s="10">
        <v>34637.14</v>
      </c>
      <c r="E719" s="11" t="s">
        <v>79</v>
      </c>
      <c r="F719" s="12">
        <f t="shared" si="41"/>
        <v>3.5734598006704088E-2</v>
      </c>
      <c r="I719" s="9"/>
      <c r="K719" s="11"/>
      <c r="L719" s="12"/>
      <c r="O719" s="9"/>
      <c r="Q719" s="11"/>
      <c r="R719" s="12"/>
      <c r="S719" s="12"/>
    </row>
    <row r="720" spans="3:19">
      <c r="C720" s="9">
        <v>43608</v>
      </c>
      <c r="D720" s="10">
        <v>35581.339999999997</v>
      </c>
      <c r="E720" s="11" t="s">
        <v>79</v>
      </c>
      <c r="F720" s="12">
        <f t="shared" si="41"/>
        <v>2.7259756434855786E-2</v>
      </c>
      <c r="I720" s="9"/>
      <c r="K720" s="11"/>
      <c r="L720" s="12"/>
      <c r="O720" s="9"/>
      <c r="Q720" s="11"/>
      <c r="R720" s="12"/>
      <c r="S720" s="12"/>
    </row>
    <row r="721" spans="3:19">
      <c r="C721" s="9">
        <v>43609</v>
      </c>
      <c r="D721" s="10">
        <v>35703.81</v>
      </c>
      <c r="E721" s="11" t="s">
        <v>79</v>
      </c>
      <c r="F721" s="12">
        <f t="shared" si="41"/>
        <v>3.4419726744412404E-3</v>
      </c>
      <c r="I721" s="9"/>
      <c r="K721" s="11"/>
      <c r="L721" s="12"/>
      <c r="O721" s="9"/>
      <c r="Q721" s="11"/>
      <c r="R721" s="12"/>
      <c r="S721" s="12"/>
    </row>
    <row r="722" spans="3:19">
      <c r="C722" s="9">
        <v>43612</v>
      </c>
      <c r="D722" s="10">
        <v>35697.370000000003</v>
      </c>
      <c r="E722" s="11" t="s">
        <v>79</v>
      </c>
      <c r="F722" s="12">
        <f t="shared" si="41"/>
        <v>-1.8037290698091901E-4</v>
      </c>
      <c r="I722" s="9"/>
      <c r="K722" s="11"/>
      <c r="L722" s="12"/>
      <c r="O722" s="9"/>
      <c r="Q722" s="11"/>
      <c r="R722" s="12"/>
      <c r="S722" s="12"/>
    </row>
    <row r="723" spans="3:19">
      <c r="C723" s="9">
        <v>43613</v>
      </c>
      <c r="D723" s="10">
        <v>34949.279999999999</v>
      </c>
      <c r="E723" s="11" t="s">
        <v>79</v>
      </c>
      <c r="F723" s="12">
        <f t="shared" si="41"/>
        <v>-2.0956445810993984E-2</v>
      </c>
      <c r="I723" s="9"/>
      <c r="K723" s="11"/>
      <c r="L723" s="12"/>
      <c r="O723" s="9"/>
      <c r="Q723" s="11"/>
      <c r="R723" s="12"/>
      <c r="S723" s="12"/>
    </row>
    <row r="724" spans="3:19">
      <c r="C724" s="9">
        <v>43614</v>
      </c>
      <c r="D724" s="10">
        <v>35959.43</v>
      </c>
      <c r="E724" s="11" t="s">
        <v>79</v>
      </c>
      <c r="F724" s="12">
        <f t="shared" si="41"/>
        <v>2.8903313601882585E-2</v>
      </c>
      <c r="I724" s="9"/>
      <c r="K724" s="11"/>
      <c r="L724" s="12"/>
      <c r="O724" s="9"/>
      <c r="Q724" s="11"/>
      <c r="R724" s="12"/>
      <c r="S724" s="12"/>
    </row>
    <row r="725" spans="3:19">
      <c r="C725" s="9">
        <v>43615</v>
      </c>
      <c r="D725" s="10">
        <v>35974.79</v>
      </c>
      <c r="E725" s="11" t="s">
        <v>79</v>
      </c>
      <c r="F725" s="12">
        <f t="shared" si="41"/>
        <v>4.2714803877585972E-4</v>
      </c>
      <c r="I725" s="9"/>
      <c r="K725" s="11"/>
      <c r="L725" s="12"/>
      <c r="O725" s="9"/>
      <c r="Q725" s="11"/>
      <c r="R725" s="12"/>
      <c r="S725" s="12"/>
    </row>
    <row r="726" spans="3:19">
      <c r="C726" s="9">
        <v>43619</v>
      </c>
      <c r="D726" s="10">
        <v>35505.29</v>
      </c>
      <c r="E726" s="11" t="s">
        <v>79</v>
      </c>
      <c r="F726" s="12">
        <f t="shared" si="41"/>
        <v>-1.3050805855989722E-2</v>
      </c>
      <c r="I726" s="9"/>
      <c r="K726" s="11"/>
      <c r="L726" s="12"/>
      <c r="O726" s="9"/>
      <c r="Q726" s="11"/>
      <c r="R726" s="12"/>
      <c r="S726" s="12"/>
    </row>
    <row r="727" spans="3:19">
      <c r="C727" s="9">
        <v>43626</v>
      </c>
      <c r="D727" s="10">
        <v>34567.550000000003</v>
      </c>
      <c r="E727" s="11" t="s">
        <v>79</v>
      </c>
      <c r="F727" s="12">
        <f t="shared" si="41"/>
        <v>-2.6411275615549012E-2</v>
      </c>
      <c r="I727" s="9"/>
      <c r="K727" s="11"/>
      <c r="L727" s="12"/>
      <c r="O727" s="9"/>
      <c r="Q727" s="11"/>
      <c r="R727" s="12"/>
      <c r="S727" s="12"/>
    </row>
    <row r="728" spans="3:19">
      <c r="C728" s="9">
        <v>43627</v>
      </c>
      <c r="D728" s="10">
        <v>34659.85</v>
      </c>
      <c r="E728" s="11" t="s">
        <v>79</v>
      </c>
      <c r="F728" s="12">
        <f t="shared" si="41"/>
        <v>2.6701342733284061E-3</v>
      </c>
      <c r="I728" s="9"/>
      <c r="K728" s="11"/>
      <c r="L728" s="12"/>
      <c r="O728" s="9"/>
      <c r="Q728" s="11"/>
      <c r="R728" s="12"/>
      <c r="S728" s="12"/>
    </row>
    <row r="729" spans="3:19">
      <c r="C729" s="9">
        <v>43628</v>
      </c>
      <c r="D729" s="10">
        <v>34937.93</v>
      </c>
      <c r="E729" s="11" t="s">
        <v>79</v>
      </c>
      <c r="F729" s="12">
        <f t="shared" si="41"/>
        <v>8.0231160838839521E-3</v>
      </c>
      <c r="I729" s="9"/>
      <c r="K729" s="11"/>
      <c r="L729" s="12"/>
      <c r="O729" s="9"/>
      <c r="Q729" s="11"/>
      <c r="R729" s="12"/>
      <c r="S729" s="12"/>
    </row>
    <row r="730" spans="3:19">
      <c r="C730" s="9">
        <v>43629</v>
      </c>
      <c r="D730" s="10">
        <v>35403.07</v>
      </c>
      <c r="E730" s="11" t="s">
        <v>79</v>
      </c>
      <c r="F730" s="12">
        <f t="shared" si="41"/>
        <v>1.3313324515791258E-2</v>
      </c>
      <c r="I730" s="9"/>
      <c r="K730" s="11"/>
      <c r="L730" s="12"/>
      <c r="O730" s="9"/>
      <c r="Q730" s="11"/>
      <c r="R730" s="12"/>
      <c r="S730" s="12"/>
    </row>
    <row r="731" spans="3:19">
      <c r="C731" s="9">
        <v>43630</v>
      </c>
      <c r="D731" s="10">
        <v>35572.949999999997</v>
      </c>
      <c r="E731" s="11" t="s">
        <v>79</v>
      </c>
      <c r="F731" s="12">
        <f t="shared" si="41"/>
        <v>4.7984539193917097E-3</v>
      </c>
      <c r="I731" s="9"/>
      <c r="K731" s="11"/>
      <c r="L731" s="12"/>
      <c r="O731" s="9"/>
      <c r="Q731" s="11"/>
      <c r="R731" s="12"/>
      <c r="S731" s="12"/>
    </row>
    <row r="732" spans="3:19">
      <c r="C732" s="9">
        <v>43633</v>
      </c>
      <c r="D732" s="10">
        <v>35168.82</v>
      </c>
      <c r="E732" s="11" t="s">
        <v>79</v>
      </c>
      <c r="F732" s="12">
        <f t="shared" si="41"/>
        <v>-1.1360598432235691E-2</v>
      </c>
      <c r="I732" s="9"/>
      <c r="K732" s="11"/>
      <c r="L732" s="12"/>
      <c r="O732" s="9"/>
      <c r="Q732" s="11"/>
      <c r="R732" s="12"/>
      <c r="S732" s="12"/>
    </row>
    <row r="733" spans="3:19">
      <c r="C733" s="9">
        <v>43634</v>
      </c>
      <c r="D733" s="10">
        <v>34681.72</v>
      </c>
      <c r="E733" s="11" t="s">
        <v>79</v>
      </c>
      <c r="F733" s="12">
        <f t="shared" si="41"/>
        <v>-1.3850336747152747E-2</v>
      </c>
      <c r="I733" s="9"/>
      <c r="K733" s="11"/>
      <c r="L733" s="12"/>
      <c r="O733" s="9"/>
      <c r="Q733" s="11"/>
      <c r="R733" s="12"/>
      <c r="S733" s="12"/>
    </row>
    <row r="734" spans="3:19">
      <c r="C734" s="9">
        <v>43635</v>
      </c>
      <c r="D734" s="10">
        <v>34656.120000000003</v>
      </c>
      <c r="E734" s="11" t="s">
        <v>79</v>
      </c>
      <c r="F734" s="12">
        <f t="shared" si="41"/>
        <v>-7.3814101492075679E-4</v>
      </c>
      <c r="I734" s="9"/>
      <c r="K734" s="11"/>
      <c r="L734" s="12"/>
      <c r="O734" s="9"/>
      <c r="Q734" s="11"/>
      <c r="R734" s="12"/>
      <c r="S734" s="12"/>
    </row>
    <row r="735" spans="3:19">
      <c r="C735" s="9">
        <v>43636</v>
      </c>
      <c r="D735" s="10">
        <v>34995.910000000003</v>
      </c>
      <c r="E735" s="11" t="s">
        <v>79</v>
      </c>
      <c r="F735" s="12">
        <f t="shared" si="41"/>
        <v>9.8046174817030263E-3</v>
      </c>
      <c r="I735" s="9"/>
      <c r="K735" s="11"/>
      <c r="L735" s="12"/>
      <c r="O735" s="9"/>
      <c r="Q735" s="11"/>
      <c r="R735" s="12"/>
      <c r="S735" s="12"/>
    </row>
    <row r="736" spans="3:19">
      <c r="C736" s="9">
        <v>43637</v>
      </c>
      <c r="D736" s="10">
        <v>35125.25</v>
      </c>
      <c r="E736" s="11" t="s">
        <v>79</v>
      </c>
      <c r="F736" s="12">
        <f t="shared" si="41"/>
        <v>3.69586045912218E-3</v>
      </c>
      <c r="I736" s="9"/>
      <c r="K736" s="11"/>
      <c r="L736" s="12"/>
      <c r="O736" s="9"/>
      <c r="Q736" s="11"/>
      <c r="R736" s="12"/>
      <c r="S736" s="12"/>
    </row>
    <row r="737" spans="3:19">
      <c r="C737" s="9">
        <v>43640</v>
      </c>
      <c r="D737" s="10">
        <v>34471.949999999997</v>
      </c>
      <c r="E737" s="11" t="s">
        <v>79</v>
      </c>
      <c r="F737" s="12">
        <f t="shared" si="41"/>
        <v>-1.859915587789418E-2</v>
      </c>
      <c r="I737" s="9"/>
      <c r="K737" s="11"/>
      <c r="L737" s="12"/>
      <c r="O737" s="9"/>
      <c r="Q737" s="11"/>
      <c r="R737" s="12"/>
      <c r="S737" s="12"/>
    </row>
    <row r="738" spans="3:19">
      <c r="C738" s="9">
        <v>43641</v>
      </c>
      <c r="D738" s="10">
        <v>34190.620000000003</v>
      </c>
      <c r="E738" s="11" t="s">
        <v>79</v>
      </c>
      <c r="F738" s="12">
        <f t="shared" si="41"/>
        <v>-8.1611281056045426E-3</v>
      </c>
      <c r="I738" s="9"/>
      <c r="K738" s="11"/>
      <c r="L738" s="12"/>
      <c r="O738" s="9"/>
      <c r="Q738" s="11"/>
      <c r="R738" s="12"/>
      <c r="S738" s="12"/>
    </row>
    <row r="739" spans="3:19">
      <c r="C739" s="9">
        <v>43642</v>
      </c>
      <c r="D739" s="10">
        <v>34088.559999999998</v>
      </c>
      <c r="E739" s="11" t="s">
        <v>79</v>
      </c>
      <c r="F739" s="12">
        <f t="shared" si="41"/>
        <v>-2.985029227314584E-3</v>
      </c>
      <c r="I739" s="9"/>
      <c r="K739" s="11"/>
      <c r="L739" s="12"/>
      <c r="O739" s="9"/>
      <c r="Q739" s="11"/>
      <c r="R739" s="12"/>
      <c r="S739" s="12"/>
    </row>
    <row r="740" spans="3:19">
      <c r="C740" s="9">
        <v>43643</v>
      </c>
      <c r="D740" s="10">
        <v>33774.42</v>
      </c>
      <c r="E740" s="11" t="s">
        <v>79</v>
      </c>
      <c r="F740" s="12">
        <f t="shared" si="41"/>
        <v>-9.2154083364037742E-3</v>
      </c>
      <c r="I740" s="9"/>
      <c r="K740" s="11"/>
      <c r="L740" s="12"/>
      <c r="O740" s="9"/>
      <c r="Q740" s="11"/>
      <c r="R740" s="12"/>
      <c r="S740" s="12"/>
    </row>
    <row r="741" spans="3:19">
      <c r="C741" s="9">
        <v>43644</v>
      </c>
      <c r="D741" s="10">
        <v>33901.58</v>
      </c>
      <c r="E741" s="11" t="s">
        <v>79</v>
      </c>
      <c r="F741" s="12">
        <f t="shared" si="41"/>
        <v>3.764979531847068E-3</v>
      </c>
      <c r="I741" s="9"/>
      <c r="K741" s="11"/>
      <c r="L741" s="12"/>
      <c r="O741" s="9"/>
      <c r="Q741" s="11"/>
      <c r="R741" s="12"/>
      <c r="S741" s="12"/>
    </row>
    <row r="742" spans="3:19">
      <c r="C742" s="9">
        <v>43647</v>
      </c>
      <c r="D742" s="10">
        <v>33996.33</v>
      </c>
      <c r="E742" s="11" t="s">
        <v>79</v>
      </c>
      <c r="F742" s="12">
        <f t="shared" si="41"/>
        <v>2.7948549890595142E-3</v>
      </c>
      <c r="I742" s="9"/>
      <c r="K742" s="11"/>
      <c r="L742" s="12"/>
      <c r="O742" s="9"/>
      <c r="Q742" s="11"/>
      <c r="R742" s="12"/>
      <c r="S742" s="12"/>
    </row>
    <row r="743" spans="3:19">
      <c r="C743" s="9">
        <v>43648</v>
      </c>
      <c r="D743" s="10">
        <v>34307.11</v>
      </c>
      <c r="E743" s="11" t="s">
        <v>79</v>
      </c>
      <c r="F743" s="12">
        <f t="shared" si="41"/>
        <v>9.1415749876531116E-3</v>
      </c>
      <c r="I743" s="9"/>
      <c r="K743" s="11"/>
      <c r="L743" s="12"/>
      <c r="O743" s="9"/>
      <c r="Q743" s="11"/>
      <c r="R743" s="12"/>
      <c r="S743" s="12"/>
    </row>
    <row r="744" spans="3:19">
      <c r="C744" s="9">
        <v>43649</v>
      </c>
      <c r="D744" s="10">
        <v>34896.550000000003</v>
      </c>
      <c r="E744" s="11" t="s">
        <v>79</v>
      </c>
      <c r="F744" s="12">
        <f t="shared" si="41"/>
        <v>1.7181278166537473E-2</v>
      </c>
      <c r="I744" s="9"/>
      <c r="K744" s="11"/>
      <c r="L744" s="12"/>
      <c r="O744" s="9"/>
      <c r="Q744" s="11"/>
      <c r="R744" s="12"/>
      <c r="S744" s="12"/>
    </row>
    <row r="745" spans="3:19">
      <c r="C745" s="9">
        <v>43650</v>
      </c>
      <c r="D745" s="10">
        <v>34570.620000000003</v>
      </c>
      <c r="E745" s="11" t="s">
        <v>79</v>
      </c>
      <c r="F745" s="12">
        <f t="shared" si="41"/>
        <v>-9.3398917658049641E-3</v>
      </c>
      <c r="I745" s="9"/>
      <c r="K745" s="11"/>
      <c r="L745" s="12"/>
      <c r="O745" s="9"/>
      <c r="Q745" s="11"/>
      <c r="R745" s="12"/>
      <c r="S745" s="12"/>
    </row>
    <row r="746" spans="3:19">
      <c r="C746" s="9">
        <v>43651</v>
      </c>
      <c r="D746" s="10">
        <v>34190.019999999997</v>
      </c>
      <c r="E746" s="11" t="s">
        <v>79</v>
      </c>
      <c r="F746" s="12">
        <f t="shared" si="41"/>
        <v>-1.1009348400462748E-2</v>
      </c>
      <c r="I746" s="9"/>
      <c r="K746" s="11"/>
      <c r="L746" s="12"/>
      <c r="O746" s="9"/>
      <c r="Q746" s="11"/>
      <c r="R746" s="12"/>
      <c r="S746" s="12"/>
    </row>
    <row r="747" spans="3:19">
      <c r="C747" s="9">
        <v>43654</v>
      </c>
      <c r="D747" s="10">
        <v>33742.68</v>
      </c>
      <c r="E747" s="11" t="s">
        <v>79</v>
      </c>
      <c r="F747" s="12">
        <f t="shared" si="41"/>
        <v>-1.308393501963423E-2</v>
      </c>
      <c r="I747" s="9"/>
      <c r="K747" s="11"/>
      <c r="L747" s="12"/>
      <c r="O747" s="9"/>
      <c r="Q747" s="11"/>
      <c r="R747" s="12"/>
      <c r="S747" s="12"/>
    </row>
    <row r="748" spans="3:19">
      <c r="C748" s="9">
        <v>43655</v>
      </c>
      <c r="D748" s="10">
        <v>33855.58</v>
      </c>
      <c r="E748" s="11" t="s">
        <v>79</v>
      </c>
      <c r="F748" s="12">
        <f t="shared" si="41"/>
        <v>3.3459108760773848E-3</v>
      </c>
      <c r="I748" s="9"/>
      <c r="K748" s="11"/>
      <c r="L748" s="12"/>
      <c r="O748" s="9"/>
      <c r="Q748" s="11"/>
      <c r="R748" s="12"/>
      <c r="S748" s="12"/>
    </row>
    <row r="749" spans="3:19">
      <c r="C749" s="9">
        <v>43656</v>
      </c>
      <c r="D749" s="10">
        <v>33840.050000000003</v>
      </c>
      <c r="E749" s="11" t="s">
        <v>79</v>
      </c>
      <c r="F749" s="12">
        <f t="shared" si="41"/>
        <v>-4.5871315747647579E-4</v>
      </c>
      <c r="I749" s="9"/>
      <c r="K749" s="11"/>
      <c r="L749" s="12"/>
      <c r="O749" s="9"/>
      <c r="Q749" s="11"/>
      <c r="R749" s="12"/>
      <c r="S749" s="12"/>
    </row>
    <row r="750" spans="3:19">
      <c r="C750" s="9">
        <v>43657</v>
      </c>
      <c r="D750" s="10">
        <v>33875.4</v>
      </c>
      <c r="E750" s="11" t="s">
        <v>79</v>
      </c>
      <c r="F750" s="12">
        <f t="shared" si="41"/>
        <v>1.0446202059393173E-3</v>
      </c>
      <c r="I750" s="9"/>
      <c r="K750" s="11"/>
      <c r="L750" s="12"/>
      <c r="O750" s="9"/>
      <c r="Q750" s="11"/>
      <c r="R750" s="12"/>
      <c r="S750" s="12"/>
    </row>
    <row r="751" spans="3:19">
      <c r="C751" s="9">
        <v>43658</v>
      </c>
      <c r="D751" s="10">
        <v>33672.49</v>
      </c>
      <c r="E751" s="11" t="s">
        <v>79</v>
      </c>
      <c r="F751" s="12">
        <f t="shared" si="41"/>
        <v>-5.9898923702746965E-3</v>
      </c>
      <c r="I751" s="9"/>
      <c r="K751" s="11"/>
      <c r="L751" s="12"/>
      <c r="O751" s="9"/>
      <c r="Q751" s="11"/>
      <c r="R751" s="12"/>
      <c r="S751" s="12"/>
    </row>
    <row r="752" spans="3:19">
      <c r="C752" s="9">
        <v>43661</v>
      </c>
      <c r="D752" s="10">
        <v>32958.35</v>
      </c>
      <c r="E752" s="11" t="s">
        <v>79</v>
      </c>
      <c r="F752" s="12">
        <f t="shared" si="41"/>
        <v>-2.1208410782808107E-2</v>
      </c>
      <c r="I752" s="9"/>
      <c r="K752" s="11"/>
      <c r="L752" s="12"/>
      <c r="O752" s="9"/>
      <c r="Q752" s="11"/>
      <c r="R752" s="12"/>
      <c r="S752" s="12"/>
    </row>
    <row r="753" spans="3:19">
      <c r="C753" s="9">
        <v>43662</v>
      </c>
      <c r="D753" s="10">
        <v>32972.019999999997</v>
      </c>
      <c r="E753" s="11" t="s">
        <v>79</v>
      </c>
      <c r="F753" s="12">
        <f t="shared" si="41"/>
        <v>4.1476590909428346E-4</v>
      </c>
      <c r="I753" s="9"/>
      <c r="K753" s="11"/>
      <c r="L753" s="12"/>
      <c r="O753" s="9"/>
      <c r="Q753" s="11"/>
      <c r="R753" s="12"/>
      <c r="S753" s="12"/>
    </row>
    <row r="754" spans="3:19">
      <c r="C754" s="9">
        <v>43663</v>
      </c>
      <c r="D754" s="10">
        <v>32981.99</v>
      </c>
      <c r="E754" s="11" t="s">
        <v>79</v>
      </c>
      <c r="F754" s="12">
        <f t="shared" si="41"/>
        <v>3.0237759166706901E-4</v>
      </c>
      <c r="I754" s="9"/>
      <c r="K754" s="11"/>
      <c r="L754" s="12"/>
      <c r="O754" s="9"/>
      <c r="Q754" s="11"/>
      <c r="R754" s="12"/>
      <c r="S754" s="12"/>
    </row>
    <row r="755" spans="3:19">
      <c r="C755" s="9">
        <v>43664</v>
      </c>
      <c r="D755" s="10">
        <v>32309.54</v>
      </c>
      <c r="E755" s="11" t="s">
        <v>79</v>
      </c>
      <c r="F755" s="12">
        <f t="shared" si="41"/>
        <v>-2.0388399850948868E-2</v>
      </c>
      <c r="I755" s="9"/>
      <c r="K755" s="11"/>
      <c r="L755" s="12"/>
      <c r="O755" s="9"/>
      <c r="Q755" s="11"/>
      <c r="R755" s="12"/>
      <c r="S755" s="12"/>
    </row>
    <row r="756" spans="3:19">
      <c r="C756" s="9">
        <v>43665</v>
      </c>
      <c r="D756" s="10">
        <v>32458.77</v>
      </c>
      <c r="E756" s="11" t="s">
        <v>79</v>
      </c>
      <c r="F756" s="12">
        <f t="shared" si="41"/>
        <v>4.6187596604594372E-3</v>
      </c>
      <c r="I756" s="9"/>
      <c r="K756" s="11"/>
      <c r="L756" s="12"/>
      <c r="O756" s="9"/>
      <c r="Q756" s="11"/>
      <c r="R756" s="12"/>
      <c r="S756" s="12"/>
    </row>
    <row r="757" spans="3:19">
      <c r="C757" s="9">
        <v>43668</v>
      </c>
      <c r="D757" s="10">
        <v>32584.55</v>
      </c>
      <c r="E757" s="11" t="s">
        <v>79</v>
      </c>
      <c r="F757" s="12">
        <f t="shared" si="41"/>
        <v>3.8750698193430466E-3</v>
      </c>
      <c r="I757" s="9"/>
      <c r="K757" s="11"/>
      <c r="L757" s="12"/>
      <c r="O757" s="9"/>
      <c r="Q757" s="11"/>
      <c r="R757" s="12"/>
      <c r="S757" s="12"/>
    </row>
    <row r="758" spans="3:19">
      <c r="C758" s="9">
        <v>43669</v>
      </c>
      <c r="D758" s="10">
        <v>32715.88</v>
      </c>
      <c r="E758" s="11" t="s">
        <v>79</v>
      </c>
      <c r="F758" s="12">
        <f t="shared" si="41"/>
        <v>4.03043773813061E-3</v>
      </c>
      <c r="I758" s="9"/>
      <c r="K758" s="11"/>
      <c r="L758" s="12"/>
      <c r="O758" s="9"/>
      <c r="Q758" s="11"/>
      <c r="R758" s="12"/>
      <c r="S758" s="12"/>
    </row>
    <row r="759" spans="3:19">
      <c r="C759" s="9">
        <v>43670</v>
      </c>
      <c r="D759" s="10">
        <v>32401.4</v>
      </c>
      <c r="E759" s="11" t="s">
        <v>79</v>
      </c>
      <c r="F759" s="12">
        <f t="shared" si="41"/>
        <v>-9.6124573143072656E-3</v>
      </c>
      <c r="I759" s="9"/>
      <c r="K759" s="11"/>
      <c r="L759" s="12"/>
      <c r="O759" s="9"/>
      <c r="Q759" s="11"/>
      <c r="R759" s="12"/>
      <c r="S759" s="12"/>
    </row>
    <row r="760" spans="3:19">
      <c r="C760" s="9">
        <v>43671</v>
      </c>
      <c r="D760" s="10">
        <v>32446.400000000001</v>
      </c>
      <c r="E760" s="11" t="s">
        <v>79</v>
      </c>
      <c r="F760" s="12">
        <f t="shared" si="41"/>
        <v>1.3888288777645919E-3</v>
      </c>
      <c r="I760" s="9"/>
      <c r="K760" s="11"/>
      <c r="L760" s="12"/>
      <c r="O760" s="9"/>
      <c r="Q760" s="11"/>
      <c r="R760" s="12"/>
      <c r="S760" s="12"/>
    </row>
    <row r="761" spans="3:19">
      <c r="C761" s="9">
        <v>43672</v>
      </c>
      <c r="D761" s="10">
        <v>32103.27</v>
      </c>
      <c r="E761" s="11" t="s">
        <v>79</v>
      </c>
      <c r="F761" s="12">
        <f t="shared" si="41"/>
        <v>-1.0575287242960751E-2</v>
      </c>
      <c r="I761" s="9"/>
      <c r="K761" s="11"/>
      <c r="L761" s="12"/>
      <c r="O761" s="9"/>
      <c r="Q761" s="11"/>
      <c r="R761" s="12"/>
      <c r="S761" s="12"/>
    </row>
    <row r="762" spans="3:19">
      <c r="C762" s="9">
        <v>43675</v>
      </c>
      <c r="D762" s="10">
        <v>31734.23</v>
      </c>
      <c r="E762" s="11" t="s">
        <v>79</v>
      </c>
      <c r="F762" s="12">
        <f t="shared" si="41"/>
        <v>-1.1495402181771586E-2</v>
      </c>
      <c r="I762" s="9"/>
      <c r="K762" s="11"/>
      <c r="L762" s="12"/>
      <c r="O762" s="9"/>
      <c r="Q762" s="11"/>
      <c r="R762" s="12"/>
      <c r="S762" s="12"/>
    </row>
    <row r="763" spans="3:19">
      <c r="C763" s="9">
        <v>43676</v>
      </c>
      <c r="D763" s="10">
        <v>31658.12</v>
      </c>
      <c r="E763" s="11" t="s">
        <v>79</v>
      </c>
      <c r="F763" s="12">
        <f t="shared" si="41"/>
        <v>-2.3983566010582491E-3</v>
      </c>
      <c r="I763" s="9"/>
      <c r="K763" s="11"/>
      <c r="L763" s="12"/>
      <c r="O763" s="9"/>
      <c r="Q763" s="11"/>
      <c r="R763" s="12"/>
      <c r="S763" s="12"/>
    </row>
    <row r="764" spans="3:19">
      <c r="C764" s="9">
        <v>43677</v>
      </c>
      <c r="D764" s="10">
        <v>31938.48</v>
      </c>
      <c r="E764" s="11" t="s">
        <v>79</v>
      </c>
      <c r="F764" s="12">
        <f t="shared" si="41"/>
        <v>8.8558638352498331E-3</v>
      </c>
      <c r="I764" s="9"/>
      <c r="K764" s="11"/>
      <c r="L764" s="12"/>
      <c r="O764" s="9"/>
      <c r="Q764" s="11"/>
      <c r="R764" s="12"/>
      <c r="S764" s="12"/>
    </row>
    <row r="765" spans="3:19">
      <c r="C765" s="9">
        <v>43678</v>
      </c>
      <c r="D765" s="10">
        <v>31839.11</v>
      </c>
      <c r="E765" s="11" t="s">
        <v>79</v>
      </c>
      <c r="F765" s="12">
        <f t="shared" si="41"/>
        <v>-3.1112939626432023E-3</v>
      </c>
      <c r="I765" s="9"/>
      <c r="K765" s="11"/>
      <c r="L765" s="12"/>
      <c r="O765" s="9"/>
      <c r="Q765" s="11"/>
      <c r="R765" s="12"/>
      <c r="S765" s="12"/>
    </row>
    <row r="766" spans="3:19">
      <c r="C766" s="9">
        <v>43679</v>
      </c>
      <c r="D766" s="10">
        <v>31666.41</v>
      </c>
      <c r="E766" s="11" t="s">
        <v>79</v>
      </c>
      <c r="F766" s="12">
        <f t="shared" si="41"/>
        <v>-5.4241465920372711E-3</v>
      </c>
      <c r="I766" s="9"/>
      <c r="K766" s="11"/>
      <c r="L766" s="12"/>
      <c r="O766" s="9"/>
      <c r="Q766" s="11"/>
      <c r="R766" s="12"/>
      <c r="S766" s="12"/>
    </row>
    <row r="767" spans="3:19">
      <c r="C767" s="9">
        <v>43682</v>
      </c>
      <c r="D767" s="10">
        <v>31180.799999999999</v>
      </c>
      <c r="E767" s="11" t="s">
        <v>79</v>
      </c>
      <c r="F767" s="12">
        <f t="shared" si="41"/>
        <v>-1.5335176927223526E-2</v>
      </c>
      <c r="I767" s="9"/>
      <c r="K767" s="11"/>
      <c r="L767" s="12"/>
      <c r="O767" s="9"/>
      <c r="Q767" s="11"/>
      <c r="R767" s="12"/>
      <c r="S767" s="12"/>
    </row>
    <row r="768" spans="3:19">
      <c r="C768" s="9">
        <v>43683</v>
      </c>
      <c r="D768" s="10">
        <v>31000.67</v>
      </c>
      <c r="E768" s="11" t="s">
        <v>79</v>
      </c>
      <c r="F768" s="12">
        <f t="shared" si="41"/>
        <v>-5.7769524835796782E-3</v>
      </c>
      <c r="I768" s="9"/>
      <c r="K768" s="11"/>
      <c r="L768" s="12"/>
      <c r="O768" s="9"/>
      <c r="Q768" s="11"/>
      <c r="R768" s="12"/>
      <c r="S768" s="12"/>
    </row>
    <row r="769" spans="3:19">
      <c r="C769" s="9">
        <v>43684</v>
      </c>
      <c r="D769" s="10">
        <v>30277.45</v>
      </c>
      <c r="E769" s="11" t="s">
        <v>79</v>
      </c>
      <c r="F769" s="12">
        <f t="shared" si="41"/>
        <v>-2.3329173208191833E-2</v>
      </c>
      <c r="I769" s="9"/>
      <c r="K769" s="11"/>
      <c r="L769" s="12"/>
      <c r="O769" s="9"/>
      <c r="Q769" s="11"/>
      <c r="R769" s="12"/>
      <c r="S769" s="12"/>
    </row>
    <row r="770" spans="3:19">
      <c r="C770" s="9">
        <v>43685</v>
      </c>
      <c r="D770" s="10">
        <v>29737.98</v>
      </c>
      <c r="E770" s="11" t="s">
        <v>79</v>
      </c>
      <c r="F770" s="12">
        <f t="shared" si="41"/>
        <v>-1.7817550685411132E-2</v>
      </c>
      <c r="I770" s="9"/>
      <c r="K770" s="11"/>
      <c r="L770" s="12"/>
      <c r="O770" s="9"/>
      <c r="Q770" s="11"/>
      <c r="R770" s="12"/>
      <c r="S770" s="12"/>
    </row>
    <row r="771" spans="3:19">
      <c r="C771" s="9">
        <v>43686</v>
      </c>
      <c r="D771" s="10">
        <v>29429.07</v>
      </c>
      <c r="E771" s="11" t="s">
        <v>79</v>
      </c>
      <c r="F771" s="12">
        <f t="shared" si="41"/>
        <v>-1.0387726402398489E-2</v>
      </c>
      <c r="I771" s="9"/>
      <c r="K771" s="11"/>
      <c r="L771" s="12"/>
      <c r="O771" s="9"/>
      <c r="Q771" s="11"/>
      <c r="R771" s="12"/>
      <c r="S771" s="12"/>
    </row>
    <row r="772" spans="3:19">
      <c r="C772" s="9">
        <v>43693</v>
      </c>
      <c r="D772" s="10">
        <v>28764.63</v>
      </c>
      <c r="E772" s="11" t="s">
        <v>79</v>
      </c>
      <c r="F772" s="12">
        <f t="shared" si="41"/>
        <v>-2.2577675747143866E-2</v>
      </c>
      <c r="I772" s="9"/>
      <c r="K772" s="11"/>
      <c r="L772" s="12"/>
      <c r="O772" s="9"/>
      <c r="Q772" s="11"/>
      <c r="R772" s="12"/>
      <c r="S772" s="12"/>
    </row>
    <row r="773" spans="3:19">
      <c r="C773" s="9">
        <v>43696</v>
      </c>
      <c r="D773" s="10">
        <v>29562.42</v>
      </c>
      <c r="E773" s="11" t="s">
        <v>79</v>
      </c>
      <c r="F773" s="12">
        <f t="shared" si="41"/>
        <v>2.7735103841071362E-2</v>
      </c>
      <c r="I773" s="9"/>
      <c r="K773" s="11"/>
      <c r="L773" s="12"/>
      <c r="O773" s="9"/>
      <c r="Q773" s="11"/>
      <c r="R773" s="12"/>
      <c r="S773" s="12"/>
    </row>
    <row r="774" spans="3:19">
      <c r="C774" s="9">
        <v>43697</v>
      </c>
      <c r="D774" s="10">
        <v>30419.22</v>
      </c>
      <c r="E774" s="11" t="s">
        <v>79</v>
      </c>
      <c r="F774" s="12">
        <f t="shared" si="41"/>
        <v>2.8982742278879758E-2</v>
      </c>
      <c r="I774" s="9"/>
      <c r="K774" s="11"/>
      <c r="L774" s="12"/>
      <c r="O774" s="9"/>
      <c r="Q774" s="11"/>
      <c r="R774" s="12"/>
      <c r="S774" s="12"/>
    </row>
    <row r="775" spans="3:19">
      <c r="C775" s="9">
        <v>43698</v>
      </c>
      <c r="D775" s="10">
        <v>30972.75</v>
      </c>
      <c r="E775" s="11" t="s">
        <v>79</v>
      </c>
      <c r="F775" s="12">
        <f t="shared" ref="F775:F838" si="42">D775/D774-1</f>
        <v>1.819671904802278E-2</v>
      </c>
      <c r="I775" s="9"/>
      <c r="K775" s="11"/>
      <c r="L775" s="12"/>
      <c r="O775" s="9"/>
      <c r="Q775" s="11"/>
      <c r="R775" s="12"/>
      <c r="S775" s="12"/>
    </row>
    <row r="776" spans="3:19">
      <c r="C776" s="9">
        <v>43699</v>
      </c>
      <c r="D776" s="10">
        <v>31884.45</v>
      </c>
      <c r="E776" s="11" t="s">
        <v>79</v>
      </c>
      <c r="F776" s="12">
        <f t="shared" si="42"/>
        <v>2.9435552219289507E-2</v>
      </c>
      <c r="I776" s="9"/>
      <c r="K776" s="11"/>
      <c r="L776" s="12"/>
      <c r="O776" s="9"/>
      <c r="Q776" s="11"/>
      <c r="R776" s="12"/>
      <c r="S776" s="12"/>
    </row>
    <row r="777" spans="3:19">
      <c r="C777" s="9">
        <v>43700</v>
      </c>
      <c r="D777" s="10">
        <v>31350.01</v>
      </c>
      <c r="E777" s="11" t="s">
        <v>79</v>
      </c>
      <c r="F777" s="12">
        <f t="shared" si="42"/>
        <v>-1.6761775724530414E-2</v>
      </c>
      <c r="I777" s="9"/>
      <c r="K777" s="11"/>
      <c r="L777" s="12"/>
      <c r="O777" s="9"/>
      <c r="Q777" s="11"/>
      <c r="R777" s="12"/>
      <c r="S777" s="12"/>
    </row>
    <row r="778" spans="3:19">
      <c r="C778" s="9">
        <v>43703</v>
      </c>
      <c r="D778" s="10">
        <v>30520.6</v>
      </c>
      <c r="E778" s="11" t="s">
        <v>79</v>
      </c>
      <c r="F778" s="12">
        <f t="shared" si="42"/>
        <v>-2.6456450891084282E-2</v>
      </c>
      <c r="I778" s="9"/>
      <c r="K778" s="11"/>
      <c r="L778" s="12"/>
      <c r="O778" s="9"/>
      <c r="Q778" s="11"/>
      <c r="R778" s="12"/>
      <c r="S778" s="12"/>
    </row>
    <row r="779" spans="3:19">
      <c r="C779" s="9">
        <v>43704</v>
      </c>
      <c r="D779" s="10">
        <v>30584.85</v>
      </c>
      <c r="E779" s="11" t="s">
        <v>79</v>
      </c>
      <c r="F779" s="12">
        <f t="shared" si="42"/>
        <v>2.1051355477939016E-3</v>
      </c>
      <c r="I779" s="9"/>
      <c r="K779" s="11"/>
      <c r="L779" s="12"/>
      <c r="O779" s="9"/>
      <c r="Q779" s="11"/>
      <c r="R779" s="12"/>
      <c r="S779" s="12"/>
    </row>
    <row r="780" spans="3:19">
      <c r="C780" s="9">
        <v>43705</v>
      </c>
      <c r="D780" s="10">
        <v>30637.71</v>
      </c>
      <c r="E780" s="11" t="s">
        <v>79</v>
      </c>
      <c r="F780" s="12">
        <f t="shared" si="42"/>
        <v>1.7283066616315956E-3</v>
      </c>
      <c r="I780" s="9"/>
      <c r="K780" s="11"/>
      <c r="L780" s="12"/>
      <c r="O780" s="9"/>
      <c r="Q780" s="11"/>
      <c r="R780" s="12"/>
      <c r="S780" s="12"/>
    </row>
    <row r="781" spans="3:19">
      <c r="C781" s="9">
        <v>43706</v>
      </c>
      <c r="D781" s="10">
        <v>30158.959999999999</v>
      </c>
      <c r="E781" s="11" t="s">
        <v>79</v>
      </c>
      <c r="F781" s="12">
        <f t="shared" si="42"/>
        <v>-1.5626167882651809E-2</v>
      </c>
      <c r="I781" s="9"/>
      <c r="K781" s="11"/>
      <c r="L781" s="12"/>
      <c r="O781" s="9"/>
      <c r="Q781" s="11"/>
      <c r="R781" s="12"/>
      <c r="S781" s="12"/>
    </row>
    <row r="782" spans="3:19">
      <c r="C782" s="9">
        <v>43707</v>
      </c>
      <c r="D782" s="10">
        <v>29672.12</v>
      </c>
      <c r="E782" s="11" t="s">
        <v>79</v>
      </c>
      <c r="F782" s="12">
        <f t="shared" si="42"/>
        <v>-1.6142466451097737E-2</v>
      </c>
      <c r="I782" s="9"/>
      <c r="K782" s="11"/>
      <c r="L782" s="12"/>
      <c r="O782" s="9"/>
      <c r="Q782" s="11"/>
      <c r="R782" s="12"/>
      <c r="S782" s="12"/>
    </row>
    <row r="783" spans="3:19">
      <c r="C783" s="9">
        <v>43710</v>
      </c>
      <c r="D783" s="10">
        <v>30057.29</v>
      </c>
      <c r="E783" s="11" t="s">
        <v>79</v>
      </c>
      <c r="F783" s="12">
        <f t="shared" si="42"/>
        <v>1.2980872280106803E-2</v>
      </c>
      <c r="I783" s="9"/>
      <c r="K783" s="11"/>
      <c r="L783" s="12"/>
      <c r="O783" s="9"/>
      <c r="Q783" s="11"/>
      <c r="R783" s="12"/>
      <c r="S783" s="12"/>
    </row>
    <row r="784" spans="3:19">
      <c r="C784" s="9">
        <v>43711</v>
      </c>
      <c r="D784" s="10">
        <v>29809.68</v>
      </c>
      <c r="E784" s="11" t="s">
        <v>79</v>
      </c>
      <c r="F784" s="12">
        <f t="shared" si="42"/>
        <v>-8.237934956877413E-3</v>
      </c>
      <c r="I784" s="9"/>
      <c r="K784" s="11"/>
      <c r="L784" s="12"/>
      <c r="O784" s="9"/>
      <c r="Q784" s="11"/>
      <c r="R784" s="12"/>
      <c r="S784" s="12"/>
    </row>
    <row r="785" spans="3:19">
      <c r="C785" s="9">
        <v>43712</v>
      </c>
      <c r="D785" s="10">
        <v>30244.73</v>
      </c>
      <c r="E785" s="11" t="s">
        <v>79</v>
      </c>
      <c r="F785" s="12">
        <f t="shared" si="42"/>
        <v>1.4594252605194091E-2</v>
      </c>
      <c r="I785" s="9"/>
      <c r="K785" s="11"/>
      <c r="L785" s="12"/>
      <c r="O785" s="9"/>
      <c r="Q785" s="11"/>
      <c r="R785" s="12"/>
      <c r="S785" s="12"/>
    </row>
    <row r="786" spans="3:19">
      <c r="C786" s="9">
        <v>43713</v>
      </c>
      <c r="D786" s="10">
        <v>30214.77</v>
      </c>
      <c r="E786" s="11" t="s">
        <v>79</v>
      </c>
      <c r="F786" s="12">
        <f t="shared" si="42"/>
        <v>-9.9058579792243862E-4</v>
      </c>
      <c r="I786" s="9"/>
      <c r="K786" s="11"/>
      <c r="L786" s="12"/>
      <c r="O786" s="9"/>
      <c r="Q786" s="11"/>
      <c r="R786" s="12"/>
      <c r="S786" s="12"/>
    </row>
    <row r="787" spans="3:19">
      <c r="C787" s="9">
        <v>43714</v>
      </c>
      <c r="D787" s="10">
        <v>30467.200000000001</v>
      </c>
      <c r="E787" s="11" t="s">
        <v>79</v>
      </c>
      <c r="F787" s="12">
        <f t="shared" si="42"/>
        <v>8.3545233010213771E-3</v>
      </c>
      <c r="I787" s="9"/>
      <c r="K787" s="11"/>
      <c r="L787" s="12"/>
      <c r="O787" s="9"/>
      <c r="Q787" s="11"/>
      <c r="R787" s="12"/>
      <c r="S787" s="12"/>
    </row>
    <row r="788" spans="3:19">
      <c r="C788" s="9">
        <v>43719</v>
      </c>
      <c r="D788" s="10">
        <v>30954.83</v>
      </c>
      <c r="E788" s="11" t="s">
        <v>79</v>
      </c>
      <c r="F788" s="12">
        <f t="shared" si="42"/>
        <v>1.600508087385788E-2</v>
      </c>
      <c r="I788" s="9"/>
      <c r="K788" s="11"/>
      <c r="L788" s="12"/>
      <c r="O788" s="9"/>
      <c r="Q788" s="11"/>
      <c r="R788" s="12"/>
      <c r="S788" s="12"/>
    </row>
    <row r="789" spans="3:19">
      <c r="C789" s="9">
        <v>43720</v>
      </c>
      <c r="D789" s="10">
        <v>31546.61</v>
      </c>
      <c r="E789" s="11" t="s">
        <v>79</v>
      </c>
      <c r="F789" s="12">
        <f t="shared" si="42"/>
        <v>1.9117533515771168E-2</v>
      </c>
      <c r="I789" s="9"/>
      <c r="K789" s="11"/>
      <c r="L789" s="12"/>
      <c r="O789" s="9"/>
      <c r="Q789" s="11"/>
      <c r="R789" s="12"/>
      <c r="S789" s="12"/>
    </row>
    <row r="790" spans="3:19">
      <c r="C790" s="9">
        <v>43721</v>
      </c>
      <c r="D790" s="10">
        <v>31481.31</v>
      </c>
      <c r="E790" s="11" t="s">
        <v>79</v>
      </c>
      <c r="F790" s="12">
        <f t="shared" si="42"/>
        <v>-2.0699529997042498E-3</v>
      </c>
      <c r="I790" s="9"/>
      <c r="K790" s="11"/>
      <c r="L790" s="12"/>
      <c r="O790" s="9"/>
      <c r="Q790" s="11"/>
      <c r="R790" s="12"/>
      <c r="S790" s="12"/>
    </row>
    <row r="791" spans="3:19">
      <c r="C791" s="9">
        <v>43724</v>
      </c>
      <c r="D791" s="10">
        <v>31928.55</v>
      </c>
      <c r="E791" s="11" t="s">
        <v>79</v>
      </c>
      <c r="F791" s="12">
        <f t="shared" si="42"/>
        <v>1.4206524442597734E-2</v>
      </c>
      <c r="I791" s="9"/>
      <c r="K791" s="11"/>
      <c r="L791" s="12"/>
      <c r="O791" s="9"/>
      <c r="Q791" s="11"/>
      <c r="R791" s="12"/>
      <c r="S791" s="12"/>
    </row>
    <row r="792" spans="3:19">
      <c r="C792" s="9">
        <v>43725</v>
      </c>
      <c r="D792" s="10">
        <v>31908.92</v>
      </c>
      <c r="E792" s="11" t="s">
        <v>79</v>
      </c>
      <c r="F792" s="12">
        <f t="shared" si="42"/>
        <v>-6.1481025602483363E-4</v>
      </c>
      <c r="I792" s="9"/>
      <c r="K792" s="11"/>
      <c r="L792" s="12"/>
      <c r="O792" s="9"/>
      <c r="Q792" s="11"/>
      <c r="R792" s="12"/>
      <c r="S792" s="12"/>
    </row>
    <row r="793" spans="3:19">
      <c r="C793" s="9">
        <v>43726</v>
      </c>
      <c r="D793" s="10">
        <v>31555.47</v>
      </c>
      <c r="E793" s="11" t="s">
        <v>79</v>
      </c>
      <c r="F793" s="12">
        <f t="shared" si="42"/>
        <v>-1.1076839955723838E-2</v>
      </c>
      <c r="I793" s="9"/>
      <c r="K793" s="11"/>
      <c r="L793" s="12"/>
      <c r="O793" s="9"/>
      <c r="Q793" s="11"/>
      <c r="R793" s="12"/>
      <c r="S793" s="12"/>
    </row>
    <row r="794" spans="3:19">
      <c r="C794" s="9">
        <v>43727</v>
      </c>
      <c r="D794" s="10">
        <v>32184.03</v>
      </c>
      <c r="E794" s="11" t="s">
        <v>79</v>
      </c>
      <c r="F794" s="12">
        <f t="shared" si="42"/>
        <v>1.9919208935883281E-2</v>
      </c>
      <c r="I794" s="9"/>
      <c r="K794" s="11"/>
      <c r="L794" s="12"/>
      <c r="O794" s="9"/>
      <c r="Q794" s="11"/>
      <c r="R794" s="12"/>
      <c r="S794" s="12"/>
    </row>
    <row r="795" spans="3:19">
      <c r="C795" s="9">
        <v>43728</v>
      </c>
      <c r="D795" s="10">
        <v>32111.1</v>
      </c>
      <c r="E795" s="11" t="s">
        <v>79</v>
      </c>
      <c r="F795" s="12">
        <f t="shared" si="42"/>
        <v>-2.2660306990764933E-3</v>
      </c>
      <c r="I795" s="9"/>
      <c r="K795" s="11"/>
      <c r="L795" s="12"/>
      <c r="O795" s="9"/>
      <c r="Q795" s="11"/>
      <c r="R795" s="12"/>
      <c r="S795" s="12"/>
    </row>
    <row r="796" spans="3:19">
      <c r="C796" s="9">
        <v>43731</v>
      </c>
      <c r="D796" s="10">
        <v>31751.21</v>
      </c>
      <c r="E796" s="11" t="s">
        <v>79</v>
      </c>
      <c r="F796" s="12">
        <f t="shared" si="42"/>
        <v>-1.1207650936903457E-2</v>
      </c>
      <c r="I796" s="9"/>
      <c r="K796" s="11"/>
      <c r="L796" s="12"/>
      <c r="O796" s="9"/>
      <c r="Q796" s="11"/>
      <c r="R796" s="12"/>
      <c r="S796" s="12"/>
    </row>
    <row r="797" spans="3:19">
      <c r="C797" s="9">
        <v>43732</v>
      </c>
      <c r="D797" s="10">
        <v>31829.24</v>
      </c>
      <c r="E797" s="11" t="s">
        <v>79</v>
      </c>
      <c r="F797" s="12">
        <f t="shared" si="42"/>
        <v>2.4575441376879503E-3</v>
      </c>
      <c r="I797" s="9"/>
      <c r="K797" s="11"/>
      <c r="L797" s="12"/>
      <c r="O797" s="9"/>
      <c r="Q797" s="11"/>
      <c r="R797" s="12"/>
      <c r="S797" s="12"/>
    </row>
    <row r="798" spans="3:19">
      <c r="C798" s="9">
        <v>43733</v>
      </c>
      <c r="D798" s="10">
        <v>31565.21</v>
      </c>
      <c r="E798" s="11" t="s">
        <v>79</v>
      </c>
      <c r="F798" s="12">
        <f t="shared" si="42"/>
        <v>-8.2952027758125269E-3</v>
      </c>
      <c r="I798" s="9"/>
      <c r="K798" s="11"/>
      <c r="L798" s="12"/>
      <c r="O798" s="9"/>
      <c r="Q798" s="11"/>
      <c r="R798" s="12"/>
      <c r="S798" s="12"/>
    </row>
    <row r="799" spans="3:19">
      <c r="C799" s="9">
        <v>43734</v>
      </c>
      <c r="D799" s="10">
        <v>31433.89</v>
      </c>
      <c r="E799" s="11" t="s">
        <v>79</v>
      </c>
      <c r="F799" s="12">
        <f t="shared" si="42"/>
        <v>-4.1602764562630457E-3</v>
      </c>
      <c r="I799" s="9"/>
      <c r="K799" s="11"/>
      <c r="L799" s="12"/>
      <c r="O799" s="9"/>
      <c r="Q799" s="11"/>
      <c r="R799" s="12"/>
      <c r="S799" s="12"/>
    </row>
    <row r="800" spans="3:19">
      <c r="C800" s="9">
        <v>43735</v>
      </c>
      <c r="D800" s="10">
        <v>32070.81</v>
      </c>
      <c r="E800" s="11" t="s">
        <v>79</v>
      </c>
      <c r="F800" s="12">
        <f t="shared" si="42"/>
        <v>2.0262207445530978E-2</v>
      </c>
      <c r="I800" s="9"/>
      <c r="K800" s="11"/>
      <c r="L800" s="12"/>
      <c r="O800" s="9"/>
      <c r="Q800" s="11"/>
      <c r="R800" s="12"/>
      <c r="S800" s="12"/>
    </row>
    <row r="801" spans="3:19">
      <c r="C801" s="9">
        <v>43738</v>
      </c>
      <c r="D801" s="10">
        <v>32078.85</v>
      </c>
      <c r="E801" s="11" t="s">
        <v>79</v>
      </c>
      <c r="F801" s="12">
        <f t="shared" si="42"/>
        <v>2.5069525839849227E-4</v>
      </c>
      <c r="I801" s="9"/>
      <c r="K801" s="11"/>
      <c r="L801" s="12"/>
      <c r="O801" s="9"/>
      <c r="Q801" s="11"/>
      <c r="R801" s="12"/>
      <c r="S801" s="12"/>
    </row>
    <row r="802" spans="3:19">
      <c r="C802" s="9">
        <v>43739</v>
      </c>
      <c r="D802" s="10">
        <v>32254.32</v>
      </c>
      <c r="E802" s="11" t="s">
        <v>79</v>
      </c>
      <c r="F802" s="12">
        <f t="shared" si="42"/>
        <v>5.4699591787112922E-3</v>
      </c>
      <c r="I802" s="9"/>
      <c r="K802" s="11"/>
      <c r="L802" s="12"/>
      <c r="O802" s="9"/>
      <c r="Q802" s="11"/>
      <c r="R802" s="12"/>
      <c r="S802" s="12"/>
    </row>
    <row r="803" spans="3:19">
      <c r="C803" s="9">
        <v>43740</v>
      </c>
      <c r="D803" s="10">
        <v>32363.35</v>
      </c>
      <c r="E803" s="11" t="s">
        <v>79</v>
      </c>
      <c r="F803" s="12">
        <f t="shared" si="42"/>
        <v>3.3803223878228206E-3</v>
      </c>
      <c r="I803" s="9"/>
      <c r="K803" s="11"/>
      <c r="L803" s="12"/>
      <c r="O803" s="9"/>
      <c r="Q803" s="11"/>
      <c r="R803" s="12"/>
      <c r="S803" s="12"/>
    </row>
    <row r="804" spans="3:19">
      <c r="C804" s="9">
        <v>43741</v>
      </c>
      <c r="D804" s="10">
        <v>32752.25</v>
      </c>
      <c r="E804" s="11" t="s">
        <v>79</v>
      </c>
      <c r="F804" s="12">
        <f t="shared" si="42"/>
        <v>1.2016679361067428E-2</v>
      </c>
      <c r="I804" s="9"/>
      <c r="K804" s="11"/>
      <c r="L804" s="12"/>
      <c r="O804" s="9"/>
      <c r="Q804" s="11"/>
      <c r="R804" s="12"/>
      <c r="S804" s="12"/>
    </row>
    <row r="805" spans="3:19">
      <c r="C805" s="9">
        <v>43742</v>
      </c>
      <c r="D805" s="10">
        <v>33033.32</v>
      </c>
      <c r="E805" s="11" t="s">
        <v>79</v>
      </c>
      <c r="F805" s="12">
        <f t="shared" si="42"/>
        <v>8.5817004938590902E-3</v>
      </c>
      <c r="I805" s="9"/>
      <c r="K805" s="11"/>
      <c r="L805" s="12"/>
      <c r="O805" s="9"/>
      <c r="Q805" s="11"/>
      <c r="R805" s="12"/>
      <c r="S805" s="12"/>
    </row>
    <row r="806" spans="3:19">
      <c r="C806" s="9">
        <v>43745</v>
      </c>
      <c r="D806" s="10">
        <v>33636.82</v>
      </c>
      <c r="E806" s="11" t="s">
        <v>79</v>
      </c>
      <c r="F806" s="12">
        <f t="shared" si="42"/>
        <v>1.8269432197550728E-2</v>
      </c>
      <c r="I806" s="9"/>
      <c r="K806" s="11"/>
      <c r="L806" s="12"/>
      <c r="O806" s="9"/>
      <c r="Q806" s="11"/>
      <c r="R806" s="12"/>
      <c r="S806" s="12"/>
    </row>
    <row r="807" spans="3:19">
      <c r="C807" s="9">
        <v>43746</v>
      </c>
      <c r="D807" s="10">
        <v>33476.620000000003</v>
      </c>
      <c r="E807" s="11" t="s">
        <v>79</v>
      </c>
      <c r="F807" s="12">
        <f t="shared" si="42"/>
        <v>-4.7626380852885397E-3</v>
      </c>
      <c r="I807" s="9"/>
      <c r="K807" s="11"/>
      <c r="L807" s="12"/>
      <c r="O807" s="9"/>
      <c r="Q807" s="11"/>
      <c r="R807" s="12"/>
      <c r="S807" s="12"/>
    </row>
    <row r="808" spans="3:19">
      <c r="C808" s="9">
        <v>43747</v>
      </c>
      <c r="D808" s="10">
        <v>33523.74</v>
      </c>
      <c r="E808" s="11" t="s">
        <v>79</v>
      </c>
      <c r="F808" s="12">
        <f t="shared" si="42"/>
        <v>1.4075495076861788E-3</v>
      </c>
      <c r="I808" s="9"/>
      <c r="K808" s="11"/>
      <c r="L808" s="12"/>
      <c r="O808" s="9"/>
      <c r="Q808" s="11"/>
      <c r="R808" s="12"/>
      <c r="S808" s="12"/>
    </row>
    <row r="809" spans="3:19">
      <c r="C809" s="9">
        <v>43748</v>
      </c>
      <c r="D809" s="10">
        <v>34027.699999999997</v>
      </c>
      <c r="E809" s="11" t="s">
        <v>79</v>
      </c>
      <c r="F809" s="12">
        <f t="shared" si="42"/>
        <v>1.5032928903517373E-2</v>
      </c>
      <c r="I809" s="9"/>
      <c r="K809" s="11"/>
      <c r="L809" s="12"/>
      <c r="O809" s="9"/>
      <c r="Q809" s="11"/>
      <c r="R809" s="12"/>
      <c r="S809" s="12"/>
    </row>
    <row r="810" spans="3:19">
      <c r="C810" s="9">
        <v>43749</v>
      </c>
      <c r="D810" s="10">
        <v>34475.69</v>
      </c>
      <c r="E810" s="11" t="s">
        <v>79</v>
      </c>
      <c r="F810" s="12">
        <f t="shared" si="42"/>
        <v>1.3165450500621789E-2</v>
      </c>
      <c r="I810" s="9"/>
      <c r="K810" s="11"/>
      <c r="L810" s="12"/>
      <c r="O810" s="9"/>
      <c r="Q810" s="11"/>
      <c r="R810" s="12"/>
      <c r="S810" s="12"/>
    </row>
    <row r="811" spans="3:19">
      <c r="C811" s="9">
        <v>43752</v>
      </c>
      <c r="D811" s="10">
        <v>34186.26</v>
      </c>
      <c r="E811" s="11" t="s">
        <v>79</v>
      </c>
      <c r="F811" s="12">
        <f t="shared" si="42"/>
        <v>-8.3951909301888117E-3</v>
      </c>
      <c r="I811" s="9"/>
      <c r="K811" s="11"/>
      <c r="L811" s="12"/>
      <c r="O811" s="9"/>
      <c r="Q811" s="11"/>
      <c r="R811" s="12"/>
      <c r="S811" s="12"/>
    </row>
    <row r="812" spans="3:19">
      <c r="C812" s="9">
        <v>43753</v>
      </c>
      <c r="D812" s="10">
        <v>34083.53</v>
      </c>
      <c r="E812" s="11" t="s">
        <v>79</v>
      </c>
      <c r="F812" s="12">
        <f t="shared" si="42"/>
        <v>-3.0050084449133596E-3</v>
      </c>
      <c r="I812" s="9"/>
      <c r="K812" s="11"/>
      <c r="L812" s="12"/>
      <c r="O812" s="9"/>
      <c r="Q812" s="11"/>
      <c r="R812" s="12"/>
      <c r="S812" s="12"/>
    </row>
    <row r="813" spans="3:19">
      <c r="C813" s="9">
        <v>43754</v>
      </c>
      <c r="D813" s="10">
        <v>34281.089999999997</v>
      </c>
      <c r="E813" s="11" t="s">
        <v>79</v>
      </c>
      <c r="F813" s="12">
        <f t="shared" si="42"/>
        <v>5.7963479721729882E-3</v>
      </c>
      <c r="I813" s="9"/>
      <c r="K813" s="11"/>
      <c r="L813" s="12"/>
      <c r="O813" s="9"/>
      <c r="Q813" s="11"/>
      <c r="R813" s="12"/>
      <c r="S813" s="12"/>
    </row>
    <row r="814" spans="3:19">
      <c r="C814" s="9">
        <v>43755</v>
      </c>
      <c r="D814" s="10">
        <v>33898.559999999998</v>
      </c>
      <c r="E814" s="11" t="s">
        <v>79</v>
      </c>
      <c r="F814" s="12">
        <f t="shared" si="42"/>
        <v>-1.1158630020223992E-2</v>
      </c>
      <c r="I814" s="9"/>
      <c r="K814" s="11"/>
      <c r="L814" s="12"/>
      <c r="O814" s="9"/>
      <c r="Q814" s="11"/>
      <c r="R814" s="12"/>
      <c r="S814" s="12"/>
    </row>
    <row r="815" spans="3:19">
      <c r="C815" s="9">
        <v>43756</v>
      </c>
      <c r="D815" s="10">
        <v>33870.15</v>
      </c>
      <c r="E815" s="11" t="s">
        <v>79</v>
      </c>
      <c r="F815" s="12">
        <f t="shared" si="42"/>
        <v>-8.3808869757284743E-4</v>
      </c>
      <c r="I815" s="9"/>
      <c r="K815" s="11"/>
      <c r="L815" s="12"/>
      <c r="O815" s="9"/>
      <c r="Q815" s="11"/>
      <c r="R815" s="12"/>
      <c r="S815" s="12"/>
    </row>
    <row r="816" spans="3:19">
      <c r="C816" s="9">
        <v>43759</v>
      </c>
      <c r="D816" s="10">
        <v>33084.730000000003</v>
      </c>
      <c r="E816" s="11" t="s">
        <v>79</v>
      </c>
      <c r="F816" s="12">
        <f t="shared" si="42"/>
        <v>-2.3189150328534081E-2</v>
      </c>
      <c r="I816" s="9"/>
      <c r="K816" s="11"/>
      <c r="L816" s="12"/>
      <c r="O816" s="9"/>
      <c r="Q816" s="11"/>
      <c r="R816" s="12"/>
      <c r="S816" s="12"/>
    </row>
    <row r="817" spans="3:19">
      <c r="C817" s="9">
        <v>43760</v>
      </c>
      <c r="D817" s="10">
        <v>33198.959999999999</v>
      </c>
      <c r="E817" s="11" t="s">
        <v>79</v>
      </c>
      <c r="F817" s="12">
        <f t="shared" si="42"/>
        <v>3.4526502105349799E-3</v>
      </c>
      <c r="I817" s="9"/>
      <c r="K817" s="11"/>
      <c r="L817" s="12"/>
      <c r="O817" s="9"/>
      <c r="Q817" s="11"/>
      <c r="R817" s="12"/>
      <c r="S817" s="12"/>
    </row>
    <row r="818" spans="3:19">
      <c r="C818" s="9">
        <v>43761</v>
      </c>
      <c r="D818" s="10">
        <v>33439.69</v>
      </c>
      <c r="E818" s="11" t="s">
        <v>79</v>
      </c>
      <c r="F818" s="12">
        <f t="shared" si="42"/>
        <v>7.2511307583129625E-3</v>
      </c>
      <c r="I818" s="9"/>
      <c r="K818" s="11"/>
      <c r="L818" s="12"/>
      <c r="O818" s="9"/>
      <c r="Q818" s="11"/>
      <c r="R818" s="12"/>
      <c r="S818" s="12"/>
    </row>
    <row r="819" spans="3:19">
      <c r="C819" s="9">
        <v>43762</v>
      </c>
      <c r="D819" s="10">
        <v>33762.480000000003</v>
      </c>
      <c r="E819" s="11" t="s">
        <v>79</v>
      </c>
      <c r="F819" s="12">
        <f t="shared" si="42"/>
        <v>9.6529004904053473E-3</v>
      </c>
      <c r="I819" s="9"/>
      <c r="K819" s="11"/>
      <c r="L819" s="12"/>
      <c r="O819" s="9"/>
      <c r="Q819" s="11"/>
      <c r="R819" s="12"/>
      <c r="S819" s="12"/>
    </row>
    <row r="820" spans="3:19">
      <c r="C820" s="9">
        <v>43763</v>
      </c>
      <c r="D820" s="10">
        <v>33657.46</v>
      </c>
      <c r="E820" s="11" t="s">
        <v>79</v>
      </c>
      <c r="F820" s="12">
        <f t="shared" si="42"/>
        <v>-3.1105534901465504E-3</v>
      </c>
      <c r="I820" s="9"/>
      <c r="K820" s="11"/>
      <c r="L820" s="12"/>
      <c r="O820" s="9"/>
      <c r="Q820" s="11"/>
      <c r="R820" s="12"/>
      <c r="S820" s="12"/>
    </row>
    <row r="821" spans="3:19">
      <c r="C821" s="9">
        <v>43766</v>
      </c>
      <c r="D821" s="10">
        <v>33861.589999999997</v>
      </c>
      <c r="E821" s="11" t="s">
        <v>79</v>
      </c>
      <c r="F821" s="12">
        <f t="shared" si="42"/>
        <v>6.0649258737883738E-3</v>
      </c>
      <c r="I821" s="9"/>
      <c r="K821" s="11"/>
      <c r="L821" s="12"/>
      <c r="O821" s="9"/>
      <c r="Q821" s="11"/>
      <c r="R821" s="12"/>
      <c r="S821" s="12"/>
    </row>
    <row r="822" spans="3:19">
      <c r="C822" s="9">
        <v>43767</v>
      </c>
      <c r="D822" s="10">
        <v>33797.51</v>
      </c>
      <c r="E822" s="11" t="s">
        <v>79</v>
      </c>
      <c r="F822" s="12">
        <f t="shared" si="42"/>
        <v>-1.8924096594399309E-3</v>
      </c>
      <c r="I822" s="9"/>
      <c r="K822" s="11"/>
      <c r="L822" s="12"/>
      <c r="O822" s="9"/>
      <c r="Q822" s="11"/>
      <c r="R822" s="12"/>
      <c r="S822" s="12"/>
    </row>
    <row r="823" spans="3:19">
      <c r="C823" s="9">
        <v>43768</v>
      </c>
      <c r="D823" s="10">
        <v>33761.410000000003</v>
      </c>
      <c r="E823" s="11" t="s">
        <v>79</v>
      </c>
      <c r="F823" s="12">
        <f t="shared" si="42"/>
        <v>-1.0681260246686586E-3</v>
      </c>
      <c r="I823" s="9"/>
      <c r="K823" s="11"/>
      <c r="L823" s="12"/>
      <c r="O823" s="9"/>
      <c r="Q823" s="11"/>
      <c r="R823" s="12"/>
      <c r="S823" s="12"/>
    </row>
    <row r="824" spans="3:19">
      <c r="C824" s="9">
        <v>43769</v>
      </c>
      <c r="D824" s="10">
        <v>34203.68</v>
      </c>
      <c r="E824" s="11" t="s">
        <v>79</v>
      </c>
      <c r="F824" s="12">
        <f t="shared" si="42"/>
        <v>1.309986757069681E-2</v>
      </c>
      <c r="I824" s="9"/>
      <c r="K824" s="11"/>
      <c r="L824" s="12"/>
      <c r="O824" s="9"/>
      <c r="Q824" s="11"/>
      <c r="R824" s="12"/>
      <c r="S824" s="12"/>
    </row>
    <row r="825" spans="3:19">
      <c r="C825" s="9">
        <v>43770</v>
      </c>
      <c r="D825" s="10">
        <v>34377.61</v>
      </c>
      <c r="E825" s="11" t="s">
        <v>79</v>
      </c>
      <c r="F825" s="12">
        <f t="shared" si="42"/>
        <v>5.0851253432380172E-3</v>
      </c>
      <c r="I825" s="9"/>
      <c r="K825" s="11"/>
      <c r="L825" s="12"/>
      <c r="O825" s="9"/>
      <c r="Q825" s="11"/>
      <c r="R825" s="12"/>
      <c r="S825" s="12"/>
    </row>
    <row r="826" spans="3:19">
      <c r="C826" s="9">
        <v>43773</v>
      </c>
      <c r="D826" s="10">
        <v>35277.46</v>
      </c>
      <c r="E826" s="11" t="s">
        <v>79</v>
      </c>
      <c r="F826" s="12">
        <f t="shared" si="42"/>
        <v>2.6175467113624284E-2</v>
      </c>
      <c r="I826" s="9"/>
      <c r="K826" s="11"/>
      <c r="L826" s="12"/>
      <c r="O826" s="9"/>
      <c r="Q826" s="11"/>
      <c r="R826" s="12"/>
      <c r="S826" s="12"/>
    </row>
    <row r="827" spans="3:19">
      <c r="C827" s="9">
        <v>43774</v>
      </c>
      <c r="D827" s="10">
        <v>35358.31</v>
      </c>
      <c r="E827" s="11" t="s">
        <v>79</v>
      </c>
      <c r="F827" s="12">
        <f t="shared" si="42"/>
        <v>2.2918316681528328E-3</v>
      </c>
      <c r="I827" s="9"/>
      <c r="K827" s="11"/>
      <c r="L827" s="12"/>
      <c r="O827" s="9"/>
      <c r="Q827" s="11"/>
      <c r="R827" s="12"/>
      <c r="S827" s="12"/>
    </row>
    <row r="828" spans="3:19">
      <c r="C828" s="9">
        <v>43775</v>
      </c>
      <c r="D828" s="10">
        <v>35653.33</v>
      </c>
      <c r="E828" s="11" t="s">
        <v>79</v>
      </c>
      <c r="F828" s="12">
        <f t="shared" si="42"/>
        <v>8.3437245728090748E-3</v>
      </c>
      <c r="I828" s="9"/>
      <c r="K828" s="11"/>
      <c r="L828" s="12"/>
      <c r="O828" s="9"/>
      <c r="Q828" s="11"/>
      <c r="R828" s="12"/>
      <c r="S828" s="12"/>
    </row>
    <row r="829" spans="3:19">
      <c r="C829" s="9">
        <v>43776</v>
      </c>
      <c r="D829" s="10">
        <v>35758.519999999997</v>
      </c>
      <c r="E829" s="11" t="s">
        <v>79</v>
      </c>
      <c r="F829" s="12">
        <f t="shared" si="42"/>
        <v>2.9503555488363808E-3</v>
      </c>
      <c r="I829" s="9"/>
      <c r="K829" s="11"/>
      <c r="L829" s="12"/>
      <c r="O829" s="9"/>
      <c r="Q829" s="11"/>
      <c r="R829" s="12"/>
      <c r="S829" s="12"/>
    </row>
    <row r="830" spans="3:19">
      <c r="C830" s="9">
        <v>43777</v>
      </c>
      <c r="D830" s="10">
        <v>35978.160000000003</v>
      </c>
      <c r="E830" s="11" t="s">
        <v>79</v>
      </c>
      <c r="F830" s="12">
        <f t="shared" si="42"/>
        <v>6.1423123775818933E-3</v>
      </c>
      <c r="I830" s="9"/>
      <c r="K830" s="11"/>
      <c r="L830" s="12"/>
      <c r="O830" s="9"/>
      <c r="Q830" s="11"/>
      <c r="R830" s="12"/>
      <c r="S830" s="12"/>
    </row>
    <row r="831" spans="3:19">
      <c r="C831" s="9">
        <v>43780</v>
      </c>
      <c r="D831" s="10">
        <v>36803.1</v>
      </c>
      <c r="E831" s="11" t="s">
        <v>79</v>
      </c>
      <c r="F831" s="12">
        <f t="shared" si="42"/>
        <v>2.2928910205524566E-2</v>
      </c>
      <c r="I831" s="9"/>
      <c r="K831" s="11"/>
      <c r="L831" s="12"/>
      <c r="O831" s="9"/>
      <c r="Q831" s="11"/>
      <c r="R831" s="12"/>
      <c r="S831" s="12"/>
    </row>
    <row r="832" spans="3:19">
      <c r="C832" s="9">
        <v>43781</v>
      </c>
      <c r="D832" s="10">
        <v>36765.56</v>
      </c>
      <c r="E832" s="11" t="s">
        <v>79</v>
      </c>
      <c r="F832" s="12">
        <f t="shared" si="42"/>
        <v>-1.0200227698210496E-3</v>
      </c>
      <c r="I832" s="9"/>
      <c r="K832" s="11"/>
      <c r="L832" s="12"/>
      <c r="O832" s="9"/>
      <c r="Q832" s="11"/>
      <c r="R832" s="12"/>
      <c r="S832" s="12"/>
    </row>
    <row r="833" spans="3:19">
      <c r="C833" s="9">
        <v>43782</v>
      </c>
      <c r="D833" s="10">
        <v>37166.959999999999</v>
      </c>
      <c r="E833" s="11" t="s">
        <v>79</v>
      </c>
      <c r="F833" s="12">
        <f t="shared" si="42"/>
        <v>1.091782635705818E-2</v>
      </c>
      <c r="I833" s="9"/>
      <c r="K833" s="11"/>
      <c r="L833" s="12"/>
      <c r="O833" s="9"/>
      <c r="Q833" s="11"/>
      <c r="R833" s="12"/>
      <c r="S833" s="12"/>
    </row>
    <row r="834" spans="3:19">
      <c r="C834" s="9">
        <v>43783</v>
      </c>
      <c r="D834" s="10">
        <v>37243.199999999997</v>
      </c>
      <c r="E834" s="11" t="s">
        <v>79</v>
      </c>
      <c r="F834" s="12">
        <f t="shared" si="42"/>
        <v>2.0512842589224256E-3</v>
      </c>
      <c r="I834" s="9"/>
      <c r="K834" s="11"/>
      <c r="L834" s="12"/>
      <c r="O834" s="9"/>
      <c r="Q834" s="11"/>
      <c r="R834" s="12"/>
      <c r="S834" s="12"/>
    </row>
    <row r="835" spans="3:19">
      <c r="C835" s="9">
        <v>43784</v>
      </c>
      <c r="D835" s="10">
        <v>37583.89</v>
      </c>
      <c r="E835" s="11" t="s">
        <v>79</v>
      </c>
      <c r="F835" s="12">
        <f t="shared" si="42"/>
        <v>9.1477101860206744E-3</v>
      </c>
      <c r="I835" s="9"/>
      <c r="K835" s="11"/>
      <c r="L835" s="12"/>
      <c r="O835" s="9"/>
      <c r="Q835" s="11"/>
      <c r="R835" s="12"/>
      <c r="S835" s="12"/>
    </row>
    <row r="836" spans="3:19">
      <c r="C836" s="9">
        <v>43787</v>
      </c>
      <c r="D836" s="10">
        <v>38411.56</v>
      </c>
      <c r="E836" s="11" t="s">
        <v>79</v>
      </c>
      <c r="F836" s="12">
        <f t="shared" si="42"/>
        <v>2.2021935462241959E-2</v>
      </c>
      <c r="I836" s="9"/>
      <c r="K836" s="11"/>
      <c r="L836" s="12"/>
      <c r="O836" s="9"/>
      <c r="Q836" s="11"/>
      <c r="R836" s="12"/>
      <c r="S836" s="12"/>
    </row>
    <row r="837" spans="3:19">
      <c r="C837" s="9">
        <v>43788</v>
      </c>
      <c r="D837" s="10">
        <v>38564.370000000003</v>
      </c>
      <c r="E837" s="11" t="s">
        <v>79</v>
      </c>
      <c r="F837" s="12">
        <f t="shared" si="42"/>
        <v>3.9782294705033028E-3</v>
      </c>
      <c r="I837" s="9"/>
      <c r="K837" s="11"/>
      <c r="L837" s="12"/>
      <c r="O837" s="9"/>
      <c r="Q837" s="11"/>
      <c r="R837" s="12"/>
      <c r="S837" s="12"/>
    </row>
    <row r="838" spans="3:19">
      <c r="C838" s="9">
        <v>43789</v>
      </c>
      <c r="D838" s="10">
        <v>38037.68</v>
      </c>
      <c r="E838" s="11" t="s">
        <v>79</v>
      </c>
      <c r="F838" s="12">
        <f t="shared" si="42"/>
        <v>-1.3657425234743892E-2</v>
      </c>
      <c r="I838" s="9"/>
      <c r="K838" s="11"/>
      <c r="L838" s="12"/>
      <c r="O838" s="9"/>
      <c r="Q838" s="11"/>
      <c r="R838" s="12"/>
      <c r="S838" s="12"/>
    </row>
    <row r="839" spans="3:19">
      <c r="C839" s="9">
        <v>43790</v>
      </c>
      <c r="D839" s="10">
        <v>37101.31</v>
      </c>
      <c r="E839" s="11" t="s">
        <v>79</v>
      </c>
      <c r="F839" s="12">
        <f t="shared" ref="F839:F902" si="43">D839/D838-1</f>
        <v>-2.4616906183552834E-2</v>
      </c>
      <c r="I839" s="9"/>
      <c r="K839" s="11"/>
      <c r="L839" s="12"/>
      <c r="O839" s="9"/>
      <c r="Q839" s="11"/>
      <c r="R839" s="12"/>
      <c r="S839" s="12"/>
    </row>
    <row r="840" spans="3:19">
      <c r="C840" s="9">
        <v>43791</v>
      </c>
      <c r="D840" s="10">
        <v>37925.79</v>
      </c>
      <c r="E840" s="11" t="s">
        <v>79</v>
      </c>
      <c r="F840" s="12">
        <f t="shared" si="43"/>
        <v>2.2222395920791005E-2</v>
      </c>
      <c r="I840" s="9"/>
      <c r="K840" s="11"/>
      <c r="L840" s="12"/>
      <c r="O840" s="9"/>
      <c r="Q840" s="11"/>
      <c r="R840" s="12"/>
      <c r="S840" s="12"/>
    </row>
    <row r="841" spans="3:19">
      <c r="C841" s="9">
        <v>43794</v>
      </c>
      <c r="D841" s="10">
        <v>38212.28</v>
      </c>
      <c r="E841" s="11" t="s">
        <v>79</v>
      </c>
      <c r="F841" s="12">
        <f t="shared" si="43"/>
        <v>7.5539626201588383E-3</v>
      </c>
      <c r="I841" s="9"/>
      <c r="K841" s="11"/>
      <c r="L841" s="12"/>
      <c r="O841" s="9"/>
      <c r="Q841" s="11"/>
      <c r="R841" s="12"/>
      <c r="S841" s="12"/>
    </row>
    <row r="842" spans="3:19">
      <c r="C842" s="9">
        <v>43795</v>
      </c>
      <c r="D842" s="10">
        <v>37795.050000000003</v>
      </c>
      <c r="E842" s="11" t="s">
        <v>79</v>
      </c>
      <c r="F842" s="12">
        <f t="shared" si="43"/>
        <v>-1.0918741305151025E-2</v>
      </c>
      <c r="I842" s="9"/>
      <c r="K842" s="11"/>
      <c r="L842" s="12"/>
      <c r="O842" s="9"/>
      <c r="Q842" s="11"/>
      <c r="R842" s="12"/>
      <c r="S842" s="12"/>
    </row>
    <row r="843" spans="3:19">
      <c r="C843" s="9">
        <v>43796</v>
      </c>
      <c r="D843" s="10">
        <v>38122.720000000001</v>
      </c>
      <c r="E843" s="11" t="s">
        <v>79</v>
      </c>
      <c r="F843" s="12">
        <f t="shared" si="43"/>
        <v>8.6696538303296933E-3</v>
      </c>
      <c r="I843" s="9"/>
      <c r="K843" s="11"/>
      <c r="L843" s="12"/>
      <c r="O843" s="9"/>
      <c r="Q843" s="11"/>
      <c r="R843" s="12"/>
      <c r="S843" s="12"/>
    </row>
    <row r="844" spans="3:19">
      <c r="C844" s="9">
        <v>43797</v>
      </c>
      <c r="D844" s="10">
        <v>38706.269999999997</v>
      </c>
      <c r="E844" s="11" t="s">
        <v>79</v>
      </c>
      <c r="F844" s="12">
        <f t="shared" si="43"/>
        <v>1.5307144925650551E-2</v>
      </c>
      <c r="I844" s="9"/>
      <c r="K844" s="11"/>
      <c r="L844" s="12"/>
      <c r="O844" s="9"/>
      <c r="Q844" s="11"/>
      <c r="R844" s="12"/>
      <c r="S844" s="12"/>
    </row>
    <row r="845" spans="3:19">
      <c r="C845" s="9">
        <v>43798</v>
      </c>
      <c r="D845" s="10">
        <v>39287.65</v>
      </c>
      <c r="E845" s="11" t="s">
        <v>79</v>
      </c>
      <c r="F845" s="12">
        <f t="shared" si="43"/>
        <v>1.5020305495724751E-2</v>
      </c>
      <c r="I845" s="9"/>
      <c r="K845" s="11"/>
      <c r="L845" s="12"/>
      <c r="O845" s="9"/>
      <c r="Q845" s="11"/>
      <c r="R845" s="12"/>
      <c r="S845" s="12"/>
    </row>
    <row r="846" spans="3:19">
      <c r="C846" s="9">
        <v>43801</v>
      </c>
      <c r="D846" s="10">
        <v>40124.22</v>
      </c>
      <c r="E846" s="11" t="s">
        <v>79</v>
      </c>
      <c r="F846" s="12">
        <f t="shared" si="43"/>
        <v>2.1293459904066614E-2</v>
      </c>
      <c r="I846" s="9"/>
      <c r="K846" s="11"/>
      <c r="L846" s="12"/>
      <c r="O846" s="9"/>
      <c r="Q846" s="11"/>
      <c r="R846" s="12"/>
      <c r="S846" s="12"/>
    </row>
    <row r="847" spans="3:19">
      <c r="C847" s="9">
        <v>43802</v>
      </c>
      <c r="D847" s="10">
        <v>39788.730000000003</v>
      </c>
      <c r="E847" s="11" t="s">
        <v>79</v>
      </c>
      <c r="F847" s="12">
        <f t="shared" si="43"/>
        <v>-8.3612840324371884E-3</v>
      </c>
      <c r="I847" s="9"/>
      <c r="K847" s="11"/>
      <c r="L847" s="12"/>
      <c r="O847" s="9"/>
      <c r="Q847" s="11"/>
      <c r="R847" s="12"/>
      <c r="S847" s="12"/>
    </row>
    <row r="848" spans="3:19">
      <c r="C848" s="9">
        <v>43803</v>
      </c>
      <c r="D848" s="10">
        <v>40270.519999999997</v>
      </c>
      <c r="E848" s="11" t="s">
        <v>79</v>
      </c>
      <c r="F848" s="12">
        <f t="shared" si="43"/>
        <v>1.2108705153444088E-2</v>
      </c>
      <c r="I848" s="9"/>
      <c r="K848" s="11"/>
      <c r="L848" s="12"/>
      <c r="O848" s="9"/>
      <c r="Q848" s="11"/>
      <c r="R848" s="12"/>
      <c r="S848" s="12"/>
    </row>
    <row r="849" spans="3:19">
      <c r="C849" s="9">
        <v>43804</v>
      </c>
      <c r="D849" s="10">
        <v>40641.1</v>
      </c>
      <c r="E849" s="11" t="s">
        <v>79</v>
      </c>
      <c r="F849" s="12">
        <f t="shared" si="43"/>
        <v>9.2022650812555451E-3</v>
      </c>
      <c r="I849" s="9"/>
      <c r="K849" s="11"/>
      <c r="L849" s="12"/>
      <c r="O849" s="9"/>
      <c r="Q849" s="11"/>
      <c r="R849" s="12"/>
      <c r="S849" s="12"/>
    </row>
    <row r="850" spans="3:19">
      <c r="C850" s="9">
        <v>43805</v>
      </c>
      <c r="D850" s="10">
        <v>40732.25</v>
      </c>
      <c r="E850" s="11" t="s">
        <v>79</v>
      </c>
      <c r="F850" s="12">
        <f t="shared" si="43"/>
        <v>2.2428034674257802E-3</v>
      </c>
      <c r="I850" s="9"/>
      <c r="K850" s="11"/>
      <c r="L850" s="12"/>
      <c r="O850" s="9"/>
      <c r="Q850" s="11"/>
      <c r="R850" s="12"/>
      <c r="S850" s="12"/>
    </row>
    <row r="851" spans="3:19">
      <c r="C851" s="9">
        <v>43808</v>
      </c>
      <c r="D851" s="10">
        <v>40442.800000000003</v>
      </c>
      <c r="E851" s="11" t="s">
        <v>79</v>
      </c>
      <c r="F851" s="12">
        <f t="shared" si="43"/>
        <v>-7.1061628071121818E-3</v>
      </c>
      <c r="I851" s="9"/>
      <c r="K851" s="11"/>
      <c r="L851" s="12"/>
      <c r="O851" s="9"/>
      <c r="Q851" s="11"/>
      <c r="R851" s="12"/>
      <c r="S851" s="12"/>
    </row>
    <row r="852" spans="3:19">
      <c r="C852" s="9">
        <v>43809</v>
      </c>
      <c r="D852" s="10">
        <v>40664.6</v>
      </c>
      <c r="E852" s="11" t="s">
        <v>79</v>
      </c>
      <c r="F852" s="12">
        <f t="shared" si="43"/>
        <v>5.4842889216373258E-3</v>
      </c>
      <c r="I852" s="9"/>
      <c r="K852" s="11"/>
      <c r="L852" s="12"/>
      <c r="O852" s="9"/>
      <c r="Q852" s="11"/>
      <c r="R852" s="12"/>
      <c r="S852" s="12"/>
    </row>
    <row r="853" spans="3:19">
      <c r="C853" s="9">
        <v>43810</v>
      </c>
      <c r="D853" s="10">
        <v>40531.42</v>
      </c>
      <c r="E853" s="11" t="s">
        <v>79</v>
      </c>
      <c r="F853" s="12">
        <f t="shared" si="43"/>
        <v>-3.2750844715059291E-3</v>
      </c>
      <c r="I853" s="9"/>
      <c r="K853" s="11"/>
      <c r="L853" s="12"/>
      <c r="O853" s="9"/>
      <c r="Q853" s="11"/>
      <c r="R853" s="12"/>
      <c r="S853" s="12"/>
    </row>
    <row r="854" spans="3:19">
      <c r="C854" s="9">
        <v>43811</v>
      </c>
      <c r="D854" s="10">
        <v>40514.17</v>
      </c>
      <c r="E854" s="11" t="s">
        <v>79</v>
      </c>
      <c r="F854" s="12">
        <f t="shared" si="43"/>
        <v>-4.2559574769396313E-4</v>
      </c>
      <c r="I854" s="9"/>
      <c r="K854" s="11"/>
      <c r="L854" s="12"/>
      <c r="O854" s="9"/>
      <c r="Q854" s="11"/>
      <c r="R854" s="12"/>
      <c r="S854" s="12"/>
    </row>
    <row r="855" spans="3:19">
      <c r="C855" s="9">
        <v>43812</v>
      </c>
      <c r="D855" s="10">
        <v>40916.589999999997</v>
      </c>
      <c r="E855" s="11" t="s">
        <v>79</v>
      </c>
      <c r="F855" s="12">
        <f t="shared" si="43"/>
        <v>9.9328210352080948E-3</v>
      </c>
      <c r="I855" s="9"/>
      <c r="K855" s="11"/>
      <c r="L855" s="12"/>
      <c r="O855" s="9"/>
      <c r="Q855" s="11"/>
      <c r="R855" s="12"/>
      <c r="S855" s="12"/>
    </row>
    <row r="856" spans="3:19">
      <c r="C856" s="9">
        <v>43815</v>
      </c>
      <c r="D856" s="10">
        <v>41644.879999999997</v>
      </c>
      <c r="E856" s="11" t="s">
        <v>79</v>
      </c>
      <c r="F856" s="12">
        <f t="shared" si="43"/>
        <v>1.7799381620022592E-2</v>
      </c>
      <c r="I856" s="9"/>
      <c r="K856" s="11"/>
      <c r="L856" s="12"/>
      <c r="O856" s="9"/>
      <c r="Q856" s="11"/>
      <c r="R856" s="12"/>
      <c r="S856" s="12"/>
    </row>
    <row r="857" spans="3:19">
      <c r="C857" s="9">
        <v>43816</v>
      </c>
      <c r="D857" s="10">
        <v>41768.660000000003</v>
      </c>
      <c r="E857" s="11" t="s">
        <v>79</v>
      </c>
      <c r="F857" s="12">
        <f t="shared" si="43"/>
        <v>2.9722741427038457E-3</v>
      </c>
      <c r="I857" s="9"/>
      <c r="K857" s="11"/>
      <c r="L857" s="12"/>
      <c r="O857" s="9"/>
      <c r="Q857" s="11"/>
      <c r="R857" s="12"/>
      <c r="S857" s="12"/>
    </row>
    <row r="858" spans="3:19">
      <c r="C858" s="9">
        <v>43817</v>
      </c>
      <c r="D858" s="10">
        <v>41603.71</v>
      </c>
      <c r="E858" s="11" t="s">
        <v>79</v>
      </c>
      <c r="F858" s="12">
        <f t="shared" si="43"/>
        <v>-3.9491331539006636E-3</v>
      </c>
      <c r="I858" s="9"/>
      <c r="K858" s="11"/>
      <c r="L858" s="12"/>
      <c r="O858" s="9"/>
      <c r="Q858" s="11"/>
      <c r="R858" s="12"/>
      <c r="S858" s="12"/>
    </row>
    <row r="859" spans="3:19">
      <c r="C859" s="9">
        <v>43818</v>
      </c>
      <c r="D859" s="10">
        <v>40655.370000000003</v>
      </c>
      <c r="E859" s="11" t="s">
        <v>79</v>
      </c>
      <c r="F859" s="12">
        <f t="shared" si="43"/>
        <v>-2.2794601731431996E-2</v>
      </c>
      <c r="I859" s="9"/>
      <c r="K859" s="11"/>
      <c r="L859" s="12"/>
      <c r="O859" s="9"/>
      <c r="Q859" s="11"/>
      <c r="R859" s="12"/>
      <c r="S859" s="12"/>
    </row>
    <row r="860" spans="3:19">
      <c r="C860" s="9">
        <v>43819</v>
      </c>
      <c r="D860" s="10">
        <v>40832.99</v>
      </c>
      <c r="E860" s="11" t="s">
        <v>79</v>
      </c>
      <c r="F860" s="12">
        <f t="shared" si="43"/>
        <v>4.3689185463076097E-3</v>
      </c>
      <c r="I860" s="9"/>
      <c r="K860" s="11"/>
      <c r="L860" s="12"/>
      <c r="O860" s="9"/>
      <c r="Q860" s="11"/>
      <c r="R860" s="12"/>
      <c r="S860" s="12"/>
    </row>
    <row r="861" spans="3:19">
      <c r="C861" s="9">
        <v>43822</v>
      </c>
      <c r="D861" s="10">
        <v>40008.29</v>
      </c>
      <c r="E861" s="11" t="s">
        <v>79</v>
      </c>
      <c r="F861" s="12">
        <f t="shared" si="43"/>
        <v>-2.0196904512748026E-2</v>
      </c>
      <c r="I861" s="9"/>
      <c r="K861" s="11"/>
      <c r="L861" s="12"/>
      <c r="O861" s="9"/>
      <c r="Q861" s="11"/>
      <c r="R861" s="12"/>
      <c r="S861" s="12"/>
    </row>
    <row r="862" spans="3:19">
      <c r="C862" s="9">
        <v>43823</v>
      </c>
      <c r="D862" s="10">
        <v>40328.32</v>
      </c>
      <c r="E862" s="11" t="s">
        <v>79</v>
      </c>
      <c r="F862" s="12">
        <f t="shared" si="43"/>
        <v>7.9990921881438748E-3</v>
      </c>
      <c r="I862" s="9"/>
      <c r="K862" s="11"/>
      <c r="L862" s="12"/>
      <c r="O862" s="9"/>
      <c r="Q862" s="11"/>
      <c r="R862" s="12"/>
      <c r="S862" s="12"/>
    </row>
    <row r="863" spans="3:19">
      <c r="C863" s="9">
        <v>43825</v>
      </c>
      <c r="D863" s="10">
        <v>41127.79</v>
      </c>
      <c r="E863" s="11" t="s">
        <v>79</v>
      </c>
      <c r="F863" s="12">
        <f t="shared" si="43"/>
        <v>1.9824034326250128E-2</v>
      </c>
      <c r="I863" s="9"/>
      <c r="K863" s="11"/>
      <c r="L863" s="12"/>
      <c r="O863" s="9"/>
      <c r="Q863" s="11"/>
      <c r="R863" s="12"/>
      <c r="S863" s="12"/>
    </row>
    <row r="864" spans="3:19">
      <c r="C864" s="9">
        <v>43826</v>
      </c>
      <c r="D864" s="10">
        <v>40848.53</v>
      </c>
      <c r="E864" s="11" t="s">
        <v>79</v>
      </c>
      <c r="F864" s="12">
        <f t="shared" si="43"/>
        <v>-6.7900560667131238E-3</v>
      </c>
      <c r="I864" s="9"/>
      <c r="K864" s="11"/>
      <c r="L864" s="12"/>
      <c r="O864" s="9"/>
      <c r="Q864" s="11"/>
      <c r="R864" s="12"/>
      <c r="S864" s="12"/>
    </row>
    <row r="865" spans="3:19">
      <c r="C865" s="9">
        <v>43829</v>
      </c>
      <c r="D865" s="10">
        <v>40887.620000000003</v>
      </c>
      <c r="E865" s="11" t="s">
        <v>79</v>
      </c>
      <c r="F865" s="12">
        <f t="shared" si="43"/>
        <v>9.5694998081952143E-4</v>
      </c>
      <c r="I865" s="9"/>
      <c r="K865" s="11"/>
      <c r="L865" s="12"/>
      <c r="O865" s="9"/>
      <c r="Q865" s="11"/>
      <c r="R865" s="12"/>
      <c r="S865" s="12"/>
    </row>
    <row r="866" spans="3:19">
      <c r="C866" s="9">
        <v>43830</v>
      </c>
      <c r="D866" s="10">
        <v>40735.08</v>
      </c>
      <c r="E866" s="11" t="s">
        <v>79</v>
      </c>
      <c r="F866" s="12">
        <f t="shared" si="43"/>
        <v>-3.7307135998623231E-3</v>
      </c>
      <c r="I866" s="9"/>
      <c r="K866" s="11"/>
      <c r="L866" s="12"/>
      <c r="O866" s="9"/>
      <c r="Q866" s="11"/>
      <c r="R866" s="12"/>
      <c r="S866" s="12"/>
    </row>
    <row r="867" spans="3:19">
      <c r="C867" s="9">
        <v>43831</v>
      </c>
      <c r="D867" s="10">
        <v>41400</v>
      </c>
      <c r="E867" s="11" t="s">
        <v>79</v>
      </c>
      <c r="F867" s="12">
        <f t="shared" si="43"/>
        <v>1.6323031647415442E-2</v>
      </c>
      <c r="I867" s="9"/>
      <c r="K867" s="11"/>
      <c r="L867" s="12"/>
      <c r="O867" s="9"/>
      <c r="Q867" s="11"/>
      <c r="R867" s="12"/>
      <c r="S867" s="12"/>
    </row>
    <row r="868" spans="3:19">
      <c r="C868" s="9">
        <v>43832</v>
      </c>
      <c r="D868" s="10">
        <v>42480.76</v>
      </c>
      <c r="E868" s="11" t="s">
        <v>79</v>
      </c>
      <c r="F868" s="12">
        <f t="shared" si="43"/>
        <v>2.6105314009661873E-2</v>
      </c>
      <c r="I868" s="9"/>
      <c r="K868" s="11"/>
      <c r="L868" s="12"/>
      <c r="O868" s="9"/>
      <c r="Q868" s="11"/>
      <c r="R868" s="12"/>
      <c r="S868" s="12"/>
    </row>
    <row r="869" spans="3:19">
      <c r="C869" s="9">
        <v>43833</v>
      </c>
      <c r="D869" s="10">
        <v>42323.3</v>
      </c>
      <c r="E869" s="11" t="s">
        <v>79</v>
      </c>
      <c r="F869" s="12">
        <f t="shared" si="43"/>
        <v>-3.706619184779214E-3</v>
      </c>
      <c r="I869" s="9"/>
      <c r="K869" s="11"/>
      <c r="L869" s="12"/>
      <c r="O869" s="9"/>
      <c r="Q869" s="11"/>
      <c r="R869" s="12"/>
      <c r="S869" s="12"/>
    </row>
    <row r="870" spans="3:19">
      <c r="C870" s="9">
        <v>43836</v>
      </c>
      <c r="D870" s="10">
        <v>41296.239999999998</v>
      </c>
      <c r="E870" s="11" t="s">
        <v>79</v>
      </c>
      <c r="F870" s="12">
        <f t="shared" si="43"/>
        <v>-2.4267011315280307E-2</v>
      </c>
      <c r="I870" s="9"/>
      <c r="K870" s="11"/>
      <c r="L870" s="12"/>
      <c r="O870" s="9"/>
      <c r="Q870" s="11"/>
      <c r="R870" s="12"/>
      <c r="S870" s="12"/>
    </row>
    <row r="871" spans="3:19">
      <c r="C871" s="9">
        <v>43837</v>
      </c>
      <c r="D871" s="10">
        <v>41904.47</v>
      </c>
      <c r="E871" s="11" t="s">
        <v>79</v>
      </c>
      <c r="F871" s="12">
        <f t="shared" si="43"/>
        <v>1.4728459540142236E-2</v>
      </c>
      <c r="I871" s="9"/>
      <c r="K871" s="11"/>
      <c r="L871" s="12"/>
      <c r="O871" s="9"/>
      <c r="Q871" s="11"/>
      <c r="R871" s="12"/>
      <c r="S871" s="12"/>
    </row>
    <row r="872" spans="3:19">
      <c r="C872" s="9">
        <v>43838</v>
      </c>
      <c r="D872" s="10">
        <v>41357.56</v>
      </c>
      <c r="E872" s="11" t="s">
        <v>79</v>
      </c>
      <c r="F872" s="12">
        <f t="shared" si="43"/>
        <v>-1.3051352278169892E-2</v>
      </c>
      <c r="I872" s="9"/>
      <c r="K872" s="11"/>
      <c r="L872" s="12"/>
      <c r="O872" s="9"/>
      <c r="Q872" s="11"/>
      <c r="R872" s="12"/>
      <c r="S872" s="12"/>
    </row>
    <row r="873" spans="3:19">
      <c r="C873" s="9">
        <v>43839</v>
      </c>
      <c r="D873" s="10">
        <v>42523.07</v>
      </c>
      <c r="E873" s="11" t="s">
        <v>79</v>
      </c>
      <c r="F873" s="12">
        <f t="shared" si="43"/>
        <v>2.8181304699793852E-2</v>
      </c>
      <c r="I873" s="9"/>
      <c r="K873" s="11"/>
      <c r="L873" s="12"/>
      <c r="O873" s="9"/>
      <c r="Q873" s="11"/>
      <c r="R873" s="12"/>
      <c r="S873" s="12"/>
    </row>
    <row r="874" spans="3:19">
      <c r="C874" s="9">
        <v>43840</v>
      </c>
      <c r="D874" s="10">
        <v>43207.05</v>
      </c>
      <c r="E874" s="11" t="s">
        <v>79</v>
      </c>
      <c r="F874" s="12">
        <f t="shared" si="43"/>
        <v>1.6084915788065146E-2</v>
      </c>
      <c r="I874" s="9"/>
      <c r="K874" s="11"/>
      <c r="L874" s="12"/>
      <c r="O874" s="9"/>
      <c r="Q874" s="11"/>
      <c r="R874" s="12"/>
      <c r="S874" s="12"/>
    </row>
    <row r="875" spans="3:19">
      <c r="C875" s="9">
        <v>43843</v>
      </c>
      <c r="D875" s="10">
        <v>43218.67</v>
      </c>
      <c r="E875" s="11" t="s">
        <v>79</v>
      </c>
      <c r="F875" s="12">
        <f t="shared" si="43"/>
        <v>2.6893759236035208E-4</v>
      </c>
      <c r="I875" s="9"/>
      <c r="K875" s="11"/>
      <c r="L875" s="12"/>
      <c r="O875" s="9"/>
      <c r="Q875" s="11"/>
      <c r="R875" s="12"/>
      <c r="S875" s="12"/>
    </row>
    <row r="876" spans="3:19">
      <c r="C876" s="9">
        <v>43844</v>
      </c>
      <c r="D876" s="10">
        <v>43207.040000000001</v>
      </c>
      <c r="E876" s="11" t="s">
        <v>79</v>
      </c>
      <c r="F876" s="12">
        <f t="shared" si="43"/>
        <v>-2.6909666586216741E-4</v>
      </c>
      <c r="I876" s="9"/>
      <c r="K876" s="11"/>
      <c r="L876" s="12"/>
      <c r="O876" s="9"/>
      <c r="Q876" s="11"/>
      <c r="R876" s="12"/>
      <c r="S876" s="12"/>
    </row>
    <row r="877" spans="3:19">
      <c r="C877" s="9">
        <v>43845</v>
      </c>
      <c r="D877" s="10">
        <v>42993.03</v>
      </c>
      <c r="E877" s="11" t="s">
        <v>79</v>
      </c>
      <c r="F877" s="12">
        <f t="shared" si="43"/>
        <v>-4.9531280087690144E-3</v>
      </c>
      <c r="I877" s="9"/>
      <c r="K877" s="11"/>
      <c r="L877" s="12"/>
      <c r="O877" s="9"/>
      <c r="Q877" s="11"/>
      <c r="R877" s="12"/>
      <c r="S877" s="12"/>
    </row>
    <row r="878" spans="3:19">
      <c r="C878" s="9">
        <v>43846</v>
      </c>
      <c r="D878" s="10">
        <v>43065.1</v>
      </c>
      <c r="E878" s="11" t="s">
        <v>79</v>
      </c>
      <c r="F878" s="12">
        <f t="shared" si="43"/>
        <v>1.6763182311179126E-3</v>
      </c>
      <c r="I878" s="9"/>
      <c r="K878" s="11"/>
      <c r="L878" s="12"/>
      <c r="O878" s="9"/>
      <c r="Q878" s="11"/>
      <c r="R878" s="12"/>
      <c r="S878" s="12"/>
    </row>
    <row r="879" spans="3:19">
      <c r="C879" s="9">
        <v>43847</v>
      </c>
      <c r="D879" s="10">
        <v>43167.77</v>
      </c>
      <c r="E879" s="11" t="s">
        <v>79</v>
      </c>
      <c r="F879" s="12">
        <f t="shared" si="43"/>
        <v>2.3840650549979969E-3</v>
      </c>
      <c r="I879" s="9"/>
      <c r="K879" s="11"/>
      <c r="L879" s="12"/>
      <c r="O879" s="9"/>
      <c r="Q879" s="11"/>
      <c r="R879" s="12"/>
      <c r="S879" s="12"/>
    </row>
    <row r="880" spans="3:19">
      <c r="C880" s="9">
        <v>43850</v>
      </c>
      <c r="D880" s="10">
        <v>42747.63</v>
      </c>
      <c r="E880" s="11" t="s">
        <v>79</v>
      </c>
      <c r="F880" s="12">
        <f t="shared" si="43"/>
        <v>-9.7327242060454289E-3</v>
      </c>
      <c r="I880" s="9"/>
      <c r="K880" s="11"/>
      <c r="L880" s="12"/>
      <c r="O880" s="9"/>
      <c r="Q880" s="11"/>
      <c r="R880" s="12"/>
      <c r="S880" s="12"/>
    </row>
    <row r="881" spans="3:19">
      <c r="C881" s="9">
        <v>43851</v>
      </c>
      <c r="D881" s="10">
        <v>42626.48</v>
      </c>
      <c r="E881" s="11" t="s">
        <v>79</v>
      </c>
      <c r="F881" s="12">
        <f t="shared" si="43"/>
        <v>-2.8340752458088092E-3</v>
      </c>
      <c r="I881" s="9"/>
      <c r="K881" s="11"/>
      <c r="L881" s="12"/>
      <c r="O881" s="9"/>
      <c r="Q881" s="11"/>
      <c r="R881" s="12"/>
      <c r="S881" s="12"/>
    </row>
    <row r="882" spans="3:19">
      <c r="C882" s="9">
        <v>43852</v>
      </c>
      <c r="D882" s="10">
        <v>42561.27</v>
      </c>
      <c r="E882" s="11" t="s">
        <v>79</v>
      </c>
      <c r="F882" s="12">
        <f t="shared" si="43"/>
        <v>-1.5298002556158874E-3</v>
      </c>
      <c r="I882" s="9"/>
      <c r="K882" s="11"/>
      <c r="L882" s="12"/>
      <c r="O882" s="9"/>
      <c r="Q882" s="11"/>
      <c r="R882" s="12"/>
      <c r="S882" s="12"/>
    </row>
    <row r="883" spans="3:19">
      <c r="C883" s="9">
        <v>43853</v>
      </c>
      <c r="D883" s="10">
        <v>42506.95</v>
      </c>
      <c r="E883" s="11" t="s">
        <v>79</v>
      </c>
      <c r="F883" s="12">
        <f t="shared" si="43"/>
        <v>-1.2762777050591145E-3</v>
      </c>
      <c r="I883" s="9"/>
      <c r="K883" s="11"/>
      <c r="L883" s="12"/>
      <c r="O883" s="9"/>
      <c r="Q883" s="11"/>
      <c r="R883" s="12"/>
      <c r="S883" s="12"/>
    </row>
    <row r="884" spans="3:19">
      <c r="C884" s="9">
        <v>43854</v>
      </c>
      <c r="D884" s="10">
        <v>42633.03</v>
      </c>
      <c r="E884" s="11" t="s">
        <v>79</v>
      </c>
      <c r="F884" s="12">
        <f t="shared" si="43"/>
        <v>2.9661031901841994E-3</v>
      </c>
      <c r="I884" s="9"/>
      <c r="K884" s="11"/>
      <c r="L884" s="12"/>
      <c r="O884" s="9"/>
      <c r="Q884" s="11"/>
      <c r="R884" s="12"/>
      <c r="S884" s="12"/>
    </row>
    <row r="885" spans="3:19">
      <c r="C885" s="9">
        <v>43857</v>
      </c>
      <c r="D885" s="10">
        <v>42539.23</v>
      </c>
      <c r="E885" s="11" t="s">
        <v>79</v>
      </c>
      <c r="F885" s="12">
        <f t="shared" si="43"/>
        <v>-2.2001720262434521E-3</v>
      </c>
      <c r="I885" s="9"/>
      <c r="K885" s="11"/>
      <c r="L885" s="12"/>
      <c r="O885" s="9"/>
      <c r="Q885" s="11"/>
      <c r="R885" s="12"/>
      <c r="S885" s="12"/>
    </row>
    <row r="886" spans="3:19">
      <c r="C886" s="9">
        <v>43858</v>
      </c>
      <c r="D886" s="10">
        <v>42299.19</v>
      </c>
      <c r="E886" s="11" t="s">
        <v>79</v>
      </c>
      <c r="F886" s="12">
        <f t="shared" si="43"/>
        <v>-5.6427913716351474E-3</v>
      </c>
      <c r="I886" s="9"/>
      <c r="K886" s="11"/>
      <c r="L886" s="12"/>
      <c r="O886" s="9"/>
      <c r="Q886" s="11"/>
      <c r="R886" s="12"/>
      <c r="S886" s="12"/>
    </row>
    <row r="887" spans="3:19">
      <c r="C887" s="9">
        <v>43859</v>
      </c>
      <c r="D887" s="10">
        <v>41898.699999999997</v>
      </c>
      <c r="E887" s="11" t="s">
        <v>79</v>
      </c>
      <c r="F887" s="12">
        <f t="shared" si="43"/>
        <v>-9.468030002465877E-3</v>
      </c>
      <c r="I887" s="9"/>
      <c r="K887" s="11"/>
      <c r="L887" s="12"/>
      <c r="O887" s="9"/>
      <c r="Q887" s="11"/>
      <c r="R887" s="12"/>
      <c r="S887" s="12"/>
    </row>
    <row r="888" spans="3:19">
      <c r="C888" s="9">
        <v>43860</v>
      </c>
      <c r="D888" s="10">
        <v>41903.51</v>
      </c>
      <c r="E888" s="11" t="s">
        <v>79</v>
      </c>
      <c r="F888" s="12">
        <f t="shared" si="43"/>
        <v>1.1480069787372926E-4</v>
      </c>
      <c r="I888" s="9"/>
      <c r="K888" s="11"/>
      <c r="L888" s="12"/>
      <c r="O888" s="9"/>
      <c r="Q888" s="11"/>
      <c r="R888" s="12"/>
      <c r="S888" s="12"/>
    </row>
    <row r="889" spans="3:19">
      <c r="C889" s="9">
        <v>43861</v>
      </c>
      <c r="D889" s="10">
        <v>41630.94</v>
      </c>
      <c r="E889" s="11" t="s">
        <v>79</v>
      </c>
      <c r="F889" s="12">
        <f t="shared" si="43"/>
        <v>-6.5047056917189039E-3</v>
      </c>
      <c r="I889" s="9"/>
      <c r="K889" s="11"/>
      <c r="L889" s="12"/>
      <c r="O889" s="9"/>
      <c r="Q889" s="11"/>
      <c r="R889" s="12"/>
      <c r="S889" s="12"/>
    </row>
    <row r="890" spans="3:19">
      <c r="C890" s="9">
        <v>43864</v>
      </c>
      <c r="D890" s="10">
        <v>40409.379999999997</v>
      </c>
      <c r="E890" s="11" t="s">
        <v>79</v>
      </c>
      <c r="F890" s="12">
        <f t="shared" si="43"/>
        <v>-2.9342599518531243E-2</v>
      </c>
      <c r="I890" s="9"/>
      <c r="K890" s="11"/>
      <c r="L890" s="12"/>
      <c r="O890" s="9"/>
      <c r="Q890" s="11"/>
      <c r="R890" s="12"/>
      <c r="S890" s="12"/>
    </row>
    <row r="891" spans="3:19">
      <c r="C891" s="9">
        <v>43865</v>
      </c>
      <c r="D891" s="10">
        <v>40884.25</v>
      </c>
      <c r="E891" s="11" t="s">
        <v>79</v>
      </c>
      <c r="F891" s="12">
        <f t="shared" si="43"/>
        <v>1.1751479483228966E-2</v>
      </c>
      <c r="I891" s="9"/>
      <c r="K891" s="11"/>
      <c r="L891" s="12"/>
      <c r="O891" s="9"/>
      <c r="Q891" s="11"/>
      <c r="R891" s="12"/>
      <c r="S891" s="12"/>
    </row>
    <row r="892" spans="3:19">
      <c r="C892" s="9">
        <v>43867</v>
      </c>
      <c r="D892" s="10">
        <v>40724.410000000003</v>
      </c>
      <c r="E892" s="11" t="s">
        <v>79</v>
      </c>
      <c r="F892" s="12">
        <f t="shared" si="43"/>
        <v>-3.9095739802000873E-3</v>
      </c>
      <c r="I892" s="9"/>
      <c r="K892" s="11"/>
      <c r="L892" s="12"/>
      <c r="O892" s="9"/>
      <c r="Q892" s="11"/>
      <c r="R892" s="12"/>
      <c r="S892" s="12"/>
    </row>
    <row r="893" spans="3:19">
      <c r="C893" s="9">
        <v>43868</v>
      </c>
      <c r="D893" s="10">
        <v>40143.629999999997</v>
      </c>
      <c r="E893" s="11" t="s">
        <v>79</v>
      </c>
      <c r="F893" s="12">
        <f t="shared" si="43"/>
        <v>-1.4261225638382613E-2</v>
      </c>
      <c r="I893" s="9"/>
      <c r="K893" s="11"/>
      <c r="L893" s="12"/>
      <c r="O893" s="9"/>
      <c r="Q893" s="11"/>
      <c r="R893" s="12"/>
      <c r="S893" s="12"/>
    </row>
    <row r="894" spans="3:19">
      <c r="C894" s="9">
        <v>43871</v>
      </c>
      <c r="D894" s="10">
        <v>39296.699999999997</v>
      </c>
      <c r="E894" s="11" t="s">
        <v>79</v>
      </c>
      <c r="F894" s="12">
        <f t="shared" si="43"/>
        <v>-2.1097494172799047E-2</v>
      </c>
      <c r="I894" s="9"/>
      <c r="K894" s="11"/>
      <c r="L894" s="12"/>
      <c r="O894" s="9"/>
      <c r="Q894" s="11"/>
      <c r="R894" s="12"/>
      <c r="S894" s="12"/>
    </row>
    <row r="895" spans="3:19">
      <c r="C895" s="9">
        <v>43872</v>
      </c>
      <c r="D895" s="10">
        <v>39714.46</v>
      </c>
      <c r="E895" s="11" t="s">
        <v>79</v>
      </c>
      <c r="F895" s="12">
        <f t="shared" si="43"/>
        <v>1.0630918117806365E-2</v>
      </c>
      <c r="I895" s="9"/>
      <c r="K895" s="11"/>
      <c r="L895" s="12"/>
      <c r="O895" s="9"/>
      <c r="Q895" s="11"/>
      <c r="R895" s="12"/>
      <c r="S895" s="12"/>
    </row>
    <row r="896" spans="3:19">
      <c r="C896" s="9">
        <v>43873</v>
      </c>
      <c r="D896" s="10">
        <v>40531.129999999997</v>
      </c>
      <c r="E896" s="11" t="s">
        <v>79</v>
      </c>
      <c r="F896" s="12">
        <f t="shared" si="43"/>
        <v>2.0563542850639216E-2</v>
      </c>
      <c r="I896" s="9"/>
      <c r="K896" s="11"/>
      <c r="L896" s="12"/>
      <c r="O896" s="9"/>
      <c r="Q896" s="11"/>
      <c r="R896" s="12"/>
      <c r="S896" s="12"/>
    </row>
    <row r="897" spans="3:19">
      <c r="C897" s="9">
        <v>43874</v>
      </c>
      <c r="D897" s="10">
        <v>40455.440000000002</v>
      </c>
      <c r="E897" s="11" t="s">
        <v>79</v>
      </c>
      <c r="F897" s="12">
        <f t="shared" si="43"/>
        <v>-1.8674534857526792E-3</v>
      </c>
      <c r="I897" s="9"/>
      <c r="K897" s="11"/>
      <c r="L897" s="12"/>
      <c r="O897" s="9"/>
      <c r="Q897" s="11"/>
      <c r="R897" s="12"/>
      <c r="S897" s="12"/>
    </row>
    <row r="898" spans="3:19">
      <c r="C898" s="9">
        <v>43875</v>
      </c>
      <c r="D898" s="10">
        <v>40243.26</v>
      </c>
      <c r="E898" s="11" t="s">
        <v>79</v>
      </c>
      <c r="F898" s="12">
        <f t="shared" si="43"/>
        <v>-5.2447829018792413E-3</v>
      </c>
      <c r="I898" s="9"/>
      <c r="K898" s="11"/>
      <c r="L898" s="12"/>
      <c r="O898" s="9"/>
      <c r="Q898" s="11"/>
      <c r="R898" s="12"/>
      <c r="S898" s="12"/>
    </row>
    <row r="899" spans="3:19">
      <c r="C899" s="9">
        <v>43878</v>
      </c>
      <c r="D899" s="10">
        <v>40276.93</v>
      </c>
      <c r="E899" s="11" t="s">
        <v>79</v>
      </c>
      <c r="F899" s="12">
        <f t="shared" si="43"/>
        <v>8.3666184101383045E-4</v>
      </c>
      <c r="I899" s="9"/>
      <c r="K899" s="11"/>
      <c r="L899" s="12"/>
      <c r="O899" s="9"/>
      <c r="Q899" s="11"/>
      <c r="R899" s="12"/>
      <c r="S899" s="12"/>
    </row>
    <row r="900" spans="3:19">
      <c r="C900" s="9">
        <v>43879</v>
      </c>
      <c r="D900" s="10">
        <v>40175.35</v>
      </c>
      <c r="E900" s="11" t="s">
        <v>79</v>
      </c>
      <c r="F900" s="12">
        <f t="shared" si="43"/>
        <v>-2.5220392914753198E-3</v>
      </c>
      <c r="I900" s="9"/>
      <c r="K900" s="11"/>
      <c r="L900" s="12"/>
      <c r="O900" s="9"/>
      <c r="Q900" s="11"/>
      <c r="R900" s="12"/>
      <c r="S900" s="12"/>
    </row>
    <row r="901" spans="3:19">
      <c r="C901" s="9">
        <v>43880</v>
      </c>
      <c r="D901" s="10">
        <v>40574.519999999997</v>
      </c>
      <c r="E901" s="11" t="s">
        <v>79</v>
      </c>
      <c r="F901" s="12">
        <f t="shared" si="43"/>
        <v>9.9356943996753433E-3</v>
      </c>
      <c r="I901" s="9"/>
      <c r="K901" s="11"/>
      <c r="L901" s="12"/>
      <c r="O901" s="9"/>
      <c r="Q901" s="11"/>
      <c r="R901" s="12"/>
      <c r="S901" s="12"/>
    </row>
    <row r="902" spans="3:19">
      <c r="C902" s="9">
        <v>43881</v>
      </c>
      <c r="D902" s="10">
        <v>40481.65</v>
      </c>
      <c r="E902" s="11" t="s">
        <v>79</v>
      </c>
      <c r="F902" s="12">
        <f t="shared" si="43"/>
        <v>-2.288874889955439E-3</v>
      </c>
      <c r="I902" s="9"/>
      <c r="K902" s="11"/>
      <c r="L902" s="12"/>
      <c r="O902" s="9"/>
      <c r="Q902" s="11"/>
      <c r="R902" s="12"/>
      <c r="S902" s="12"/>
    </row>
    <row r="903" spans="3:19">
      <c r="C903" s="9">
        <v>43882</v>
      </c>
      <c r="D903" s="10">
        <v>40249.22</v>
      </c>
      <c r="E903" s="11" t="s">
        <v>79</v>
      </c>
      <c r="F903" s="12">
        <f t="shared" ref="F903:F966" si="44">D903/D902-1</f>
        <v>-5.7416137929160449E-3</v>
      </c>
      <c r="I903" s="9"/>
      <c r="K903" s="11"/>
      <c r="L903" s="12"/>
      <c r="O903" s="9"/>
      <c r="Q903" s="11"/>
      <c r="R903" s="12"/>
      <c r="S903" s="12"/>
    </row>
    <row r="904" spans="3:19">
      <c r="C904" s="9">
        <v>43885</v>
      </c>
      <c r="D904" s="10">
        <v>39143.730000000003</v>
      </c>
      <c r="E904" s="11" t="s">
        <v>79</v>
      </c>
      <c r="F904" s="12">
        <f t="shared" si="44"/>
        <v>-2.7466122324854902E-2</v>
      </c>
      <c r="I904" s="9"/>
      <c r="K904" s="11"/>
      <c r="L904" s="12"/>
      <c r="O904" s="9"/>
      <c r="Q904" s="11"/>
      <c r="R904" s="12"/>
      <c r="S904" s="12"/>
    </row>
    <row r="905" spans="3:19">
      <c r="C905" s="9">
        <v>43886</v>
      </c>
      <c r="D905" s="10">
        <v>38858.449999999997</v>
      </c>
      <c r="E905" s="11" t="s">
        <v>79</v>
      </c>
      <c r="F905" s="12">
        <f t="shared" si="44"/>
        <v>-7.2880126651192478E-3</v>
      </c>
      <c r="I905" s="9"/>
      <c r="K905" s="11"/>
      <c r="L905" s="12"/>
      <c r="O905" s="9"/>
      <c r="Q905" s="11"/>
      <c r="R905" s="12"/>
      <c r="S905" s="12"/>
    </row>
    <row r="906" spans="3:19">
      <c r="C906" s="9">
        <v>43887</v>
      </c>
      <c r="D906" s="10">
        <v>38338.33</v>
      </c>
      <c r="E906" s="11" t="s">
        <v>79</v>
      </c>
      <c r="F906" s="12">
        <f t="shared" si="44"/>
        <v>-1.3384990909312999E-2</v>
      </c>
      <c r="I906" s="9"/>
      <c r="K906" s="11"/>
      <c r="L906" s="12"/>
      <c r="O906" s="9"/>
      <c r="Q906" s="11"/>
      <c r="R906" s="12"/>
      <c r="S906" s="12"/>
    </row>
    <row r="907" spans="3:19">
      <c r="C907" s="9">
        <v>43888</v>
      </c>
      <c r="D907" s="10">
        <v>38087.32</v>
      </c>
      <c r="E907" s="11" t="s">
        <v>79</v>
      </c>
      <c r="F907" s="12">
        <f t="shared" si="44"/>
        <v>-6.5472335388631064E-3</v>
      </c>
      <c r="I907" s="9"/>
      <c r="K907" s="11"/>
      <c r="L907" s="12"/>
      <c r="O907" s="9"/>
      <c r="Q907" s="11"/>
      <c r="R907" s="12"/>
      <c r="S907" s="12"/>
    </row>
    <row r="908" spans="3:19">
      <c r="C908" s="9">
        <v>43889</v>
      </c>
      <c r="D908" s="10">
        <v>37983.620000000003</v>
      </c>
      <c r="E908" s="11" t="s">
        <v>79</v>
      </c>
      <c r="F908" s="12">
        <f t="shared" si="44"/>
        <v>-2.7226909113058362E-3</v>
      </c>
      <c r="I908" s="9"/>
      <c r="K908" s="11"/>
      <c r="L908" s="12"/>
      <c r="O908" s="9"/>
      <c r="Q908" s="11"/>
      <c r="R908" s="12"/>
      <c r="S908" s="12"/>
    </row>
    <row r="909" spans="3:19">
      <c r="C909" s="9">
        <v>43892</v>
      </c>
      <c r="D909" s="10">
        <v>39296.300000000003</v>
      </c>
      <c r="E909" s="11" t="s">
        <v>79</v>
      </c>
      <c r="F909" s="12">
        <f t="shared" si="44"/>
        <v>3.4559107320471405E-2</v>
      </c>
      <c r="I909" s="9"/>
      <c r="K909" s="11"/>
      <c r="L909" s="12"/>
      <c r="O909" s="9"/>
      <c r="Q909" s="11"/>
      <c r="R909" s="12"/>
      <c r="S909" s="12"/>
    </row>
    <row r="910" spans="3:19">
      <c r="C910" s="9">
        <v>43893</v>
      </c>
      <c r="D910" s="10">
        <v>39199.68</v>
      </c>
      <c r="E910" s="11" t="s">
        <v>79</v>
      </c>
      <c r="F910" s="12">
        <f t="shared" si="44"/>
        <v>-2.4587556589298343E-3</v>
      </c>
      <c r="I910" s="9"/>
      <c r="K910" s="11"/>
      <c r="L910" s="12"/>
      <c r="O910" s="9"/>
      <c r="Q910" s="11"/>
      <c r="R910" s="12"/>
      <c r="S910" s="12"/>
    </row>
    <row r="911" spans="3:19">
      <c r="C911" s="9">
        <v>43894</v>
      </c>
      <c r="D911" s="10">
        <v>38906.400000000001</v>
      </c>
      <c r="E911" s="11" t="s">
        <v>79</v>
      </c>
      <c r="F911" s="12">
        <f t="shared" si="44"/>
        <v>-7.4816937281120266E-3</v>
      </c>
      <c r="I911" s="9"/>
      <c r="K911" s="11"/>
      <c r="L911" s="12"/>
      <c r="O911" s="9"/>
      <c r="Q911" s="11"/>
      <c r="R911" s="12"/>
      <c r="S911" s="12"/>
    </row>
    <row r="912" spans="3:19">
      <c r="C912" s="9">
        <v>43895</v>
      </c>
      <c r="D912" s="10">
        <v>39382.11</v>
      </c>
      <c r="E912" s="11" t="s">
        <v>79</v>
      </c>
      <c r="F912" s="12">
        <f t="shared" si="44"/>
        <v>1.2227037196965052E-2</v>
      </c>
      <c r="I912" s="9"/>
      <c r="K912" s="11"/>
      <c r="L912" s="12"/>
      <c r="O912" s="9"/>
      <c r="Q912" s="11"/>
      <c r="R912" s="12"/>
      <c r="S912" s="12"/>
    </row>
    <row r="913" spans="3:19">
      <c r="C913" s="9">
        <v>43896</v>
      </c>
      <c r="D913" s="10">
        <v>38219.67</v>
      </c>
      <c r="E913" s="11" t="s">
        <v>79</v>
      </c>
      <c r="F913" s="12">
        <f t="shared" si="44"/>
        <v>-2.9516955795410693E-2</v>
      </c>
      <c r="I913" s="9"/>
      <c r="K913" s="11"/>
      <c r="L913" s="12"/>
      <c r="O913" s="9"/>
      <c r="Q913" s="11"/>
      <c r="R913" s="12"/>
      <c r="S913" s="12"/>
    </row>
    <row r="914" spans="3:19">
      <c r="C914" s="9">
        <v>43899</v>
      </c>
      <c r="D914" s="10">
        <v>37058.949999999997</v>
      </c>
      <c r="E914" s="11" t="s">
        <v>79</v>
      </c>
      <c r="F914" s="12">
        <f t="shared" si="44"/>
        <v>-3.0369702302505575E-2</v>
      </c>
      <c r="I914" s="9"/>
      <c r="K914" s="11"/>
      <c r="L914" s="12"/>
      <c r="O914" s="9"/>
      <c r="Q914" s="11"/>
      <c r="R914" s="12"/>
      <c r="S914" s="12"/>
    </row>
    <row r="915" spans="3:19">
      <c r="C915" s="9">
        <v>43900</v>
      </c>
      <c r="D915" s="10">
        <v>37695.75</v>
      </c>
      <c r="E915" s="11" t="s">
        <v>79</v>
      </c>
      <c r="F915" s="12">
        <f t="shared" si="44"/>
        <v>1.7183433421616101E-2</v>
      </c>
      <c r="I915" s="9"/>
      <c r="K915" s="11"/>
      <c r="L915" s="12"/>
      <c r="O915" s="9"/>
      <c r="Q915" s="11"/>
      <c r="R915" s="12"/>
      <c r="S915" s="12"/>
    </row>
    <row r="916" spans="3:19">
      <c r="C916" s="9">
        <v>43901</v>
      </c>
      <c r="D916" s="10">
        <v>37673.25</v>
      </c>
      <c r="E916" s="11" t="s">
        <v>79</v>
      </c>
      <c r="F916" s="12">
        <f t="shared" si="44"/>
        <v>-5.9688426414117313E-4</v>
      </c>
      <c r="I916" s="9"/>
      <c r="K916" s="11"/>
      <c r="L916" s="12"/>
      <c r="O916" s="9"/>
      <c r="Q916" s="11"/>
      <c r="R916" s="12"/>
      <c r="S916" s="12"/>
    </row>
    <row r="917" spans="3:19">
      <c r="C917" s="9">
        <v>43902</v>
      </c>
      <c r="D917" s="10">
        <v>35956.69</v>
      </c>
      <c r="E917" s="11" t="s">
        <v>79</v>
      </c>
      <c r="F917" s="12">
        <f t="shared" si="44"/>
        <v>-4.5564425686660859E-2</v>
      </c>
      <c r="I917" s="9"/>
      <c r="K917" s="11"/>
      <c r="L917" s="12"/>
      <c r="O917" s="9"/>
      <c r="Q917" s="11"/>
      <c r="R917" s="12"/>
      <c r="S917" s="12"/>
    </row>
    <row r="918" spans="3:19">
      <c r="C918" s="9">
        <v>43903</v>
      </c>
      <c r="D918" s="10">
        <v>36060.879999999997</v>
      </c>
      <c r="E918" s="11" t="s">
        <v>79</v>
      </c>
      <c r="F918" s="12">
        <f t="shared" si="44"/>
        <v>2.8976527038500066E-3</v>
      </c>
      <c r="I918" s="9"/>
      <c r="K918" s="11"/>
      <c r="L918" s="12"/>
      <c r="O918" s="9"/>
      <c r="Q918" s="11"/>
      <c r="R918" s="12"/>
      <c r="S918" s="12"/>
    </row>
    <row r="919" spans="3:19">
      <c r="C919" s="9">
        <v>43906</v>
      </c>
      <c r="D919" s="10">
        <v>33684.910000000003</v>
      </c>
      <c r="E919" s="11" t="s">
        <v>79</v>
      </c>
      <c r="F919" s="12">
        <f t="shared" si="44"/>
        <v>-6.5887743172102109E-2</v>
      </c>
      <c r="I919" s="9"/>
      <c r="K919" s="11"/>
      <c r="L919" s="12"/>
      <c r="O919" s="9"/>
      <c r="Q919" s="11"/>
      <c r="R919" s="12"/>
      <c r="S919" s="12"/>
    </row>
    <row r="920" spans="3:19">
      <c r="C920" s="9">
        <v>43907</v>
      </c>
      <c r="D920" s="10">
        <v>32616.93</v>
      </c>
      <c r="E920" s="11" t="s">
        <v>79</v>
      </c>
      <c r="F920" s="12">
        <f t="shared" si="44"/>
        <v>-3.1704997875903529E-2</v>
      </c>
      <c r="I920" s="9"/>
      <c r="K920" s="11"/>
      <c r="L920" s="12"/>
      <c r="O920" s="9"/>
      <c r="Q920" s="11"/>
      <c r="R920" s="12"/>
      <c r="S920" s="12"/>
    </row>
    <row r="921" spans="3:19">
      <c r="C921" s="9">
        <v>43908</v>
      </c>
      <c r="D921" s="10">
        <v>30416.05</v>
      </c>
      <c r="E921" s="11" t="s">
        <v>79</v>
      </c>
      <c r="F921" s="12">
        <f t="shared" si="44"/>
        <v>-6.7476614138731073E-2</v>
      </c>
      <c r="I921" s="9"/>
      <c r="K921" s="11"/>
      <c r="L921" s="12"/>
      <c r="O921" s="9"/>
      <c r="Q921" s="11"/>
      <c r="R921" s="12"/>
      <c r="S921" s="12"/>
    </row>
    <row r="922" spans="3:19">
      <c r="C922" s="9">
        <v>43909</v>
      </c>
      <c r="D922" s="10">
        <v>30129.83</v>
      </c>
      <c r="E922" s="11" t="s">
        <v>79</v>
      </c>
      <c r="F922" s="12">
        <f t="shared" si="44"/>
        <v>-9.4101633841342514E-3</v>
      </c>
      <c r="I922" s="9"/>
      <c r="K922" s="11"/>
      <c r="L922" s="12"/>
      <c r="O922" s="9"/>
      <c r="Q922" s="11"/>
      <c r="R922" s="12"/>
      <c r="S922" s="12"/>
    </row>
    <row r="923" spans="3:19">
      <c r="C923" s="9">
        <v>43910</v>
      </c>
      <c r="D923" s="10">
        <v>30667.41</v>
      </c>
      <c r="E923" s="11" t="s">
        <v>79</v>
      </c>
      <c r="F923" s="12">
        <f t="shared" si="44"/>
        <v>1.7842118591442357E-2</v>
      </c>
      <c r="I923" s="9"/>
      <c r="K923" s="11"/>
      <c r="L923" s="12"/>
      <c r="O923" s="9"/>
      <c r="Q923" s="11"/>
      <c r="R923" s="12"/>
      <c r="S923" s="12"/>
    </row>
    <row r="924" spans="3:19">
      <c r="C924" s="9">
        <v>43914</v>
      </c>
      <c r="D924" s="10">
        <v>28564.83</v>
      </c>
      <c r="E924" s="11" t="s">
        <v>79</v>
      </c>
      <c r="F924" s="12">
        <f t="shared" si="44"/>
        <v>-6.8560729451883851E-2</v>
      </c>
      <c r="I924" s="9"/>
      <c r="K924" s="11"/>
      <c r="L924" s="12"/>
      <c r="O924" s="9"/>
      <c r="Q924" s="11"/>
      <c r="R924" s="12"/>
      <c r="S924" s="12"/>
    </row>
    <row r="925" spans="3:19">
      <c r="C925" s="9">
        <v>43915</v>
      </c>
      <c r="D925" s="10">
        <v>27228.799999999999</v>
      </c>
      <c r="E925" s="11" t="s">
        <v>79</v>
      </c>
      <c r="F925" s="12">
        <f t="shared" si="44"/>
        <v>-4.6771851959210076E-2</v>
      </c>
      <c r="I925" s="9"/>
      <c r="K925" s="11"/>
      <c r="L925" s="12"/>
      <c r="O925" s="9"/>
      <c r="Q925" s="11"/>
      <c r="R925" s="12"/>
      <c r="S925" s="12"/>
    </row>
    <row r="926" spans="3:19">
      <c r="C926" s="9">
        <v>43916</v>
      </c>
      <c r="D926" s="10">
        <v>27267.200000000001</v>
      </c>
      <c r="E926" s="11" t="s">
        <v>79</v>
      </c>
      <c r="F926" s="12">
        <f t="shared" si="44"/>
        <v>1.4102714772594727E-3</v>
      </c>
      <c r="I926" s="9"/>
      <c r="K926" s="11"/>
      <c r="L926" s="12"/>
      <c r="O926" s="9"/>
      <c r="Q926" s="11"/>
      <c r="R926" s="12"/>
      <c r="S926" s="12"/>
    </row>
    <row r="927" spans="3:19">
      <c r="C927" s="9">
        <v>43917</v>
      </c>
      <c r="D927" s="10">
        <v>28109.57</v>
      </c>
      <c r="E927" s="11" t="s">
        <v>79</v>
      </c>
      <c r="F927" s="12">
        <f t="shared" si="44"/>
        <v>3.0893161013965553E-2</v>
      </c>
      <c r="I927" s="9"/>
      <c r="K927" s="11"/>
      <c r="L927" s="12"/>
      <c r="O927" s="9"/>
      <c r="Q927" s="11"/>
      <c r="R927" s="12"/>
      <c r="S927" s="12"/>
    </row>
    <row r="928" spans="3:19">
      <c r="C928" s="9">
        <v>43920</v>
      </c>
      <c r="D928" s="10">
        <v>28023.39</v>
      </c>
      <c r="E928" s="11" t="s">
        <v>79</v>
      </c>
      <c r="F928" s="12">
        <f t="shared" si="44"/>
        <v>-3.0658597765814699E-3</v>
      </c>
      <c r="I928" s="9"/>
      <c r="K928" s="11"/>
      <c r="L928" s="12"/>
      <c r="O928" s="9"/>
      <c r="Q928" s="11"/>
      <c r="R928" s="12"/>
      <c r="S928" s="12"/>
    </row>
    <row r="929" spans="3:19">
      <c r="C929" s="9">
        <v>43921</v>
      </c>
      <c r="D929" s="10">
        <v>29231.63</v>
      </c>
      <c r="E929" s="11" t="s">
        <v>79</v>
      </c>
      <c r="F929" s="12">
        <f t="shared" si="44"/>
        <v>4.3115411804210746E-2</v>
      </c>
      <c r="I929" s="9"/>
      <c r="K929" s="11"/>
      <c r="L929" s="12"/>
      <c r="O929" s="9"/>
      <c r="Q929" s="11"/>
      <c r="R929" s="12"/>
      <c r="S929" s="12"/>
    </row>
    <row r="930" spans="3:19">
      <c r="C930" s="9">
        <v>43922</v>
      </c>
      <c r="D930" s="10">
        <v>29505.57</v>
      </c>
      <c r="E930" s="11" t="s">
        <v>79</v>
      </c>
      <c r="F930" s="12">
        <f t="shared" si="44"/>
        <v>9.3713556171859391E-3</v>
      </c>
      <c r="I930" s="9"/>
      <c r="K930" s="11"/>
      <c r="L930" s="12"/>
      <c r="O930" s="9"/>
      <c r="Q930" s="11"/>
      <c r="R930" s="12"/>
      <c r="S930" s="12"/>
    </row>
    <row r="931" spans="3:19">
      <c r="C931" s="9">
        <v>43923</v>
      </c>
      <c r="D931" s="10">
        <v>30782.66</v>
      </c>
      <c r="E931" s="11" t="s">
        <v>79</v>
      </c>
      <c r="F931" s="12">
        <f t="shared" si="44"/>
        <v>4.3283014020742527E-2</v>
      </c>
      <c r="I931" s="9"/>
      <c r="K931" s="11"/>
      <c r="L931" s="12"/>
      <c r="O931" s="9"/>
      <c r="Q931" s="11"/>
      <c r="R931" s="12"/>
      <c r="S931" s="12"/>
    </row>
    <row r="932" spans="3:19">
      <c r="C932" s="9">
        <v>43924</v>
      </c>
      <c r="D932" s="10">
        <v>31621.79</v>
      </c>
      <c r="E932" s="11" t="s">
        <v>79</v>
      </c>
      <c r="F932" s="12">
        <f t="shared" si="44"/>
        <v>2.7259827448310237E-2</v>
      </c>
      <c r="I932" s="9"/>
      <c r="K932" s="11"/>
      <c r="L932" s="12"/>
      <c r="O932" s="9"/>
      <c r="Q932" s="11"/>
      <c r="R932" s="12"/>
      <c r="S932" s="12"/>
    </row>
    <row r="933" spans="3:19">
      <c r="C933" s="9">
        <v>43927</v>
      </c>
      <c r="D933" s="10">
        <v>30579.15</v>
      </c>
      <c r="E933" s="11" t="s">
        <v>79</v>
      </c>
      <c r="F933" s="12">
        <f t="shared" si="44"/>
        <v>-3.297220049845373E-2</v>
      </c>
      <c r="I933" s="9"/>
      <c r="K933" s="11"/>
      <c r="L933" s="12"/>
      <c r="O933" s="9"/>
      <c r="Q933" s="11"/>
      <c r="R933" s="12"/>
      <c r="S933" s="12"/>
    </row>
    <row r="934" spans="3:19">
      <c r="C934" s="9">
        <v>43928</v>
      </c>
      <c r="D934" s="10">
        <v>31231.55</v>
      </c>
      <c r="E934" s="11" t="s">
        <v>79</v>
      </c>
      <c r="F934" s="12">
        <f t="shared" si="44"/>
        <v>2.1334798383866094E-2</v>
      </c>
      <c r="I934" s="9"/>
      <c r="K934" s="11"/>
      <c r="L934" s="12"/>
      <c r="O934" s="9"/>
      <c r="Q934" s="11"/>
      <c r="R934" s="12"/>
      <c r="S934" s="12"/>
    </row>
    <row r="935" spans="3:19">
      <c r="C935" s="9">
        <v>43929</v>
      </c>
      <c r="D935" s="10">
        <v>30971.27</v>
      </c>
      <c r="E935" s="11" t="s">
        <v>79</v>
      </c>
      <c r="F935" s="12">
        <f t="shared" si="44"/>
        <v>-8.3338803229425773E-3</v>
      </c>
      <c r="I935" s="9"/>
      <c r="K935" s="11"/>
      <c r="L935" s="12"/>
      <c r="O935" s="9"/>
      <c r="Q935" s="11"/>
      <c r="R935" s="12"/>
      <c r="S935" s="12"/>
    </row>
    <row r="936" spans="3:19">
      <c r="C936" s="9">
        <v>43930</v>
      </c>
      <c r="D936" s="10">
        <v>31837.3</v>
      </c>
      <c r="E936" s="11" t="s">
        <v>79</v>
      </c>
      <c r="F936" s="12">
        <f t="shared" si="44"/>
        <v>2.796236641248484E-2</v>
      </c>
      <c r="I936" s="9"/>
      <c r="K936" s="11"/>
      <c r="L936" s="12"/>
      <c r="O936" s="9"/>
      <c r="Q936" s="11"/>
      <c r="R936" s="12"/>
      <c r="S936" s="12"/>
    </row>
    <row r="937" spans="3:19">
      <c r="C937" s="9">
        <v>43931</v>
      </c>
      <c r="D937" s="10">
        <v>32033.200000000001</v>
      </c>
      <c r="E937" s="11" t="s">
        <v>79</v>
      </c>
      <c r="F937" s="12">
        <f t="shared" si="44"/>
        <v>6.1531599727364661E-3</v>
      </c>
      <c r="I937" s="9"/>
      <c r="K937" s="11"/>
      <c r="L937" s="12"/>
      <c r="O937" s="9"/>
      <c r="Q937" s="11"/>
      <c r="R937" s="12"/>
      <c r="S937" s="12"/>
    </row>
    <row r="938" spans="3:19">
      <c r="C938" s="9">
        <v>43934</v>
      </c>
      <c r="D938" s="10">
        <v>31032.99</v>
      </c>
      <c r="E938" s="11" t="s">
        <v>79</v>
      </c>
      <c r="F938" s="12">
        <f t="shared" si="44"/>
        <v>-3.1224167426295191E-2</v>
      </c>
      <c r="I938" s="9"/>
      <c r="K938" s="11"/>
      <c r="L938" s="12"/>
      <c r="O938" s="9"/>
      <c r="Q938" s="11"/>
      <c r="R938" s="12"/>
      <c r="S938" s="12"/>
    </row>
    <row r="939" spans="3:19">
      <c r="C939" s="9">
        <v>43935</v>
      </c>
      <c r="D939" s="10">
        <v>31222.74</v>
      </c>
      <c r="E939" s="11" t="s">
        <v>79</v>
      </c>
      <c r="F939" s="12">
        <f t="shared" si="44"/>
        <v>6.1144607722298794E-3</v>
      </c>
      <c r="I939" s="9"/>
      <c r="K939" s="11"/>
      <c r="L939" s="12"/>
      <c r="O939" s="9"/>
      <c r="Q939" s="11"/>
      <c r="R939" s="12"/>
      <c r="S939" s="12"/>
    </row>
    <row r="940" spans="3:19">
      <c r="C940" s="9">
        <v>43936</v>
      </c>
      <c r="D940" s="10">
        <v>31242.19</v>
      </c>
      <c r="E940" s="11" t="s">
        <v>79</v>
      </c>
      <c r="F940" s="12">
        <f t="shared" si="44"/>
        <v>6.2294340599189368E-4</v>
      </c>
      <c r="I940" s="9"/>
      <c r="K940" s="11"/>
      <c r="L940" s="12"/>
      <c r="O940" s="9"/>
      <c r="Q940" s="11"/>
      <c r="R940" s="12"/>
      <c r="S940" s="12"/>
    </row>
    <row r="941" spans="3:19">
      <c r="C941" s="9">
        <v>43937</v>
      </c>
      <c r="D941" s="10">
        <v>31329.46</v>
      </c>
      <c r="E941" s="11" t="s">
        <v>79</v>
      </c>
      <c r="F941" s="12">
        <f t="shared" si="44"/>
        <v>2.7933381110607503E-3</v>
      </c>
      <c r="I941" s="9"/>
      <c r="K941" s="11"/>
      <c r="L941" s="12"/>
      <c r="O941" s="9"/>
      <c r="Q941" s="11"/>
      <c r="R941" s="12"/>
      <c r="S941" s="12"/>
    </row>
    <row r="942" spans="3:19">
      <c r="C942" s="9">
        <v>43938</v>
      </c>
      <c r="D942" s="10">
        <v>32831.83</v>
      </c>
      <c r="E942" s="11" t="s">
        <v>79</v>
      </c>
      <c r="F942" s="12">
        <f t="shared" si="44"/>
        <v>4.7953906642502098E-2</v>
      </c>
      <c r="I942" s="9"/>
      <c r="K942" s="11"/>
      <c r="L942" s="12"/>
      <c r="O942" s="9"/>
      <c r="Q942" s="11"/>
      <c r="R942" s="12"/>
      <c r="S942" s="12"/>
    </row>
    <row r="943" spans="3:19">
      <c r="C943" s="9">
        <v>43941</v>
      </c>
      <c r="D943" s="10">
        <v>33499.65</v>
      </c>
      <c r="E943" s="11" t="s">
        <v>79</v>
      </c>
      <c r="F943" s="12">
        <f t="shared" si="44"/>
        <v>2.0340626763722947E-2</v>
      </c>
      <c r="I943" s="9"/>
      <c r="K943" s="11"/>
      <c r="L943" s="12"/>
      <c r="O943" s="9"/>
      <c r="Q943" s="11"/>
      <c r="R943" s="12"/>
      <c r="S943" s="12"/>
    </row>
    <row r="944" spans="3:19">
      <c r="C944" s="9">
        <v>43942</v>
      </c>
      <c r="D944" s="10">
        <v>32422.83</v>
      </c>
      <c r="E944" s="11" t="s">
        <v>79</v>
      </c>
      <c r="F944" s="12">
        <f t="shared" si="44"/>
        <v>-3.2144216432111961E-2</v>
      </c>
      <c r="I944" s="9"/>
      <c r="K944" s="11"/>
      <c r="L944" s="12"/>
      <c r="O944" s="9"/>
      <c r="Q944" s="11"/>
      <c r="R944" s="12"/>
      <c r="S944" s="12"/>
    </row>
    <row r="945" spans="3:19">
      <c r="C945" s="9">
        <v>43943</v>
      </c>
      <c r="D945" s="10">
        <v>32464.23</v>
      </c>
      <c r="E945" s="11" t="s">
        <v>79</v>
      </c>
      <c r="F945" s="12">
        <f t="shared" si="44"/>
        <v>1.2768780516689837E-3</v>
      </c>
      <c r="I945" s="9"/>
      <c r="K945" s="11"/>
      <c r="L945" s="12"/>
      <c r="O945" s="9"/>
      <c r="Q945" s="11"/>
      <c r="R945" s="12"/>
      <c r="S945" s="12"/>
    </row>
    <row r="946" spans="3:19">
      <c r="C946" s="9">
        <v>43944</v>
      </c>
      <c r="D946" s="10">
        <v>32850.83</v>
      </c>
      <c r="E946" s="11" t="s">
        <v>79</v>
      </c>
      <c r="F946" s="12">
        <f t="shared" si="44"/>
        <v>1.1908491284099432E-2</v>
      </c>
      <c r="I946" s="9"/>
      <c r="K946" s="11"/>
      <c r="L946" s="12"/>
      <c r="O946" s="9"/>
      <c r="Q946" s="11"/>
      <c r="R946" s="12"/>
      <c r="S946" s="12"/>
    </row>
    <row r="947" spans="3:19">
      <c r="C947" s="9">
        <v>43945</v>
      </c>
      <c r="D947" s="10">
        <v>32806.379999999997</v>
      </c>
      <c r="E947" s="11" t="s">
        <v>79</v>
      </c>
      <c r="F947" s="12">
        <f t="shared" si="44"/>
        <v>-1.353086055968844E-3</v>
      </c>
      <c r="I947" s="9"/>
      <c r="K947" s="11"/>
      <c r="L947" s="12"/>
      <c r="O947" s="9"/>
      <c r="Q947" s="11"/>
      <c r="R947" s="12"/>
      <c r="S947" s="12"/>
    </row>
    <row r="948" spans="3:19">
      <c r="C948" s="9">
        <v>43948</v>
      </c>
      <c r="D948" s="10">
        <v>32314.57</v>
      </c>
      <c r="E948" s="11" t="s">
        <v>79</v>
      </c>
      <c r="F948" s="12">
        <f t="shared" si="44"/>
        <v>-1.4991291328089185E-2</v>
      </c>
      <c r="I948" s="9"/>
      <c r="K948" s="11"/>
      <c r="L948" s="12"/>
      <c r="O948" s="9"/>
      <c r="Q948" s="11"/>
      <c r="R948" s="12"/>
      <c r="S948" s="12"/>
    </row>
    <row r="949" spans="3:19">
      <c r="C949" s="9">
        <v>43949</v>
      </c>
      <c r="D949" s="10">
        <v>32553.39</v>
      </c>
      <c r="E949" s="11" t="s">
        <v>79</v>
      </c>
      <c r="F949" s="12">
        <f t="shared" si="44"/>
        <v>7.3904743278341289E-3</v>
      </c>
      <c r="I949" s="9"/>
      <c r="K949" s="11"/>
      <c r="L949" s="12"/>
      <c r="O949" s="9"/>
      <c r="Q949" s="11"/>
      <c r="R949" s="12"/>
      <c r="S949" s="12"/>
    </row>
    <row r="950" spans="3:19">
      <c r="C950" s="9">
        <v>43950</v>
      </c>
      <c r="D950" s="10">
        <v>33158.839999999997</v>
      </c>
      <c r="E950" s="11" t="s">
        <v>79</v>
      </c>
      <c r="F950" s="12">
        <f t="shared" si="44"/>
        <v>1.8598677434208843E-2</v>
      </c>
      <c r="I950" s="9"/>
      <c r="K950" s="11"/>
      <c r="L950" s="12"/>
      <c r="O950" s="9"/>
      <c r="Q950" s="11"/>
      <c r="R950" s="12"/>
      <c r="S950" s="12"/>
    </row>
    <row r="951" spans="3:19">
      <c r="C951" s="9">
        <v>43951</v>
      </c>
      <c r="D951" s="10">
        <v>34111.64</v>
      </c>
      <c r="E951" s="11" t="s">
        <v>79</v>
      </c>
      <c r="F951" s="12">
        <f t="shared" si="44"/>
        <v>2.8734418936247508E-2</v>
      </c>
      <c r="I951" s="9"/>
      <c r="K951" s="11"/>
      <c r="L951" s="12"/>
      <c r="O951" s="9"/>
      <c r="Q951" s="11"/>
      <c r="R951" s="12"/>
      <c r="S951" s="12"/>
    </row>
    <row r="952" spans="3:19">
      <c r="C952" s="9">
        <v>43955</v>
      </c>
      <c r="D952" s="10">
        <v>33916.639999999999</v>
      </c>
      <c r="E952" s="11" t="s">
        <v>79</v>
      </c>
      <c r="F952" s="12">
        <f t="shared" si="44"/>
        <v>-5.7165237438012717E-3</v>
      </c>
      <c r="I952" s="9"/>
      <c r="K952" s="11"/>
      <c r="L952" s="12"/>
      <c r="O952" s="9"/>
      <c r="Q952" s="11"/>
      <c r="R952" s="12"/>
      <c r="S952" s="12"/>
    </row>
    <row r="953" spans="3:19">
      <c r="C953" s="9">
        <v>43956</v>
      </c>
      <c r="D953" s="10">
        <v>33992.75</v>
      </c>
      <c r="E953" s="11" t="s">
        <v>79</v>
      </c>
      <c r="F953" s="12">
        <f t="shared" si="44"/>
        <v>2.2440312483784641E-3</v>
      </c>
      <c r="I953" s="9"/>
      <c r="K953" s="11"/>
      <c r="L953" s="12"/>
      <c r="O953" s="9"/>
      <c r="Q953" s="11"/>
      <c r="R953" s="12"/>
      <c r="S953" s="12"/>
    </row>
    <row r="954" spans="3:19">
      <c r="C954" s="9">
        <v>43957</v>
      </c>
      <c r="D954" s="10">
        <v>33728.18</v>
      </c>
      <c r="E954" s="11" t="s">
        <v>79</v>
      </c>
      <c r="F954" s="12">
        <f t="shared" si="44"/>
        <v>-7.7831302262982849E-3</v>
      </c>
      <c r="I954" s="9"/>
      <c r="K954" s="11"/>
      <c r="L954" s="12"/>
      <c r="O954" s="9"/>
      <c r="Q954" s="11"/>
      <c r="R954" s="12"/>
      <c r="S954" s="12"/>
    </row>
    <row r="955" spans="3:19">
      <c r="C955" s="9">
        <v>43958</v>
      </c>
      <c r="D955" s="10">
        <v>33304.160000000003</v>
      </c>
      <c r="E955" s="11" t="s">
        <v>79</v>
      </c>
      <c r="F955" s="12">
        <f t="shared" si="44"/>
        <v>-1.2571683381670695E-2</v>
      </c>
      <c r="I955" s="9"/>
      <c r="K955" s="11"/>
      <c r="L955" s="12"/>
      <c r="O955" s="9"/>
      <c r="Q955" s="11"/>
      <c r="R955" s="12"/>
      <c r="S955" s="12"/>
    </row>
    <row r="956" spans="3:19">
      <c r="C956" s="9">
        <v>43959</v>
      </c>
      <c r="D956" s="10">
        <v>33267.69</v>
      </c>
      <c r="E956" s="11" t="s">
        <v>79</v>
      </c>
      <c r="F956" s="12">
        <f t="shared" si="44"/>
        <v>-1.0950583951074844E-3</v>
      </c>
      <c r="I956" s="9"/>
      <c r="K956" s="11"/>
      <c r="L956" s="12"/>
      <c r="O956" s="9"/>
      <c r="Q956" s="11"/>
      <c r="R956" s="12"/>
      <c r="S956" s="12"/>
    </row>
    <row r="957" spans="3:19">
      <c r="C957" s="9">
        <v>43962</v>
      </c>
      <c r="D957" s="10">
        <v>33283.79</v>
      </c>
      <c r="E957" s="11" t="s">
        <v>79</v>
      </c>
      <c r="F957" s="12">
        <f t="shared" si="44"/>
        <v>4.8395304873882772E-4</v>
      </c>
      <c r="I957" s="9"/>
      <c r="K957" s="11"/>
      <c r="L957" s="12"/>
      <c r="O957" s="9"/>
      <c r="Q957" s="11"/>
      <c r="R957" s="12"/>
      <c r="S957" s="12"/>
    </row>
    <row r="958" spans="3:19">
      <c r="C958" s="9">
        <v>43963</v>
      </c>
      <c r="D958" s="10">
        <v>33603.019999999997</v>
      </c>
      <c r="E958" s="11" t="s">
        <v>79</v>
      </c>
      <c r="F958" s="12">
        <f t="shared" si="44"/>
        <v>9.5911553341729849E-3</v>
      </c>
      <c r="I958" s="9"/>
      <c r="K958" s="11"/>
      <c r="L958" s="12"/>
      <c r="O958" s="9"/>
      <c r="Q958" s="11"/>
      <c r="R958" s="12"/>
      <c r="S958" s="12"/>
    </row>
    <row r="959" spans="3:19">
      <c r="C959" s="9">
        <v>43964</v>
      </c>
      <c r="D959" s="10">
        <v>33693.040000000001</v>
      </c>
      <c r="E959" s="11" t="s">
        <v>79</v>
      </c>
      <c r="F959" s="12">
        <f t="shared" si="44"/>
        <v>2.6789258822570439E-3</v>
      </c>
      <c r="I959" s="9"/>
      <c r="K959" s="11"/>
      <c r="L959" s="12"/>
      <c r="O959" s="9"/>
      <c r="Q959" s="11"/>
      <c r="R959" s="12"/>
      <c r="S959" s="12"/>
    </row>
    <row r="960" spans="3:19">
      <c r="C960" s="9">
        <v>43965</v>
      </c>
      <c r="D960" s="10">
        <v>33804.9</v>
      </c>
      <c r="E960" s="11" t="s">
        <v>79</v>
      </c>
      <c r="F960" s="12">
        <f t="shared" si="44"/>
        <v>3.3199735019457943E-3</v>
      </c>
      <c r="I960" s="9"/>
      <c r="K960" s="11"/>
      <c r="L960" s="12"/>
      <c r="O960" s="9"/>
      <c r="Q960" s="11"/>
      <c r="R960" s="12"/>
      <c r="S960" s="12"/>
    </row>
    <row r="961" spans="3:19">
      <c r="C961" s="9">
        <v>43966</v>
      </c>
      <c r="D961" s="10">
        <v>34008.33</v>
      </c>
      <c r="E961" s="11" t="s">
        <v>79</v>
      </c>
      <c r="F961" s="12">
        <f t="shared" si="44"/>
        <v>6.0177666551299858E-3</v>
      </c>
      <c r="I961" s="9"/>
      <c r="K961" s="11"/>
      <c r="L961" s="12"/>
      <c r="O961" s="9"/>
      <c r="Q961" s="11"/>
      <c r="R961" s="12"/>
      <c r="S961" s="12"/>
    </row>
    <row r="962" spans="3:19">
      <c r="C962" s="9">
        <v>43969</v>
      </c>
      <c r="D962" s="10">
        <v>33804.97</v>
      </c>
      <c r="E962" s="11" t="s">
        <v>79</v>
      </c>
      <c r="F962" s="12">
        <f t="shared" si="44"/>
        <v>-5.9797114412851737E-3</v>
      </c>
      <c r="I962" s="9"/>
      <c r="K962" s="11"/>
      <c r="L962" s="12"/>
      <c r="O962" s="9"/>
      <c r="Q962" s="11"/>
      <c r="R962" s="12"/>
      <c r="S962" s="12"/>
    </row>
    <row r="963" spans="3:19">
      <c r="C963" s="9">
        <v>43970</v>
      </c>
      <c r="D963" s="10">
        <v>34158.550000000003</v>
      </c>
      <c r="E963" s="11" t="s">
        <v>79</v>
      </c>
      <c r="F963" s="12">
        <f t="shared" si="44"/>
        <v>1.0459408779241786E-2</v>
      </c>
      <c r="I963" s="9"/>
      <c r="K963" s="11"/>
      <c r="L963" s="12"/>
      <c r="O963" s="9"/>
      <c r="Q963" s="11"/>
      <c r="R963" s="12"/>
      <c r="S963" s="12"/>
    </row>
    <row r="964" spans="3:19">
      <c r="C964" s="9">
        <v>43971</v>
      </c>
      <c r="D964" s="10">
        <v>33932.81</v>
      </c>
      <c r="E964" s="11" t="s">
        <v>79</v>
      </c>
      <c r="F964" s="12">
        <f t="shared" si="44"/>
        <v>-6.6085943343615616E-3</v>
      </c>
      <c r="I964" s="9"/>
      <c r="K964" s="11"/>
      <c r="L964" s="12"/>
      <c r="O964" s="9"/>
      <c r="Q964" s="11"/>
      <c r="R964" s="12"/>
      <c r="S964" s="12"/>
    </row>
    <row r="965" spans="3:19">
      <c r="C965" s="9">
        <v>43972</v>
      </c>
      <c r="D965" s="10">
        <v>33836.61</v>
      </c>
      <c r="E965" s="11" t="s">
        <v>79</v>
      </c>
      <c r="F965" s="12">
        <f t="shared" si="44"/>
        <v>-2.8350142531666789E-3</v>
      </c>
      <c r="I965" s="9"/>
      <c r="K965" s="11"/>
      <c r="L965" s="12"/>
      <c r="O965" s="9"/>
      <c r="Q965" s="11"/>
      <c r="R965" s="12"/>
      <c r="S965" s="12"/>
    </row>
    <row r="966" spans="3:19">
      <c r="C966" s="9">
        <v>43979</v>
      </c>
      <c r="D966" s="10">
        <v>33695.42</v>
      </c>
      <c r="E966" s="11" t="s">
        <v>79</v>
      </c>
      <c r="F966" s="12">
        <f t="shared" si="44"/>
        <v>-4.1726993336508311E-3</v>
      </c>
      <c r="I966" s="9"/>
      <c r="K966" s="11"/>
      <c r="L966" s="12"/>
      <c r="O966" s="9"/>
      <c r="Q966" s="11"/>
      <c r="R966" s="12"/>
      <c r="S966" s="12"/>
    </row>
    <row r="967" spans="3:19">
      <c r="C967" s="9">
        <v>43980</v>
      </c>
      <c r="D967" s="10">
        <v>33931.230000000003</v>
      </c>
      <c r="E967" s="11" t="s">
        <v>79</v>
      </c>
      <c r="F967" s="12">
        <f t="shared" ref="F967:F989" si="45">D967/D966-1</f>
        <v>6.9982804784747277E-3</v>
      </c>
      <c r="I967" s="9"/>
      <c r="K967" s="11"/>
      <c r="L967" s="12"/>
      <c r="O967" s="9"/>
      <c r="Q967" s="11"/>
      <c r="R967" s="12"/>
      <c r="S967" s="12"/>
    </row>
    <row r="968" spans="3:19">
      <c r="C968" s="9">
        <v>43983</v>
      </c>
      <c r="D968" s="10">
        <v>34021.97</v>
      </c>
      <c r="E968" s="11" t="s">
        <v>79</v>
      </c>
      <c r="F968" s="12">
        <f t="shared" si="45"/>
        <v>2.6742325580297877E-3</v>
      </c>
      <c r="I968" s="9"/>
      <c r="K968" s="11"/>
      <c r="L968" s="12"/>
      <c r="O968" s="9"/>
      <c r="Q968" s="11"/>
      <c r="R968" s="12"/>
      <c r="S968" s="12"/>
    </row>
    <row r="969" spans="3:19">
      <c r="C969" s="9">
        <v>43984</v>
      </c>
      <c r="D969" s="10">
        <v>34408.050000000003</v>
      </c>
      <c r="E969" s="11" t="s">
        <v>79</v>
      </c>
      <c r="F969" s="12">
        <f t="shared" si="45"/>
        <v>1.1347961332045298E-2</v>
      </c>
      <c r="I969" s="9"/>
      <c r="K969" s="11"/>
      <c r="L969" s="12"/>
      <c r="O969" s="9"/>
      <c r="Q969" s="11"/>
      <c r="R969" s="12"/>
      <c r="S969" s="12"/>
    </row>
    <row r="970" spans="3:19">
      <c r="C970" s="9">
        <v>43985</v>
      </c>
      <c r="D970" s="10">
        <v>34401.42</v>
      </c>
      <c r="E970" s="11" t="s">
        <v>79</v>
      </c>
      <c r="F970" s="12">
        <f t="shared" si="45"/>
        <v>-1.9268746703182682E-4</v>
      </c>
      <c r="I970" s="9"/>
      <c r="K970" s="11"/>
      <c r="L970" s="12"/>
      <c r="O970" s="9"/>
      <c r="Q970" s="11"/>
      <c r="R970" s="12"/>
      <c r="S970" s="12"/>
    </row>
    <row r="971" spans="3:19">
      <c r="C971" s="9">
        <v>43986</v>
      </c>
      <c r="D971" s="10">
        <v>34119.39</v>
      </c>
      <c r="E971" s="11" t="s">
        <v>79</v>
      </c>
      <c r="F971" s="12">
        <f t="shared" si="45"/>
        <v>-8.1982080972238247E-3</v>
      </c>
      <c r="I971" s="9"/>
      <c r="K971" s="11"/>
      <c r="L971" s="12"/>
      <c r="O971" s="9"/>
      <c r="Q971" s="11"/>
      <c r="R971" s="12"/>
      <c r="S971" s="12"/>
    </row>
    <row r="972" spans="3:19">
      <c r="C972" s="9">
        <v>43987</v>
      </c>
      <c r="D972" s="10">
        <v>34350.42</v>
      </c>
      <c r="E972" s="11" t="s">
        <v>79</v>
      </c>
      <c r="F972" s="12">
        <f t="shared" si="45"/>
        <v>6.7712230494154646E-3</v>
      </c>
      <c r="I972" s="9"/>
      <c r="K972" s="11"/>
      <c r="L972" s="12"/>
      <c r="O972" s="9"/>
      <c r="Q972" s="11"/>
      <c r="R972" s="12"/>
      <c r="S972" s="12"/>
    </row>
    <row r="973" spans="3:19">
      <c r="C973" s="9">
        <v>43990</v>
      </c>
      <c r="D973" s="10">
        <v>34749.57</v>
      </c>
      <c r="E973" s="11" t="s">
        <v>79</v>
      </c>
      <c r="F973" s="12">
        <f t="shared" si="45"/>
        <v>1.1619945258311226E-2</v>
      </c>
      <c r="I973" s="9"/>
      <c r="K973" s="11"/>
      <c r="L973" s="12"/>
      <c r="O973" s="9"/>
      <c r="Q973" s="11"/>
      <c r="R973" s="12"/>
      <c r="S973" s="12"/>
    </row>
    <row r="974" spans="3:19">
      <c r="C974" s="9">
        <v>43991</v>
      </c>
      <c r="D974" s="10">
        <v>34803.599999999999</v>
      </c>
      <c r="E974" s="11" t="s">
        <v>79</v>
      </c>
      <c r="F974" s="12">
        <f t="shared" si="45"/>
        <v>1.554839383623996E-3</v>
      </c>
      <c r="I974" s="9"/>
      <c r="K974" s="11"/>
      <c r="L974" s="12"/>
      <c r="O974" s="9"/>
      <c r="Q974" s="11"/>
      <c r="R974" s="12"/>
      <c r="S974" s="12"/>
    </row>
    <row r="975" spans="3:19">
      <c r="C975" s="9">
        <v>43992</v>
      </c>
      <c r="D975" s="10">
        <v>35065.08</v>
      </c>
      <c r="E975" s="11" t="s">
        <v>79</v>
      </c>
      <c r="F975" s="12">
        <f t="shared" si="45"/>
        <v>7.5130158949074932E-3</v>
      </c>
      <c r="I975" s="9"/>
      <c r="K975" s="11"/>
      <c r="L975" s="12"/>
      <c r="O975" s="9"/>
      <c r="Q975" s="11"/>
      <c r="R975" s="12"/>
      <c r="S975" s="12"/>
    </row>
    <row r="976" spans="3:19">
      <c r="C976" s="9">
        <v>43993</v>
      </c>
      <c r="D976" s="10">
        <v>35128.58</v>
      </c>
      <c r="E976" s="11" t="s">
        <v>79</v>
      </c>
      <c r="F976" s="12">
        <f t="shared" si="45"/>
        <v>1.8109184407963941E-3</v>
      </c>
      <c r="I976" s="9"/>
      <c r="K976" s="11"/>
      <c r="L976" s="12"/>
      <c r="O976" s="9"/>
      <c r="Q976" s="11"/>
      <c r="R976" s="12"/>
      <c r="S976" s="12"/>
    </row>
    <row r="977" spans="3:19">
      <c r="C977" s="9">
        <v>43994</v>
      </c>
      <c r="D977" s="10">
        <v>34609.089999999997</v>
      </c>
      <c r="E977" s="11" t="s">
        <v>79</v>
      </c>
      <c r="F977" s="12">
        <f t="shared" si="45"/>
        <v>-1.4788243646626342E-2</v>
      </c>
      <c r="I977" s="9"/>
      <c r="K977" s="11"/>
      <c r="L977" s="12"/>
      <c r="O977" s="9"/>
      <c r="Q977" s="11"/>
      <c r="R977" s="12"/>
      <c r="S977" s="12"/>
    </row>
    <row r="978" spans="3:19">
      <c r="C978" s="9">
        <v>43997</v>
      </c>
      <c r="D978" s="10">
        <v>33824.51</v>
      </c>
      <c r="E978" s="11" t="s">
        <v>79</v>
      </c>
      <c r="F978" s="12">
        <f t="shared" si="45"/>
        <v>-2.2669766815596515E-2</v>
      </c>
      <c r="I978" s="9"/>
      <c r="K978" s="11"/>
      <c r="L978" s="12"/>
      <c r="O978" s="9"/>
      <c r="Q978" s="11"/>
      <c r="R978" s="12"/>
      <c r="S978" s="12"/>
    </row>
    <row r="979" spans="3:19">
      <c r="C979" s="9">
        <v>43998</v>
      </c>
      <c r="D979" s="10">
        <v>34019.120000000003</v>
      </c>
      <c r="E979" s="11" t="s">
        <v>79</v>
      </c>
      <c r="F979" s="12">
        <f t="shared" si="45"/>
        <v>5.7535201544678394E-3</v>
      </c>
      <c r="I979" s="9"/>
      <c r="K979" s="11"/>
      <c r="L979" s="12"/>
      <c r="O979" s="9"/>
      <c r="Q979" s="11"/>
      <c r="R979" s="12"/>
      <c r="S979" s="12"/>
    </row>
    <row r="980" spans="3:19">
      <c r="C980" s="9">
        <v>43999</v>
      </c>
      <c r="D980" s="10">
        <v>33848.68</v>
      </c>
      <c r="E980" s="11" t="s">
        <v>79</v>
      </c>
      <c r="F980" s="12">
        <f t="shared" si="45"/>
        <v>-5.0101237186618297E-3</v>
      </c>
      <c r="I980" s="9"/>
      <c r="K980" s="11"/>
      <c r="L980" s="12"/>
      <c r="O980" s="9"/>
      <c r="Q980" s="11"/>
      <c r="R980" s="12"/>
      <c r="S980" s="12"/>
    </row>
    <row r="981" spans="3:19">
      <c r="C981" s="9">
        <v>44000</v>
      </c>
      <c r="D981" s="10">
        <v>33539.85</v>
      </c>
      <c r="E981" s="11" t="s">
        <v>79</v>
      </c>
      <c r="F981" s="12">
        <f t="shared" si="45"/>
        <v>-9.1238417569016184E-3</v>
      </c>
      <c r="I981" s="9"/>
      <c r="K981" s="11"/>
      <c r="L981" s="12"/>
      <c r="O981" s="9"/>
      <c r="Q981" s="11"/>
      <c r="R981" s="12"/>
      <c r="S981" s="12"/>
    </row>
    <row r="982" spans="3:19">
      <c r="C982" s="9">
        <v>44001</v>
      </c>
      <c r="D982" s="10">
        <v>33438.94</v>
      </c>
      <c r="E982" s="11" t="s">
        <v>79</v>
      </c>
      <c r="F982" s="12">
        <f t="shared" si="45"/>
        <v>-3.0086598479120985E-3</v>
      </c>
      <c r="I982" s="9"/>
      <c r="K982" s="11"/>
      <c r="L982" s="12"/>
      <c r="O982" s="9"/>
      <c r="Q982" s="11"/>
      <c r="R982" s="12"/>
      <c r="S982" s="12"/>
    </row>
    <row r="983" spans="3:19">
      <c r="C983" s="9">
        <v>44004</v>
      </c>
      <c r="D983" s="10">
        <v>33737.919999999998</v>
      </c>
      <c r="E983" s="11" t="s">
        <v>79</v>
      </c>
      <c r="F983" s="12">
        <f t="shared" si="45"/>
        <v>8.9410728928607242E-3</v>
      </c>
      <c r="I983" s="9"/>
      <c r="K983" s="11"/>
      <c r="L983" s="12"/>
      <c r="O983" s="9"/>
      <c r="Q983" s="11"/>
      <c r="R983" s="12"/>
      <c r="S983" s="12"/>
    </row>
    <row r="984" spans="3:19">
      <c r="C984" s="9">
        <v>44005</v>
      </c>
      <c r="D984" s="10">
        <v>34052.61</v>
      </c>
      <c r="E984" s="11" t="s">
        <v>79</v>
      </c>
      <c r="F984" s="12">
        <f t="shared" si="45"/>
        <v>9.3274866974608628E-3</v>
      </c>
      <c r="I984" s="9"/>
      <c r="K984" s="11"/>
      <c r="L984" s="12"/>
      <c r="O984" s="9"/>
      <c r="Q984" s="11"/>
      <c r="R984" s="12"/>
      <c r="S984" s="12"/>
    </row>
    <row r="985" spans="3:19">
      <c r="C985" s="9">
        <v>44006</v>
      </c>
      <c r="D985" s="10">
        <v>34034.65</v>
      </c>
      <c r="E985" s="11" t="s">
        <v>79</v>
      </c>
      <c r="F985" s="12">
        <f t="shared" si="45"/>
        <v>-5.2741919048204799E-4</v>
      </c>
      <c r="I985" s="9"/>
      <c r="K985" s="11"/>
      <c r="L985" s="12"/>
      <c r="O985" s="9"/>
      <c r="Q985" s="11"/>
      <c r="R985" s="12"/>
      <c r="S985" s="12"/>
    </row>
    <row r="986" spans="3:19">
      <c r="C986" s="9">
        <v>44007</v>
      </c>
      <c r="D986" s="10">
        <v>33709.629999999997</v>
      </c>
      <c r="E986" s="11" t="s">
        <v>79</v>
      </c>
      <c r="F986" s="12">
        <f t="shared" si="45"/>
        <v>-9.5496795177856253E-3</v>
      </c>
      <c r="I986" s="9"/>
      <c r="K986" s="11"/>
      <c r="L986" s="12"/>
      <c r="O986" s="9"/>
      <c r="Q986" s="11"/>
      <c r="R986" s="12"/>
      <c r="S986" s="12"/>
    </row>
    <row r="987" spans="3:19">
      <c r="C987" s="9">
        <v>44008</v>
      </c>
      <c r="D987" s="10">
        <v>33939.49</v>
      </c>
      <c r="E987" s="11" t="s">
        <v>79</v>
      </c>
      <c r="F987" s="12">
        <f t="shared" si="45"/>
        <v>6.8188229891577024E-3</v>
      </c>
      <c r="I987" s="9"/>
      <c r="K987" s="11"/>
      <c r="L987" s="12"/>
      <c r="O987" s="9"/>
      <c r="Q987" s="11"/>
      <c r="R987" s="12"/>
      <c r="S987" s="12"/>
    </row>
    <row r="988" spans="3:19">
      <c r="C988" s="9">
        <v>44011</v>
      </c>
      <c r="D988" s="10">
        <v>34181.800000000003</v>
      </c>
      <c r="E988" s="11" t="s">
        <v>79</v>
      </c>
      <c r="F988" s="12">
        <f t="shared" si="45"/>
        <v>7.1394708641763227E-3</v>
      </c>
      <c r="I988" s="9"/>
      <c r="K988" s="11"/>
      <c r="L988" s="12"/>
      <c r="O988" s="9"/>
      <c r="Q988" s="11"/>
      <c r="R988" s="12"/>
      <c r="S988" s="12"/>
    </row>
    <row r="989" spans="3:19">
      <c r="C989" s="9">
        <v>44012</v>
      </c>
      <c r="D989" s="10">
        <v>34421.919999999998</v>
      </c>
      <c r="E989" s="11" t="s">
        <v>79</v>
      </c>
      <c r="F989" s="12">
        <f t="shared" si="45"/>
        <v>7.0247909706333544E-3</v>
      </c>
      <c r="I989" s="9"/>
      <c r="K989" s="11"/>
      <c r="L989" s="12"/>
      <c r="O989" s="9"/>
      <c r="Q989" s="11"/>
      <c r="R989" s="12"/>
      <c r="S989" s="12"/>
    </row>
  </sheetData>
  <mergeCells count="2">
    <mergeCell ref="C3:F3"/>
    <mergeCell ref="I3:L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L15"/>
  <sheetViews>
    <sheetView workbookViewId="0">
      <selection activeCell="C15" sqref="C15"/>
    </sheetView>
  </sheetViews>
  <sheetFormatPr defaultRowHeight="15"/>
  <cols>
    <col min="1" max="1" width="9.140625" style="7"/>
    <col min="2" max="2" width="21.5703125" style="7" bestFit="1" customWidth="1"/>
    <col min="3" max="12" width="12.85546875" style="7" bestFit="1" customWidth="1"/>
    <col min="13" max="16384" width="9.140625" style="7"/>
  </cols>
  <sheetData>
    <row r="2" spans="2:12">
      <c r="B2" s="4" t="s">
        <v>168</v>
      </c>
      <c r="C2" s="4">
        <v>2016</v>
      </c>
      <c r="D2" s="4">
        <f>C2+1</f>
        <v>2017</v>
      </c>
      <c r="E2" s="4">
        <f t="shared" ref="E2:L2" si="0">D2+1</f>
        <v>2018</v>
      </c>
      <c r="F2" s="4">
        <f t="shared" si="0"/>
        <v>2019</v>
      </c>
      <c r="G2" s="4">
        <f t="shared" si="0"/>
        <v>2020</v>
      </c>
      <c r="H2" s="4">
        <f t="shared" si="0"/>
        <v>2021</v>
      </c>
      <c r="I2" s="4">
        <f t="shared" si="0"/>
        <v>2022</v>
      </c>
      <c r="J2" s="4">
        <f t="shared" si="0"/>
        <v>2023</v>
      </c>
      <c r="K2" s="4">
        <f t="shared" si="0"/>
        <v>2024</v>
      </c>
      <c r="L2" s="4">
        <f t="shared" si="0"/>
        <v>2025</v>
      </c>
    </row>
    <row r="3" spans="2:12">
      <c r="B3" s="7" t="s">
        <v>169</v>
      </c>
      <c r="C3" s="51">
        <f>'Profit and Loss'!C8/'Profit and Loss'!C6</f>
        <v>0.35396674590494143</v>
      </c>
      <c r="D3" s="51">
        <f>'Profit and Loss'!D8/'Profit and Loss'!D6</f>
        <v>0.36620758167728729</v>
      </c>
      <c r="E3" s="51">
        <f>'Profit and Loss'!E8/'Profit and Loss'!E6</f>
        <v>0.3320001715687268</v>
      </c>
      <c r="F3" s="51">
        <f>'Profit and Loss'!F8/'Profit and Loss'!F6</f>
        <v>0.27548501833002476</v>
      </c>
      <c r="G3" s="51">
        <f>'Profit and Loss'!G8/'Profit and Loss'!G6</f>
        <v>0.30449052937418403</v>
      </c>
      <c r="H3" s="51">
        <f>'Profit and Loss'!H8/'Profit and Loss'!H6</f>
        <v>0.39350387716796109</v>
      </c>
      <c r="I3" s="51">
        <f>'Profit and Loss'!I8/'Profit and Loss'!I6</f>
        <v>0.39477785676034782</v>
      </c>
      <c r="J3" s="51">
        <f>'Profit and Loss'!J8/'Profit and Loss'!J6</f>
        <v>0.38838172372285834</v>
      </c>
      <c r="K3" s="51">
        <f>'Profit and Loss'!K8/'Profit and Loss'!K6</f>
        <v>0.38165191599350762</v>
      </c>
      <c r="L3" s="51">
        <f>'Profit and Loss'!L8/'Profit and Loss'!L6</f>
        <v>0.37868955049910324</v>
      </c>
    </row>
    <row r="4" spans="2:12">
      <c r="B4" s="7" t="s">
        <v>170</v>
      </c>
      <c r="C4" s="51">
        <f>'Profit and Loss'!C23/'Profit and Loss'!C6</f>
        <v>0.10540700462505316</v>
      </c>
      <c r="D4" s="51">
        <f>'Profit and Loss'!D23/'Profit and Loss'!D6</f>
        <v>0.11980377351994111</v>
      </c>
      <c r="E4" s="51">
        <f>'Profit and Loss'!E23/'Profit and Loss'!E6</f>
        <v>9.2642153176286421E-2</v>
      </c>
      <c r="F4" s="51">
        <f>'Profit and Loss'!F23/'Profit and Loss'!F6</f>
        <v>5.1321939296689545E-2</v>
      </c>
      <c r="G4" s="51">
        <f>'Profit and Loss'!G23/'Profit and Loss'!G6</f>
        <v>8.660997355525922E-2</v>
      </c>
      <c r="H4" s="51">
        <f>'Profit and Loss'!H23/'Profit and Loss'!H6</f>
        <v>0.15432705574405142</v>
      </c>
      <c r="I4" s="51">
        <f>'Profit and Loss'!I23/'Profit and Loss'!I6</f>
        <v>0.15363261355500615</v>
      </c>
      <c r="J4" s="51">
        <f>'Profit and Loss'!J23/'Profit and Loss'!J6</f>
        <v>0.14881753432650355</v>
      </c>
      <c r="K4" s="51">
        <f>'Profit and Loss'!K23/'Profit and Loss'!K6</f>
        <v>0.14427027873305415</v>
      </c>
      <c r="L4" s="51">
        <f>'Profit and Loss'!L23/'Profit and Loss'!L6</f>
        <v>0.14252921731133564</v>
      </c>
    </row>
    <row r="5" spans="2:12">
      <c r="B5" s="7" t="s">
        <v>171</v>
      </c>
      <c r="C5" s="51">
        <f>'Profit and Loss'!C6/'Statement of Financial Position'!C57</f>
        <v>2.2132480612629295</v>
      </c>
      <c r="D5" s="51">
        <f>'Profit and Loss'!D6/'Statement of Financial Position'!D57</f>
        <v>2.0946679475626095</v>
      </c>
      <c r="E5" s="51">
        <f>'Profit and Loss'!E6/'Statement of Financial Position'!E57</f>
        <v>1.8699349120774189</v>
      </c>
      <c r="F5" s="51">
        <f>'Profit and Loss'!F6/'Statement of Financial Position'!F57</f>
        <v>1.7809506175624801</v>
      </c>
      <c r="G5" s="51">
        <f>'Profit and Loss'!G6/'Statement of Financial Position'!G57</f>
        <v>1.9502275993650253</v>
      </c>
      <c r="H5" s="51">
        <f>'Profit and Loss'!H6/'Statement of Financial Position'!H57</f>
        <v>1.8510036358721882</v>
      </c>
      <c r="I5" s="51">
        <f>'Profit and Loss'!I6/'Statement of Financial Position'!I57</f>
        <v>1.5880189729059553</v>
      </c>
      <c r="J5" s="51">
        <f>'Profit and Loss'!J6/'Statement of Financial Position'!J57</f>
        <v>1.403310851215823</v>
      </c>
      <c r="K5" s="51">
        <f>'Profit and Loss'!K6/'Statement of Financial Position'!K57</f>
        <v>1.2631694498861603</v>
      </c>
      <c r="L5" s="51">
        <f>'Profit and Loss'!L6/'Statement of Financial Position'!L57</f>
        <v>1.1525060315253917</v>
      </c>
    </row>
    <row r="7" spans="2:12">
      <c r="B7" s="4" t="s">
        <v>172</v>
      </c>
    </row>
    <row r="8" spans="2:12">
      <c r="B8" s="7" t="s">
        <v>173</v>
      </c>
      <c r="C8" s="52">
        <f>'Statement of Financial Position'!C55/'Statement of Financial Position'!C34</f>
        <v>0.59247329190564413</v>
      </c>
      <c r="D8" s="52">
        <f>'Statement of Financial Position'!D55/'Statement of Financial Position'!D34</f>
        <v>0.6239675982247419</v>
      </c>
      <c r="E8" s="52">
        <f>'Statement of Financial Position'!E55/'Statement of Financial Position'!E34</f>
        <v>0.6648238250678653</v>
      </c>
      <c r="F8" s="52">
        <f>'Statement of Financial Position'!F55/'Statement of Financial Position'!F34</f>
        <v>0.58448278672155818</v>
      </c>
      <c r="G8" s="52">
        <f>'Statement of Financial Position'!G55/'Statement of Financial Position'!G34</f>
        <v>0.69616243480546292</v>
      </c>
      <c r="H8" s="52">
        <f>'Statement of Financial Position'!H55/'Statement of Financial Position'!H34</f>
        <v>0.88156403864063715</v>
      </c>
      <c r="I8" s="52">
        <f>'Statement of Financial Position'!I55/'Statement of Financial Position'!I34</f>
        <v>1.0984294261591394</v>
      </c>
      <c r="J8" s="52">
        <f>'Statement of Financial Position'!J55/'Statement of Financial Position'!J34</f>
        <v>1.2685094215052644</v>
      </c>
      <c r="K8" s="52">
        <f>'Statement of Financial Position'!K55/'Statement of Financial Position'!K34</f>
        <v>1.4136957632563547</v>
      </c>
      <c r="L8" s="52">
        <f>'Statement of Financial Position'!L55/'Statement of Financial Position'!L34</f>
        <v>1.5980905101067278</v>
      </c>
    </row>
    <row r="9" spans="2:12">
      <c r="B9" s="7" t="s">
        <v>174</v>
      </c>
      <c r="C9" s="52">
        <f>('Statement of Financial Position'!C55-'Statement of Financial Position'!C49)/'Statement of Financial Position'!C34</f>
        <v>0.2531414648594088</v>
      </c>
      <c r="D9" s="52">
        <f>('Statement of Financial Position'!D55-'Statement of Financial Position'!D49)/'Statement of Financial Position'!D34</f>
        <v>0.24254395708307033</v>
      </c>
      <c r="E9" s="52">
        <f>('Statement of Financial Position'!E55-'Statement of Financial Position'!E49)/'Statement of Financial Position'!E34</f>
        <v>0.26355020708201138</v>
      </c>
      <c r="F9" s="52">
        <f>('Statement of Financial Position'!F55-'Statement of Financial Position'!F49)/'Statement of Financial Position'!F34</f>
        <v>0.2296295632074305</v>
      </c>
      <c r="G9" s="52">
        <f>('Statement of Financial Position'!G55-'Statement of Financial Position'!G49)/'Statement of Financial Position'!G34</f>
        <v>0.29136659665524295</v>
      </c>
      <c r="H9" s="52">
        <f>('Statement of Financial Position'!H55-'Statement of Financial Position'!H49)/'Statement of Financial Position'!H34</f>
        <v>0.4724282757299838</v>
      </c>
      <c r="I9" s="52">
        <f>('Statement of Financial Position'!I55-'Statement of Financial Position'!I49)/'Statement of Financial Position'!I34</f>
        <v>0.71677124054959673</v>
      </c>
      <c r="J9" s="52">
        <f>('Statement of Financial Position'!J55-'Statement of Financial Position'!J49)/'Statement of Financial Position'!J34</f>
        <v>0.90732920678047602</v>
      </c>
      <c r="K9" s="52">
        <f>('Statement of Financial Position'!K55-'Statement of Financial Position'!K49)/'Statement of Financial Position'!K34</f>
        <v>1.0679442181685832</v>
      </c>
      <c r="L9" s="52">
        <f>('Statement of Financial Position'!L55-'Statement of Financial Position'!L49)/'Statement of Financial Position'!L34</f>
        <v>1.2470546964583689</v>
      </c>
    </row>
    <row r="11" spans="2:12">
      <c r="B11" s="4" t="s">
        <v>175</v>
      </c>
    </row>
    <row r="12" spans="2:12">
      <c r="B12" s="7" t="s">
        <v>176</v>
      </c>
      <c r="C12" s="51">
        <f>'Profit and Loss'!C23/'Statement of Financial Position'!C16</f>
        <v>1.3444057070929676</v>
      </c>
      <c r="D12" s="51">
        <f>'Profit and Loss'!D23/'Statement of Financial Position'!D16</f>
        <v>3.1594104014811171</v>
      </c>
      <c r="E12" s="51">
        <f>'Profit and Loss'!E23/'Statement of Financial Position'!E16</f>
        <v>2.9508842109837192</v>
      </c>
      <c r="F12" s="51">
        <f>'Profit and Loss'!F23/'Statement of Financial Position'!F16</f>
        <v>1.8278504750970987</v>
      </c>
      <c r="G12" s="51">
        <f>'Profit and Loss'!G23/'Statement of Financial Position'!G16</f>
        <v>2.4550257466873422</v>
      </c>
      <c r="H12" s="51">
        <f>'Profit and Loss'!H23/'Statement of Financial Position'!H16</f>
        <v>1.3852496133147421</v>
      </c>
      <c r="I12" s="51">
        <f>'Profit and Loss'!I23/'Statement of Financial Position'!I16</f>
        <v>0.82287758407923972</v>
      </c>
      <c r="J12" s="51">
        <f>'Profit and Loss'!J23/'Statement of Financial Position'!J16</f>
        <v>0.56085774463274463</v>
      </c>
      <c r="K12" s="51">
        <f>'Profit and Loss'!K23/'Statement of Financial Position'!K16</f>
        <v>0.42047574880603417</v>
      </c>
      <c r="L12" s="51">
        <f>'Profit and Loss'!L23/'Statement of Financial Position'!L16</f>
        <v>0.3432713276361618</v>
      </c>
    </row>
    <row r="13" spans="2:12">
      <c r="B13" s="7" t="s">
        <v>177</v>
      </c>
      <c r="C13" s="51">
        <f>'Profit and Loss'!C23/'Statement of Financial Position'!C57</f>
        <v>0.23329184862993158</v>
      </c>
      <c r="D13" s="51">
        <f>'Profit and Loss'!D23/'Statement of Financial Position'!D57</f>
        <v>0.25094912438927075</v>
      </c>
      <c r="E13" s="51">
        <f>'Profit and Loss'!E23/'Statement of Financial Position'!E57</f>
        <v>0.17323479655436194</v>
      </c>
      <c r="F13" s="51">
        <f>'Profit and Loss'!F23/'Statement of Financial Position'!F57</f>
        <v>9.1401839484943362E-2</v>
      </c>
      <c r="G13" s="51">
        <f>'Profit and Loss'!G23/'Statement of Financial Position'!G57</f>
        <v>0.16890916080774152</v>
      </c>
      <c r="H13" s="51">
        <f>'Profit and Loss'!H23/'Statement of Financial Position'!H57</f>
        <v>0.28565994129568906</v>
      </c>
      <c r="I13" s="51">
        <f>'Profit and Loss'!I23/'Statement of Financial Position'!I57</f>
        <v>0.2439715051824784</v>
      </c>
      <c r="J13" s="51">
        <f>'Profit and Loss'!J23/'Statement of Financial Position'!J57</f>
        <v>0.20883726077156564</v>
      </c>
      <c r="K13" s="51">
        <f>'Profit and Loss'!K23/'Statement of Financial Position'!K57</f>
        <v>0.18223780862215505</v>
      </c>
      <c r="L13" s="51">
        <f>'Profit and Loss'!L23/'Statement of Financial Position'!L57</f>
        <v>0.1642657826199076</v>
      </c>
    </row>
    <row r="14" spans="2:12">
      <c r="B14" s="4" t="s">
        <v>178</v>
      </c>
    </row>
    <row r="15" spans="2:12">
      <c r="B15" s="7" t="s">
        <v>179</v>
      </c>
      <c r="C15" s="53">
        <f>-'Profit and Loss'!C12/'Profit and Loss'!C14</f>
        <v>19.966181615320046</v>
      </c>
      <c r="D15" s="53">
        <f>-'Profit and Loss'!D12/'Profit and Loss'!D14</f>
        <v>21.54694650566341</v>
      </c>
      <c r="E15" s="53">
        <f>-'Profit and Loss'!E12/'Profit and Loss'!E14</f>
        <v>10.983651609710499</v>
      </c>
      <c r="F15" s="53">
        <f>-'Profit and Loss'!F12/'Profit and Loss'!F14</f>
        <v>4.2732146582405157</v>
      </c>
      <c r="G15" s="53">
        <f>-'Profit and Loss'!G12/'Profit and Loss'!G14</f>
        <v>6.2258305214054115</v>
      </c>
      <c r="H15" s="53">
        <f>-'Profit and Loss'!H12/'Profit and Loss'!H14</f>
        <v>16.39654323385825</v>
      </c>
      <c r="I15" s="53">
        <f>-'Profit and Loss'!I12/'Profit and Loss'!I14</f>
        <v>15.229265267981141</v>
      </c>
      <c r="J15" s="53">
        <f>-'Profit and Loss'!J12/'Profit and Loss'!J14</f>
        <v>14.519640162474262</v>
      </c>
      <c r="K15" s="53">
        <f>-'Profit and Loss'!K12/'Profit and Loss'!K14</f>
        <v>14.247192584776217</v>
      </c>
      <c r="L15" s="53">
        <f>-'Profit and Loss'!L12/'Profit and Loss'!L14</f>
        <v>14.512271216802619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125"/>
  <sheetViews>
    <sheetView topLeftCell="B1" zoomScale="85" zoomScaleNormal="85" workbookViewId="0">
      <selection activeCell="E121" sqref="E121:N121"/>
    </sheetView>
  </sheetViews>
  <sheetFormatPr defaultRowHeight="15"/>
  <cols>
    <col min="2" max="2" width="61.28515625" bestFit="1" customWidth="1"/>
    <col min="3" max="3" width="17" style="46" customWidth="1"/>
    <col min="4" max="4" width="16" style="46" customWidth="1"/>
    <col min="5" max="9" width="15.28515625" bestFit="1" customWidth="1"/>
    <col min="10" max="14" width="15.42578125" bestFit="1" customWidth="1"/>
    <col min="15" max="20" width="15.28515625" bestFit="1" customWidth="1"/>
  </cols>
  <sheetData>
    <row r="2" spans="2:16" ht="15.75">
      <c r="B2" t="s">
        <v>4</v>
      </c>
      <c r="C2" s="66" t="s">
        <v>185</v>
      </c>
      <c r="D2" s="66"/>
      <c r="E2" s="4">
        <v>2016</v>
      </c>
      <c r="F2" s="4">
        <f>E2+1</f>
        <v>2017</v>
      </c>
      <c r="G2" s="4">
        <f t="shared" ref="G2:N2" si="0">F2+1</f>
        <v>2018</v>
      </c>
      <c r="H2" s="4">
        <f t="shared" si="0"/>
        <v>2019</v>
      </c>
      <c r="I2" s="4">
        <f t="shared" si="0"/>
        <v>2020</v>
      </c>
      <c r="J2" s="4">
        <f t="shared" si="0"/>
        <v>2021</v>
      </c>
      <c r="K2" s="4">
        <f t="shared" si="0"/>
        <v>2022</v>
      </c>
      <c r="L2" s="4">
        <f t="shared" si="0"/>
        <v>2023</v>
      </c>
      <c r="M2" s="4">
        <f t="shared" si="0"/>
        <v>2024</v>
      </c>
      <c r="N2" s="4">
        <f t="shared" si="0"/>
        <v>2025</v>
      </c>
      <c r="P2" s="1"/>
    </row>
    <row r="3" spans="2:16">
      <c r="B3" t="s">
        <v>5</v>
      </c>
      <c r="E3" s="13">
        <v>112392654</v>
      </c>
      <c r="F3" s="13">
        <v>122214698</v>
      </c>
      <c r="G3" s="13">
        <v>124614785</v>
      </c>
      <c r="H3" s="13">
        <v>115962473</v>
      </c>
      <c r="I3" s="13">
        <v>118781274</v>
      </c>
      <c r="J3" s="13">
        <f>Sales!H6</f>
        <v>131439802.81135282</v>
      </c>
      <c r="K3" s="13">
        <f>Sales!I6</f>
        <v>132664863.57994843</v>
      </c>
      <c r="L3" s="13">
        <f>Sales!J6</f>
        <v>131851951.48008099</v>
      </c>
      <c r="M3" s="13">
        <f>Sales!K6</f>
        <v>130499044.83417965</v>
      </c>
      <c r="N3" s="13">
        <f>Sales!L6</f>
        <v>129493523.17654589</v>
      </c>
      <c r="O3" s="13">
        <f>Sales!M6</f>
        <v>131189837.17642185</v>
      </c>
    </row>
    <row r="4" spans="2:16">
      <c r="B4" t="s">
        <v>6</v>
      </c>
      <c r="E4" s="13">
        <f>-COGS!C22</f>
        <v>-72609392</v>
      </c>
      <c r="F4" s="13">
        <f>-COGS!D22</f>
        <v>-77458749</v>
      </c>
      <c r="G4" s="13">
        <f>-COGS!E22</f>
        <v>-83242655</v>
      </c>
      <c r="H4" s="13">
        <f>-COGS!F22</f>
        <v>-84016549</v>
      </c>
      <c r="I4" s="13">
        <f>-COGS!G22</f>
        <v>-82613501</v>
      </c>
      <c r="J4" s="13">
        <f>-COGS!H22</f>
        <v>-79717730.790893212</v>
      </c>
      <c r="K4" s="13">
        <f>-COGS!I22</f>
        <v>-80291713.068452463</v>
      </c>
      <c r="L4" s="13">
        <f>-COGS!J22</f>
        <v>-80643063.288024455</v>
      </c>
      <c r="M4" s="13">
        <f>-COGS!K22</f>
        <v>-80693834.337892339</v>
      </c>
      <c r="N4" s="13">
        <f>-COGS!L22</f>
        <v>-80455679.092274517</v>
      </c>
      <c r="P4" s="1"/>
    </row>
    <row r="5" spans="2:16">
      <c r="B5" s="4" t="s">
        <v>0</v>
      </c>
      <c r="E5" s="5">
        <f t="shared" ref="E5" si="1">SUM(E3:E4)</f>
        <v>39783262</v>
      </c>
      <c r="F5" s="5">
        <f t="shared" ref="F5" si="2">SUM(F3:F4)</f>
        <v>44755949</v>
      </c>
      <c r="G5" s="5">
        <f t="shared" ref="G5" si="3">SUM(G3:G4)</f>
        <v>41372130</v>
      </c>
      <c r="H5" s="5">
        <f t="shared" ref="H5" si="4">SUM(H3:H4)</f>
        <v>31945924</v>
      </c>
      <c r="I5" s="5">
        <f t="shared" ref="I5" si="5">SUM(I3:I4)</f>
        <v>36167773</v>
      </c>
      <c r="J5" s="5">
        <f>SUM(J3:J4)</f>
        <v>51722072.020459607</v>
      </c>
      <c r="K5" s="5">
        <f>SUM(K3:K4)</f>
        <v>52373150.511495963</v>
      </c>
      <c r="L5" s="5">
        <f>SUM(L3:L4)</f>
        <v>51208888.192056537</v>
      </c>
      <c r="M5" s="5">
        <f>SUM(M3:M4)</f>
        <v>49805210.496287316</v>
      </c>
      <c r="N5" s="5">
        <f>SUM(N3:N4)</f>
        <v>49037844.084271371</v>
      </c>
    </row>
    <row r="6" spans="2:16">
      <c r="E6" s="13"/>
      <c r="F6" s="13"/>
      <c r="G6" s="13"/>
      <c r="H6" s="13"/>
      <c r="I6" s="13"/>
      <c r="J6" s="13"/>
      <c r="K6" s="13"/>
      <c r="L6" s="13"/>
      <c r="M6" s="13"/>
      <c r="N6" s="13"/>
      <c r="P6" s="2"/>
    </row>
    <row r="7" spans="2:16">
      <c r="B7" t="s">
        <v>7</v>
      </c>
      <c r="D7" s="47"/>
      <c r="E7" s="13">
        <v>-17875408</v>
      </c>
      <c r="F7" s="13">
        <v>-18406725</v>
      </c>
      <c r="G7" s="13">
        <v>-18470241</v>
      </c>
      <c r="H7" s="13">
        <v>-14656501</v>
      </c>
      <c r="I7" s="13">
        <v>-14256719</v>
      </c>
      <c r="J7" s="13">
        <f>-COGS!H44</f>
        <v>-16355906.038685162</v>
      </c>
      <c r="K7" s="13">
        <f>-COGS!I44</f>
        <v>-16584076.764184183</v>
      </c>
      <c r="L7" s="13">
        <f>-COGS!J44</f>
        <v>-16435068.888429351</v>
      </c>
      <c r="M7" s="13">
        <f>-COGS!K44</f>
        <v>-16210472.27424006</v>
      </c>
      <c r="N7" s="13">
        <f>-COGS!L44</f>
        <v>-16104753.908592593</v>
      </c>
      <c r="P7" s="2"/>
    </row>
    <row r="8" spans="2:16">
      <c r="B8" t="s">
        <v>8</v>
      </c>
      <c r="D8" s="47"/>
      <c r="E8" s="13">
        <v>-2760186</v>
      </c>
      <c r="F8" s="13">
        <v>-2741743</v>
      </c>
      <c r="G8" s="13">
        <v>-2926471</v>
      </c>
      <c r="H8" s="13">
        <v>-3667718</v>
      </c>
      <c r="I8" s="13">
        <v>-4447506</v>
      </c>
      <c r="J8" s="13">
        <f>-COGS!H61</f>
        <v>-3012523.2692685826</v>
      </c>
      <c r="K8" s="13">
        <f>-COGS!I61</f>
        <v>-3128720.5567164975</v>
      </c>
      <c r="L8" s="13">
        <f>-COGS!J61</f>
        <v>-3258625.553015871</v>
      </c>
      <c r="M8" s="13">
        <f>-COGS!K61</f>
        <v>-3307679.0169691984</v>
      </c>
      <c r="N8" s="13">
        <f>-COGS!L61</f>
        <v>-3281216.941553358</v>
      </c>
      <c r="P8" s="1"/>
    </row>
    <row r="9" spans="2:16">
      <c r="B9" t="s">
        <v>1</v>
      </c>
      <c r="E9" s="13">
        <f t="shared" ref="E9" si="6">SUM(E5:E8)</f>
        <v>19147668</v>
      </c>
      <c r="F9" s="13">
        <f t="shared" ref="F9" si="7">SUM(F5:F8)</f>
        <v>23607481</v>
      </c>
      <c r="G9" s="13">
        <f t="shared" ref="G9" si="8">SUM(G5:G8)</f>
        <v>19975418</v>
      </c>
      <c r="H9" s="13">
        <f t="shared" ref="H9" si="9">SUM(H5:H8)</f>
        <v>13621705</v>
      </c>
      <c r="I9" s="13">
        <f t="shared" ref="I9" si="10">SUM(I5:I8)</f>
        <v>17463548</v>
      </c>
      <c r="J9" s="13">
        <f t="shared" ref="J9" si="11">SUM(J5:J8)</f>
        <v>32353642.712505866</v>
      </c>
      <c r="K9" s="13">
        <f t="shared" ref="K9" si="12">SUM(K5:K8)</f>
        <v>32660353.19059528</v>
      </c>
      <c r="L9" s="13">
        <f t="shared" ref="L9" si="13">SUM(L5:L8)</f>
        <v>31515193.750611313</v>
      </c>
      <c r="M9" s="13">
        <f t="shared" ref="M9" si="14">SUM(M5:M8)</f>
        <v>30287059.205078058</v>
      </c>
      <c r="N9" s="13">
        <f t="shared" ref="N9" si="15">SUM(N5:N8)</f>
        <v>29651873.23412542</v>
      </c>
    </row>
    <row r="10" spans="2:16"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2:16">
      <c r="B11" t="s">
        <v>9</v>
      </c>
      <c r="C11" s="46" t="s">
        <v>167</v>
      </c>
      <c r="D11" s="47">
        <f>AVERAGE(E11:I11)/AVERAGE(E116:I116)</f>
        <v>-9.3058128884932437E-2</v>
      </c>
      <c r="E11" s="13">
        <v>-959005</v>
      </c>
      <c r="F11" s="13">
        <v>-1095630</v>
      </c>
      <c r="G11" s="13">
        <v>-1818650</v>
      </c>
      <c r="H11" s="13">
        <v>-3187695</v>
      </c>
      <c r="I11" s="13">
        <v>-2805015</v>
      </c>
      <c r="J11" s="13">
        <f>$D$11*J116</f>
        <v>-1973199.0000000002</v>
      </c>
      <c r="K11" s="13">
        <f t="shared" ref="K11:N11" si="16">$D$11*K116</f>
        <v>-2144578.3900857144</v>
      </c>
      <c r="L11" s="13">
        <f t="shared" si="16"/>
        <v>-2170521.6794601935</v>
      </c>
      <c r="M11" s="13">
        <f t="shared" si="16"/>
        <v>-2125826.4759782343</v>
      </c>
      <c r="N11" s="13">
        <f t="shared" si="16"/>
        <v>-2043227.6100100614</v>
      </c>
    </row>
    <row r="12" spans="2:16">
      <c r="B12" t="s">
        <v>10</v>
      </c>
      <c r="E12" s="13">
        <v>-1509403</v>
      </c>
      <c r="F12" s="13">
        <v>-1837203</v>
      </c>
      <c r="G12" s="13">
        <v>-1512112</v>
      </c>
      <c r="H12" s="13">
        <v>-1390138</v>
      </c>
      <c r="I12" s="13">
        <v>-1019221</v>
      </c>
      <c r="J12" s="13">
        <f>AVERAGE(E12:I12)</f>
        <v>-1453615.4</v>
      </c>
      <c r="K12" s="13">
        <f t="shared" ref="K12:N12" si="17">AVERAGE(F12:J12)</f>
        <v>-1442457.8800000001</v>
      </c>
      <c r="L12" s="13">
        <f t="shared" si="17"/>
        <v>-1363508.8560000001</v>
      </c>
      <c r="M12" s="13">
        <f t="shared" si="17"/>
        <v>-1333788.2272000001</v>
      </c>
      <c r="N12" s="13">
        <f t="shared" si="17"/>
        <v>-1322518.2726399999</v>
      </c>
      <c r="P12" s="2"/>
    </row>
    <row r="13" spans="2:16">
      <c r="E13" s="5">
        <f t="shared" ref="E13" si="18">SUM(E11:E12)</f>
        <v>-2468408</v>
      </c>
      <c r="F13" s="5">
        <f t="shared" ref="F13" si="19">SUM(F11:F12)</f>
        <v>-2932833</v>
      </c>
      <c r="G13" s="5">
        <f t="shared" ref="G13" si="20">SUM(G11:G12)</f>
        <v>-3330762</v>
      </c>
      <c r="H13" s="5">
        <f t="shared" ref="H13" si="21">SUM(H11:H12)</f>
        <v>-4577833</v>
      </c>
      <c r="I13" s="5">
        <f t="shared" ref="I13" si="22">SUM(I11:I12)</f>
        <v>-3824236</v>
      </c>
      <c r="J13" s="5">
        <f t="shared" ref="J13" si="23">SUM(J11:J12)</f>
        <v>-3426814.4000000004</v>
      </c>
      <c r="K13" s="5">
        <f t="shared" ref="K13" si="24">SUM(K11:K12)</f>
        <v>-3587036.2700857148</v>
      </c>
      <c r="L13" s="5">
        <f t="shared" ref="L13" si="25">SUM(L11:L12)</f>
        <v>-3534030.5354601936</v>
      </c>
      <c r="M13" s="5">
        <f t="shared" ref="M13" si="26">SUM(M11:M12)</f>
        <v>-3459614.7031782344</v>
      </c>
      <c r="N13" s="5">
        <f t="shared" ref="N13" si="27">SUM(N11:N12)</f>
        <v>-3365745.8826500615</v>
      </c>
    </row>
    <row r="14" spans="2:16">
      <c r="E14" s="13"/>
      <c r="F14" s="13"/>
      <c r="G14" s="13"/>
      <c r="H14" s="13"/>
      <c r="I14" s="13"/>
      <c r="J14" s="13"/>
      <c r="K14" s="13"/>
      <c r="L14" s="13"/>
      <c r="M14" s="13"/>
      <c r="N14" s="13"/>
      <c r="P14" s="1"/>
    </row>
    <row r="15" spans="2:16">
      <c r="B15" t="s">
        <v>11</v>
      </c>
      <c r="E15" s="13">
        <v>340660</v>
      </c>
      <c r="F15" s="13">
        <v>313857</v>
      </c>
      <c r="G15" s="13">
        <v>255308</v>
      </c>
      <c r="H15" s="13">
        <v>268790</v>
      </c>
      <c r="I15" s="13">
        <v>354830</v>
      </c>
      <c r="J15" s="13">
        <f>AVERAGE(E15:I15)</f>
        <v>306689</v>
      </c>
      <c r="K15" s="13">
        <f t="shared" ref="K15:N15" si="28">AVERAGE(F15:J15)</f>
        <v>299894.8</v>
      </c>
      <c r="L15" s="13">
        <f t="shared" si="28"/>
        <v>297102.36</v>
      </c>
      <c r="M15" s="13">
        <f t="shared" si="28"/>
        <v>305461.23200000002</v>
      </c>
      <c r="N15" s="13">
        <f t="shared" si="28"/>
        <v>312795.47840000002</v>
      </c>
      <c r="P15" s="1"/>
    </row>
    <row r="16" spans="2:16">
      <c r="B16" t="s">
        <v>2</v>
      </c>
      <c r="E16" s="13">
        <f t="shared" ref="E16" si="29">E9+E13+E15</f>
        <v>17019920</v>
      </c>
      <c r="F16" s="13">
        <f t="shared" ref="F16" si="30">F9+F13+F15</f>
        <v>20988505</v>
      </c>
      <c r="G16" s="13">
        <f t="shared" ref="G16" si="31">G9+G13+G15</f>
        <v>16899964</v>
      </c>
      <c r="H16" s="13">
        <f t="shared" ref="H16" si="32">H9+H13+H15</f>
        <v>9312662</v>
      </c>
      <c r="I16" s="13">
        <f t="shared" ref="I16" si="33">I9+I13+I15</f>
        <v>13994142</v>
      </c>
      <c r="J16" s="13">
        <f t="shared" ref="J16" si="34">J9+J13+J15</f>
        <v>29233517.312505864</v>
      </c>
      <c r="K16" s="13">
        <f t="shared" ref="K16" si="35">K9+K13+K15</f>
        <v>29373211.720509566</v>
      </c>
      <c r="L16" s="13">
        <f t="shared" ref="L16" si="36">L9+L13+L15</f>
        <v>28278265.575151119</v>
      </c>
      <c r="M16" s="13">
        <f t="shared" ref="M16" si="37">M9+M13+M15</f>
        <v>27132905.733899824</v>
      </c>
      <c r="N16" s="13">
        <f t="shared" ref="N16" si="38">N9+N13+N15</f>
        <v>26598922.829875357</v>
      </c>
    </row>
    <row r="17" spans="2:16">
      <c r="E17" s="13"/>
      <c r="F17" s="13"/>
      <c r="G17" s="13"/>
      <c r="H17" s="13"/>
      <c r="I17" s="13"/>
      <c r="J17" s="13"/>
      <c r="K17" s="13"/>
      <c r="L17" s="13"/>
      <c r="M17" s="13"/>
      <c r="N17" s="13"/>
      <c r="P17" s="2"/>
    </row>
    <row r="18" spans="2:16">
      <c r="B18" t="s">
        <v>12</v>
      </c>
      <c r="C18" s="46" t="s">
        <v>160</v>
      </c>
      <c r="D18" s="48">
        <f>AVERAGE(E18:I18)/AVERAGE(E16:I16)</f>
        <v>-0.30611436322863766</v>
      </c>
      <c r="E18" s="13">
        <v>-5172947</v>
      </c>
      <c r="F18" s="13">
        <v>-6346723</v>
      </c>
      <c r="G18" s="13">
        <v>-5355382</v>
      </c>
      <c r="H18" s="13">
        <v>-3361243</v>
      </c>
      <c r="I18" s="13">
        <v>-3706499</v>
      </c>
      <c r="J18" s="13">
        <f>$D$18*J16</f>
        <v>-8948799.5370510872</v>
      </c>
      <c r="K18" s="13">
        <f t="shared" ref="K18:N18" si="39">$D$18*K16</f>
        <v>-8991562.0018037427</v>
      </c>
      <c r="L18" s="13">
        <f t="shared" si="39"/>
        <v>-8656383.2597476896</v>
      </c>
      <c r="M18" s="13">
        <f t="shared" si="39"/>
        <v>-8305772.1612753961</v>
      </c>
      <c r="N18" s="13">
        <f t="shared" si="39"/>
        <v>-8142312.3246349683</v>
      </c>
    </row>
    <row r="19" spans="2:16">
      <c r="E19" s="13"/>
      <c r="F19" s="13"/>
      <c r="G19" s="13"/>
      <c r="H19" s="13"/>
      <c r="I19" s="13"/>
      <c r="J19" s="13"/>
      <c r="K19" s="13"/>
      <c r="L19" s="13"/>
      <c r="M19" s="13"/>
      <c r="N19" s="13"/>
      <c r="P19" s="1"/>
    </row>
    <row r="20" spans="2:16">
      <c r="B20" s="4" t="s">
        <v>3</v>
      </c>
      <c r="E20" s="5">
        <f t="shared" ref="E20:N20" si="40">E16+E18</f>
        <v>11846973</v>
      </c>
      <c r="F20" s="5">
        <f t="shared" si="40"/>
        <v>14641782</v>
      </c>
      <c r="G20" s="5">
        <f t="shared" si="40"/>
        <v>11544582</v>
      </c>
      <c r="H20" s="5">
        <f t="shared" si="40"/>
        <v>5951419</v>
      </c>
      <c r="I20" s="5">
        <f t="shared" si="40"/>
        <v>10287643</v>
      </c>
      <c r="J20" s="5">
        <f t="shared" si="40"/>
        <v>20284717.775454774</v>
      </c>
      <c r="K20" s="5">
        <f t="shared" si="40"/>
        <v>20381649.718705826</v>
      </c>
      <c r="L20" s="5">
        <f t="shared" si="40"/>
        <v>19621882.315403432</v>
      </c>
      <c r="M20" s="5">
        <f t="shared" si="40"/>
        <v>18827133.57262443</v>
      </c>
      <c r="N20" s="5">
        <f t="shared" si="40"/>
        <v>18456610.505240388</v>
      </c>
    </row>
    <row r="21" spans="2:16">
      <c r="E21" s="13"/>
      <c r="F21" s="13"/>
      <c r="G21" s="13"/>
      <c r="H21" s="13"/>
      <c r="I21" s="13"/>
      <c r="J21" s="13"/>
      <c r="K21" s="13"/>
      <c r="L21" s="13"/>
      <c r="M21" s="13"/>
      <c r="N21" s="13"/>
      <c r="P21" s="3"/>
    </row>
    <row r="22" spans="2:16">
      <c r="B22" t="s">
        <v>13</v>
      </c>
      <c r="E22" s="13">
        <v>261.23</v>
      </c>
      <c r="F22" s="13">
        <v>322.86</v>
      </c>
      <c r="G22" s="13">
        <v>254.57</v>
      </c>
      <c r="H22" s="13">
        <v>162.16999999999999</v>
      </c>
      <c r="I22" s="13">
        <v>195.91</v>
      </c>
      <c r="J22" s="13">
        <f>J20/453496*10</f>
        <v>447.29650924053954</v>
      </c>
      <c r="K22" s="13">
        <f t="shared" ref="K22:N22" si="41">K20/453496*10</f>
        <v>449.43394690814966</v>
      </c>
      <c r="L22" s="13">
        <f t="shared" si="41"/>
        <v>432.68038340808806</v>
      </c>
      <c r="M22" s="13">
        <f t="shared" si="41"/>
        <v>415.15544949954199</v>
      </c>
      <c r="N22" s="13">
        <f t="shared" si="41"/>
        <v>406.98507826398441</v>
      </c>
    </row>
    <row r="26" spans="2:16">
      <c r="E26" s="4">
        <v>2016</v>
      </c>
      <c r="F26" s="4">
        <f>E26+1</f>
        <v>2017</v>
      </c>
      <c r="G26" s="4">
        <f t="shared" ref="G26:N26" si="42">F26+1</f>
        <v>2018</v>
      </c>
      <c r="H26" s="4">
        <f t="shared" si="42"/>
        <v>2019</v>
      </c>
      <c r="I26" s="4">
        <f t="shared" si="42"/>
        <v>2020</v>
      </c>
      <c r="J26" s="4">
        <f t="shared" si="42"/>
        <v>2021</v>
      </c>
      <c r="K26" s="4">
        <f t="shared" si="42"/>
        <v>2022</v>
      </c>
      <c r="L26" s="4">
        <f t="shared" si="42"/>
        <v>2023</v>
      </c>
      <c r="M26" s="4">
        <f t="shared" si="42"/>
        <v>2024</v>
      </c>
      <c r="N26" s="4">
        <f t="shared" si="42"/>
        <v>2025</v>
      </c>
    </row>
    <row r="27" spans="2:16">
      <c r="B27" t="s">
        <v>35</v>
      </c>
    </row>
    <row r="28" spans="2:16">
      <c r="B28" s="4" t="s">
        <v>14</v>
      </c>
    </row>
    <row r="29" spans="2:16">
      <c r="B29" t="s">
        <v>15</v>
      </c>
    </row>
    <row r="30" spans="2:16">
      <c r="B30" t="s">
        <v>16</v>
      </c>
    </row>
    <row r="31" spans="2:16">
      <c r="B31" t="s">
        <v>17</v>
      </c>
      <c r="E31" s="13">
        <v>750000</v>
      </c>
      <c r="F31" s="13">
        <v>750000</v>
      </c>
      <c r="G31" s="13">
        <v>750000</v>
      </c>
      <c r="H31" s="13">
        <v>750000</v>
      </c>
      <c r="I31" s="13">
        <v>750000</v>
      </c>
      <c r="J31" s="13">
        <v>750000</v>
      </c>
      <c r="K31" s="13">
        <v>750000</v>
      </c>
      <c r="L31" s="13">
        <v>750000</v>
      </c>
      <c r="M31" s="13">
        <v>750000</v>
      </c>
      <c r="N31" s="13">
        <v>750000</v>
      </c>
    </row>
    <row r="32" spans="2:16"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2:14">
      <c r="B33" t="s">
        <v>18</v>
      </c>
      <c r="E33" s="13">
        <v>453496</v>
      </c>
      <c r="F33" s="13">
        <v>453496</v>
      </c>
      <c r="G33" s="13">
        <v>453496</v>
      </c>
      <c r="H33" s="13">
        <v>453496</v>
      </c>
      <c r="I33" s="13">
        <v>453496</v>
      </c>
      <c r="J33" s="13">
        <v>453496</v>
      </c>
      <c r="K33" s="13">
        <v>453496</v>
      </c>
      <c r="L33" s="13">
        <v>453496</v>
      </c>
      <c r="M33" s="13">
        <v>453496</v>
      </c>
      <c r="N33" s="13">
        <v>453496</v>
      </c>
    </row>
    <row r="34" spans="2:14">
      <c r="B34" t="s">
        <v>19</v>
      </c>
      <c r="E34" s="13">
        <v>249527</v>
      </c>
      <c r="F34" s="13">
        <v>249527</v>
      </c>
      <c r="G34" s="13">
        <v>249527</v>
      </c>
      <c r="H34" s="13">
        <v>249527</v>
      </c>
      <c r="I34" s="13">
        <v>249527</v>
      </c>
      <c r="J34" s="13">
        <v>249527</v>
      </c>
      <c r="K34" s="13">
        <v>249527</v>
      </c>
      <c r="L34" s="13">
        <v>249527</v>
      </c>
      <c r="M34" s="13">
        <v>249527</v>
      </c>
      <c r="N34" s="13">
        <v>249527</v>
      </c>
    </row>
    <row r="35" spans="2:14">
      <c r="B35" t="s">
        <v>20</v>
      </c>
      <c r="E35" s="13">
        <v>280000</v>
      </c>
      <c r="F35" s="13">
        <v>280000</v>
      </c>
      <c r="G35" s="13">
        <v>280000</v>
      </c>
      <c r="H35" s="13">
        <v>280000</v>
      </c>
      <c r="I35" s="13">
        <v>280000</v>
      </c>
      <c r="J35" s="13">
        <v>280000</v>
      </c>
      <c r="K35" s="13">
        <v>280000</v>
      </c>
      <c r="L35" s="13">
        <v>280000</v>
      </c>
      <c r="M35" s="13">
        <v>280000</v>
      </c>
      <c r="N35" s="13">
        <v>280000</v>
      </c>
    </row>
    <row r="36" spans="2:14">
      <c r="B36" t="s">
        <v>21</v>
      </c>
      <c r="E36" s="13">
        <v>-10092</v>
      </c>
      <c r="F36" s="13">
        <v>8357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</row>
    <row r="37" spans="2:14">
      <c r="B37" t="s">
        <v>22</v>
      </c>
      <c r="E37" s="13">
        <v>7839121</v>
      </c>
      <c r="F37" s="13">
        <v>3642960</v>
      </c>
      <c r="G37" s="13">
        <v>2929222</v>
      </c>
      <c r="H37" s="13">
        <v>2272943</v>
      </c>
      <c r="I37" s="13">
        <v>3207419</v>
      </c>
      <c r="J37" s="13">
        <f>I37+(J122-J121)</f>
        <v>13660343.495454773</v>
      </c>
      <c r="K37" s="13">
        <f t="shared" ref="K37:N37" si="43">J37+(K122-K121)</f>
        <v>23785727.6781606</v>
      </c>
      <c r="L37" s="13">
        <f t="shared" si="43"/>
        <v>34002465.750364035</v>
      </c>
      <c r="M37" s="13">
        <f t="shared" si="43"/>
        <v>43792766.391148463</v>
      </c>
      <c r="N37" s="13">
        <f t="shared" si="43"/>
        <v>52783805.21818085</v>
      </c>
    </row>
    <row r="38" spans="2:14">
      <c r="E38" s="5">
        <f>SUM(E33:E37)</f>
        <v>8812052</v>
      </c>
      <c r="F38" s="5">
        <f t="shared" ref="F38:N38" si="44">SUM(F33:F37)</f>
        <v>4634340</v>
      </c>
      <c r="G38" s="5">
        <f t="shared" si="44"/>
        <v>3912245</v>
      </c>
      <c r="H38" s="5">
        <f t="shared" si="44"/>
        <v>3255966</v>
      </c>
      <c r="I38" s="5">
        <f t="shared" si="44"/>
        <v>4190442</v>
      </c>
      <c r="J38" s="5">
        <f t="shared" si="44"/>
        <v>14643366.495454773</v>
      </c>
      <c r="K38" s="5">
        <f t="shared" si="44"/>
        <v>24768750.6781606</v>
      </c>
      <c r="L38" s="5">
        <f t="shared" si="44"/>
        <v>34985488.750364035</v>
      </c>
      <c r="M38" s="5">
        <f t="shared" si="44"/>
        <v>44775789.391148463</v>
      </c>
      <c r="N38" s="5">
        <f t="shared" si="44"/>
        <v>53766828.21818085</v>
      </c>
    </row>
    <row r="39" spans="2:14">
      <c r="B39" s="4" t="s">
        <v>23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2:14">
      <c r="B40" t="s">
        <v>24</v>
      </c>
      <c r="E40" s="13">
        <v>5637473</v>
      </c>
      <c r="F40" s="13">
        <v>9291755</v>
      </c>
      <c r="G40" s="13">
        <v>9064730</v>
      </c>
      <c r="H40" s="13">
        <v>3780294</v>
      </c>
      <c r="I40" s="13">
        <v>12081975</v>
      </c>
      <c r="J40" s="13">
        <f>AVERAGE(E40:I40)</f>
        <v>7971245.4000000004</v>
      </c>
      <c r="K40" s="13">
        <f t="shared" ref="K40:N43" si="45">AVERAGE(F40:J40)</f>
        <v>8437999.879999999</v>
      </c>
      <c r="L40" s="13">
        <f t="shared" si="45"/>
        <v>8267248.8560000006</v>
      </c>
      <c r="M40" s="13">
        <f t="shared" si="45"/>
        <v>8107752.6272</v>
      </c>
      <c r="N40" s="13">
        <f t="shared" si="45"/>
        <v>8973244.3526399992</v>
      </c>
    </row>
    <row r="41" spans="2:14">
      <c r="B41" t="s">
        <v>53</v>
      </c>
      <c r="E41" s="13">
        <v>0</v>
      </c>
      <c r="F41" s="13">
        <v>0</v>
      </c>
      <c r="G41" s="13">
        <v>0</v>
      </c>
      <c r="H41" s="13">
        <v>143004</v>
      </c>
      <c r="I41" s="13">
        <v>34682</v>
      </c>
      <c r="J41" s="13">
        <f t="shared" ref="J41:J43" si="46">AVERAGE(E41:I41)</f>
        <v>35537.199999999997</v>
      </c>
      <c r="K41" s="13">
        <f t="shared" si="45"/>
        <v>42644.639999999999</v>
      </c>
      <c r="L41" s="13">
        <f t="shared" si="45"/>
        <v>51173.568000000007</v>
      </c>
      <c r="M41" s="13">
        <f t="shared" si="45"/>
        <v>61408.281600000009</v>
      </c>
      <c r="N41" s="13">
        <f t="shared" si="45"/>
        <v>45089.137920000001</v>
      </c>
    </row>
    <row r="42" spans="2:14">
      <c r="B42" t="s">
        <v>25</v>
      </c>
      <c r="E42" s="13">
        <v>1943343</v>
      </c>
      <c r="F42" s="13">
        <v>2493067</v>
      </c>
      <c r="G42" s="13">
        <v>2443197</v>
      </c>
      <c r="H42" s="13">
        <v>1960850</v>
      </c>
      <c r="I42" s="13">
        <v>1332919</v>
      </c>
      <c r="J42" s="13">
        <f t="shared" si="46"/>
        <v>2034675.2</v>
      </c>
      <c r="K42" s="13">
        <f t="shared" si="45"/>
        <v>2052941.64</v>
      </c>
      <c r="L42" s="13">
        <f t="shared" si="45"/>
        <v>1964916.568</v>
      </c>
      <c r="M42" s="13">
        <f t="shared" si="45"/>
        <v>1869260.4816000001</v>
      </c>
      <c r="N42" s="13">
        <f t="shared" si="45"/>
        <v>1850942.5779199998</v>
      </c>
    </row>
    <row r="43" spans="2:14">
      <c r="B43" t="s">
        <v>26</v>
      </c>
      <c r="E43" s="13">
        <v>1361555</v>
      </c>
      <c r="F43" s="13">
        <v>1660762</v>
      </c>
      <c r="G43" s="13">
        <v>2098020</v>
      </c>
      <c r="H43" s="13">
        <v>2777502</v>
      </c>
      <c r="I43" s="13">
        <v>3117661</v>
      </c>
      <c r="J43" s="13">
        <f t="shared" si="46"/>
        <v>2203100</v>
      </c>
      <c r="K43" s="13">
        <f t="shared" si="45"/>
        <v>2371409</v>
      </c>
      <c r="L43" s="13">
        <f t="shared" si="45"/>
        <v>2513538.4</v>
      </c>
      <c r="M43" s="13">
        <f t="shared" si="45"/>
        <v>2596642.08</v>
      </c>
      <c r="N43" s="13">
        <f t="shared" si="45"/>
        <v>2560470.0959999999</v>
      </c>
    </row>
    <row r="44" spans="2:14">
      <c r="E44" s="5">
        <f>SUM(E40:E43)</f>
        <v>8942371</v>
      </c>
      <c r="F44" s="5">
        <f t="shared" ref="F44:N44" si="47">SUM(F40:F43)</f>
        <v>13445584</v>
      </c>
      <c r="G44" s="5">
        <f t="shared" si="47"/>
        <v>13605947</v>
      </c>
      <c r="H44" s="5">
        <f t="shared" si="47"/>
        <v>8661650</v>
      </c>
      <c r="I44" s="5">
        <f t="shared" si="47"/>
        <v>16567237</v>
      </c>
      <c r="J44" s="5">
        <f t="shared" si="47"/>
        <v>12244557.800000001</v>
      </c>
      <c r="K44" s="5">
        <f t="shared" si="47"/>
        <v>12904995.16</v>
      </c>
      <c r="L44" s="5">
        <f t="shared" si="47"/>
        <v>12796877.392000001</v>
      </c>
      <c r="M44" s="5">
        <f t="shared" si="47"/>
        <v>12635063.4704</v>
      </c>
      <c r="N44" s="5">
        <f t="shared" si="47"/>
        <v>13429746.164479997</v>
      </c>
    </row>
    <row r="45" spans="2:14"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2:14">
      <c r="B46" s="4" t="s">
        <v>27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2:14">
      <c r="B47" t="s">
        <v>28</v>
      </c>
      <c r="C47" s="46" t="s">
        <v>166</v>
      </c>
      <c r="E47" s="13">
        <v>0</v>
      </c>
      <c r="F47" s="13">
        <v>116343</v>
      </c>
      <c r="G47" s="13">
        <v>227025</v>
      </c>
      <c r="H47" s="13">
        <v>3395084</v>
      </c>
      <c r="I47" s="13">
        <v>3734310</v>
      </c>
      <c r="J47" s="13">
        <f>AVERAGE(E47:I47)/AVERAGE(E40:I40)*J40</f>
        <v>1494552.4</v>
      </c>
      <c r="K47" s="13">
        <f t="shared" ref="K47:N47" si="48">AVERAGE(F47:J47)/AVERAGE(F40:J40)*K40</f>
        <v>1793462.8800000001</v>
      </c>
      <c r="L47" s="13">
        <f t="shared" si="48"/>
        <v>2128886.8560000001</v>
      </c>
      <c r="M47" s="13">
        <f t="shared" si="48"/>
        <v>2509259.2272000005</v>
      </c>
      <c r="N47" s="13">
        <f t="shared" si="48"/>
        <v>2332094.2726400001</v>
      </c>
    </row>
    <row r="48" spans="2:14">
      <c r="B48" t="s">
        <v>29</v>
      </c>
      <c r="E48" s="13">
        <v>4345157</v>
      </c>
      <c r="F48" s="13">
        <v>11845986</v>
      </c>
      <c r="G48" s="13">
        <v>15242800</v>
      </c>
      <c r="H48" s="13">
        <v>17217473</v>
      </c>
      <c r="I48" s="13">
        <v>6417473</v>
      </c>
      <c r="J48" s="13">
        <f t="shared" ref="J48:J50" si="49">AVERAGE(E48:I48)</f>
        <v>11013777.800000001</v>
      </c>
      <c r="K48" s="13">
        <f t="shared" ref="K48:K50" si="50">AVERAGE(F48:J48)</f>
        <v>12347501.959999999</v>
      </c>
      <c r="L48" s="13">
        <f t="shared" ref="L48:L50" si="51">AVERAGE(G48:K48)</f>
        <v>12447805.151999999</v>
      </c>
      <c r="M48" s="13">
        <f t="shared" ref="M48:M50" si="52">AVERAGE(H48:L48)</f>
        <v>11888806.182399999</v>
      </c>
      <c r="N48" s="13">
        <f t="shared" ref="N48:N50" si="53">AVERAGE(I48:M48)</f>
        <v>10823072.818880001</v>
      </c>
    </row>
    <row r="49" spans="2:14">
      <c r="B49" t="s">
        <v>30</v>
      </c>
      <c r="E49" s="13">
        <v>2013120</v>
      </c>
      <c r="F49" s="13">
        <v>513908</v>
      </c>
      <c r="G49" s="13">
        <v>1418301</v>
      </c>
      <c r="H49" s="13">
        <v>6141325</v>
      </c>
      <c r="I49" s="13">
        <v>830245</v>
      </c>
      <c r="J49" s="13">
        <f t="shared" si="49"/>
        <v>2183379.7999999998</v>
      </c>
      <c r="K49" s="13">
        <f t="shared" si="50"/>
        <v>2217431.7600000002</v>
      </c>
      <c r="L49" s="13">
        <f t="shared" si="51"/>
        <v>2558136.5120000001</v>
      </c>
      <c r="M49" s="13">
        <f t="shared" si="52"/>
        <v>2786103.6144000003</v>
      </c>
      <c r="N49" s="13">
        <f t="shared" si="53"/>
        <v>2115059.3372800001</v>
      </c>
    </row>
    <row r="50" spans="2:14">
      <c r="B50" t="s">
        <v>31</v>
      </c>
      <c r="E50" s="13">
        <v>240843</v>
      </c>
      <c r="F50" s="13">
        <v>260369</v>
      </c>
      <c r="G50" s="13">
        <v>195431</v>
      </c>
      <c r="H50" s="13">
        <v>192724</v>
      </c>
      <c r="I50" s="13">
        <v>222166</v>
      </c>
      <c r="J50" s="13">
        <f t="shared" si="49"/>
        <v>222306.6</v>
      </c>
      <c r="K50" s="13">
        <f t="shared" si="50"/>
        <v>218599.32</v>
      </c>
      <c r="L50" s="13">
        <f t="shared" si="51"/>
        <v>210245.38399999999</v>
      </c>
      <c r="M50" s="13">
        <f t="shared" si="52"/>
        <v>213208.26079999999</v>
      </c>
      <c r="N50" s="13">
        <f t="shared" si="53"/>
        <v>217305.11295999997</v>
      </c>
    </row>
    <row r="51" spans="2:14">
      <c r="B51" t="s">
        <v>51</v>
      </c>
      <c r="E51" s="13">
        <v>0</v>
      </c>
      <c r="F51" s="13">
        <v>0</v>
      </c>
      <c r="G51" s="13">
        <v>0</v>
      </c>
      <c r="H51" s="13">
        <v>20608</v>
      </c>
      <c r="I51" s="13">
        <v>72121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</row>
    <row r="52" spans="2:14">
      <c r="B52" t="s">
        <v>32</v>
      </c>
      <c r="E52" s="13">
        <v>1458740</v>
      </c>
      <c r="F52" s="13">
        <v>1150297</v>
      </c>
      <c r="G52" s="13">
        <v>20608</v>
      </c>
      <c r="H52" s="13">
        <v>262436</v>
      </c>
      <c r="I52" s="13">
        <v>26563482</v>
      </c>
      <c r="J52" s="13">
        <f t="shared" ref="J52" si="54">AVERAGE(E52:I52)</f>
        <v>5891112.5999999996</v>
      </c>
      <c r="K52" s="13">
        <f t="shared" ref="K52" si="55">AVERAGE(F52:J52)</f>
        <v>6777587.1200000001</v>
      </c>
      <c r="L52" s="13">
        <f t="shared" ref="L52" si="56">AVERAGE(G52:K52)</f>
        <v>7903045.1439999994</v>
      </c>
      <c r="M52" s="13">
        <f t="shared" ref="M52" si="57">AVERAGE(H52:L52)</f>
        <v>9479532.5727999993</v>
      </c>
      <c r="N52" s="13">
        <f t="shared" ref="N52" si="58">AVERAGE(I52:M52)</f>
        <v>11322951.887360001</v>
      </c>
    </row>
    <row r="53" spans="2:14">
      <c r="B53" t="s">
        <v>33</v>
      </c>
      <c r="C53" s="46" t="s">
        <v>163</v>
      </c>
      <c r="D53" s="47">
        <f>AVERAGE(E53:I53)/AVERAGE(E4:I4)</f>
        <v>-0.27153551102904849</v>
      </c>
      <c r="E53" s="13">
        <v>24920599</v>
      </c>
      <c r="F53" s="13">
        <v>26231936</v>
      </c>
      <c r="G53" s="13">
        <v>31745031</v>
      </c>
      <c r="H53" s="13">
        <v>25138313</v>
      </c>
      <c r="I53" s="13">
        <v>562263</v>
      </c>
      <c r="J53" s="13">
        <f>$D$53*J4</f>
        <v>21646194.768381301</v>
      </c>
      <c r="K53" s="13">
        <f t="shared" ref="K53:N53" si="59">$D$53*K4</f>
        <v>21802051.33943997</v>
      </c>
      <c r="L53" s="13">
        <f t="shared" si="59"/>
        <v>21897455.400861621</v>
      </c>
      <c r="M53" s="13">
        <f t="shared" si="59"/>
        <v>21911241.543832976</v>
      </c>
      <c r="N53" s="13">
        <f t="shared" si="59"/>
        <v>21846573.937509894</v>
      </c>
    </row>
    <row r="54" spans="2:14">
      <c r="B54" t="s">
        <v>52</v>
      </c>
      <c r="E54" s="13">
        <v>0</v>
      </c>
      <c r="F54" s="13">
        <v>0</v>
      </c>
      <c r="G54" s="13">
        <v>0</v>
      </c>
      <c r="H54" s="13">
        <v>382146</v>
      </c>
      <c r="I54" s="13">
        <v>1443443</v>
      </c>
      <c r="J54" s="13">
        <f t="shared" ref="J54:J55" si="60">AVERAGE(E54:I54)</f>
        <v>365117.8</v>
      </c>
      <c r="K54" s="13">
        <f t="shared" ref="K54:K55" si="61">AVERAGE(F54:J54)</f>
        <v>438141.36</v>
      </c>
      <c r="L54" s="13">
        <f t="shared" ref="L54:L55" si="62">AVERAGE(G54:K54)</f>
        <v>525769.63199999998</v>
      </c>
      <c r="M54" s="13">
        <f t="shared" ref="M54:M55" si="63">AVERAGE(H54:L54)</f>
        <v>630923.55839999986</v>
      </c>
      <c r="N54" s="13">
        <f t="shared" ref="N54:N55" si="64">AVERAGE(I54:M54)</f>
        <v>680679.07008000009</v>
      </c>
    </row>
    <row r="55" spans="2:14">
      <c r="B55" t="s">
        <v>34</v>
      </c>
      <c r="E55" s="13">
        <v>48888</v>
      </c>
      <c r="F55" s="13">
        <v>146856</v>
      </c>
      <c r="G55" s="13">
        <v>273854</v>
      </c>
      <c r="H55" s="13">
        <v>444958</v>
      </c>
      <c r="I55" s="13">
        <v>303183</v>
      </c>
      <c r="J55" s="13">
        <f t="shared" si="60"/>
        <v>243547.8</v>
      </c>
      <c r="K55" s="13">
        <f t="shared" si="61"/>
        <v>282479.76</v>
      </c>
      <c r="L55" s="13">
        <f t="shared" si="62"/>
        <v>309604.51199999999</v>
      </c>
      <c r="M55" s="13">
        <f t="shared" si="63"/>
        <v>316754.61440000002</v>
      </c>
      <c r="N55" s="13">
        <f t="shared" si="64"/>
        <v>291113.93728000007</v>
      </c>
    </row>
    <row r="56" spans="2:14">
      <c r="E56" s="5">
        <f>SUM(E47:E55)</f>
        <v>33027347</v>
      </c>
      <c r="F56" s="5">
        <f t="shared" ref="F56:N56" si="65">SUM(F47:F55)</f>
        <v>40265695</v>
      </c>
      <c r="G56" s="5">
        <f t="shared" si="65"/>
        <v>49123050</v>
      </c>
      <c r="H56" s="5">
        <f t="shared" si="65"/>
        <v>53195067</v>
      </c>
      <c r="I56" s="5">
        <f t="shared" si="65"/>
        <v>40148686</v>
      </c>
      <c r="J56" s="5">
        <f t="shared" si="65"/>
        <v>43059989.568381295</v>
      </c>
      <c r="K56" s="5">
        <f t="shared" si="65"/>
        <v>45877255.499439962</v>
      </c>
      <c r="L56" s="5">
        <f t="shared" si="65"/>
        <v>47980948.592861623</v>
      </c>
      <c r="M56" s="5">
        <f t="shared" si="65"/>
        <v>49735829.574232973</v>
      </c>
      <c r="N56" s="5">
        <f t="shared" si="65"/>
        <v>49628850.373989895</v>
      </c>
    </row>
    <row r="57" spans="2:14"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2:14">
      <c r="E58" s="5">
        <f>E56+E44+E38</f>
        <v>50781770</v>
      </c>
      <c r="F58" s="5">
        <f t="shared" ref="F58:N58" si="66">F56+F44+F38</f>
        <v>58345619</v>
      </c>
      <c r="G58" s="5">
        <f t="shared" si="66"/>
        <v>66641242</v>
      </c>
      <c r="H58" s="5">
        <f t="shared" si="66"/>
        <v>65112683</v>
      </c>
      <c r="I58" s="5">
        <f t="shared" si="66"/>
        <v>60906365</v>
      </c>
      <c r="J58" s="5">
        <f t="shared" si="66"/>
        <v>69947913.863836065</v>
      </c>
      <c r="K58" s="5">
        <f t="shared" si="66"/>
        <v>83551001.337600559</v>
      </c>
      <c r="L58" s="5">
        <f t="shared" si="66"/>
        <v>95763314.735225663</v>
      </c>
      <c r="M58" s="5">
        <f t="shared" si="66"/>
        <v>107146682.43578143</v>
      </c>
      <c r="N58" s="5">
        <f t="shared" si="66"/>
        <v>116825424.75665075</v>
      </c>
    </row>
    <row r="59" spans="2:14"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2:14">
      <c r="B60" s="4" t="s">
        <v>36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2:14">
      <c r="B61" s="4" t="s">
        <v>37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2:14">
      <c r="B62" t="s">
        <v>38</v>
      </c>
      <c r="C62" s="46" t="s">
        <v>133</v>
      </c>
      <c r="E62" s="13">
        <v>28046124</v>
      </c>
      <c r="F62" s="13">
        <v>28734507</v>
      </c>
      <c r="G62" s="13">
        <v>29982969</v>
      </c>
      <c r="H62" s="13">
        <v>30333121</v>
      </c>
      <c r="I62" s="13">
        <v>28679851</v>
      </c>
      <c r="J62" s="13">
        <v>29155314.400000013</v>
      </c>
      <c r="K62" s="13">
        <v>29252127.787526257</v>
      </c>
      <c r="L62" s="13">
        <v>29219806.06621927</v>
      </c>
      <c r="M62" s="13">
        <v>29144733.499946952</v>
      </c>
      <c r="N62" s="13">
        <v>29185459.230738506</v>
      </c>
    </row>
    <row r="63" spans="2:14">
      <c r="B63" t="s">
        <v>39</v>
      </c>
      <c r="C63" s="46" t="s">
        <v>158</v>
      </c>
      <c r="D63" s="47">
        <f>AVERAGE(E63:I63)/AVERAGE(E62:I62)</f>
        <v>0.12377159616567195</v>
      </c>
      <c r="E63" s="13">
        <v>2765730</v>
      </c>
      <c r="F63" s="13">
        <v>4059585</v>
      </c>
      <c r="G63" s="13">
        <v>3679302</v>
      </c>
      <c r="H63" s="13">
        <v>3441066</v>
      </c>
      <c r="I63" s="13">
        <v>4097316</v>
      </c>
      <c r="J63" s="13">
        <f>$D$63*J62</f>
        <v>3608599.8000000017</v>
      </c>
      <c r="K63" s="13">
        <f t="shared" ref="K63:N63" si="67">$D$63*K62</f>
        <v>3620582.5475043305</v>
      </c>
      <c r="L63" s="13">
        <f t="shared" si="67"/>
        <v>3616582.0364673431</v>
      </c>
      <c r="M63" s="13">
        <f t="shared" si="67"/>
        <v>3607290.185111565</v>
      </c>
      <c r="N63" s="13">
        <f t="shared" si="67"/>
        <v>3612330.873816649</v>
      </c>
    </row>
    <row r="64" spans="2:14">
      <c r="B64" t="s">
        <v>40</v>
      </c>
      <c r="E64" s="13">
        <v>31600</v>
      </c>
      <c r="F64" s="13">
        <v>23532</v>
      </c>
      <c r="G64" s="13">
        <v>15464</v>
      </c>
      <c r="H64" s="13">
        <v>7396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</row>
    <row r="65" spans="2:14">
      <c r="B65" t="s">
        <v>41</v>
      </c>
      <c r="E65" s="13">
        <v>338449</v>
      </c>
      <c r="F65" s="13">
        <v>367359</v>
      </c>
      <c r="G65" s="13">
        <v>305333</v>
      </c>
      <c r="H65" s="13">
        <v>239499</v>
      </c>
      <c r="I65" s="13">
        <v>179191</v>
      </c>
      <c r="J65" s="13">
        <f>AVERAGE(E65:I65)</f>
        <v>285966.2</v>
      </c>
      <c r="K65" s="13">
        <f t="shared" ref="K65:N65" si="68">AVERAGE(F65:J65)</f>
        <v>275469.64</v>
      </c>
      <c r="L65" s="13">
        <f t="shared" si="68"/>
        <v>257091.76799999998</v>
      </c>
      <c r="M65" s="13">
        <f t="shared" si="68"/>
        <v>247443.52160000001</v>
      </c>
      <c r="N65" s="13">
        <f t="shared" si="68"/>
        <v>249032.42592000001</v>
      </c>
    </row>
    <row r="66" spans="2:14">
      <c r="B66" t="s">
        <v>42</v>
      </c>
      <c r="E66" s="13">
        <v>32046</v>
      </c>
      <c r="F66" s="13">
        <v>36147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</row>
    <row r="67" spans="2:14">
      <c r="E67" s="5">
        <f>SUM(E62:E66)</f>
        <v>31213949</v>
      </c>
      <c r="F67" s="5">
        <f t="shared" ref="F67:N67" si="69">SUM(F62:F66)</f>
        <v>33221130</v>
      </c>
      <c r="G67" s="5">
        <f t="shared" si="69"/>
        <v>33983068</v>
      </c>
      <c r="H67" s="5">
        <f t="shared" si="69"/>
        <v>34021082</v>
      </c>
      <c r="I67" s="5">
        <f t="shared" si="69"/>
        <v>32956358</v>
      </c>
      <c r="J67" s="5">
        <f t="shared" si="69"/>
        <v>33049880.400000013</v>
      </c>
      <c r="K67" s="5">
        <f t="shared" si="69"/>
        <v>33148179.97503059</v>
      </c>
      <c r="L67" s="5">
        <f t="shared" si="69"/>
        <v>33093479.870686613</v>
      </c>
      <c r="M67" s="5">
        <f t="shared" si="69"/>
        <v>32999467.206658516</v>
      </c>
      <c r="N67" s="5">
        <f t="shared" si="69"/>
        <v>33046822.530475155</v>
      </c>
    </row>
    <row r="68" spans="2:14"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2:14">
      <c r="B69" s="4" t="s">
        <v>43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2:14">
      <c r="B70" t="s">
        <v>44</v>
      </c>
      <c r="E70" s="13">
        <v>1308329</v>
      </c>
      <c r="F70" s="13">
        <v>1769987</v>
      </c>
      <c r="G70" s="13">
        <v>1951900</v>
      </c>
      <c r="H70" s="13">
        <v>2376057</v>
      </c>
      <c r="I70" s="13">
        <v>2670279</v>
      </c>
      <c r="J70" s="13">
        <f>AVERAGE(E70:I70)</f>
        <v>2015310.4</v>
      </c>
      <c r="K70" s="13">
        <f t="shared" ref="K70:N70" si="70">AVERAGE(F70:J70)</f>
        <v>2156706.6800000002</v>
      </c>
      <c r="L70" s="13">
        <f t="shared" si="70"/>
        <v>2234050.6159999999</v>
      </c>
      <c r="M70" s="13">
        <f t="shared" si="70"/>
        <v>2290480.7392000002</v>
      </c>
      <c r="N70" s="13">
        <f t="shared" si="70"/>
        <v>2273365.48704</v>
      </c>
    </row>
    <row r="71" spans="2:14">
      <c r="B71" t="s">
        <v>45</v>
      </c>
      <c r="C71" s="46" t="s">
        <v>159</v>
      </c>
      <c r="D71" s="47">
        <f>AVERAGE(E71:I71)/AVERAGE(F3:J3)</f>
        <v>0.13279613914024502</v>
      </c>
      <c r="E71" s="13">
        <v>11207230</v>
      </c>
      <c r="F71" s="13">
        <v>15358288</v>
      </c>
      <c r="G71" s="13">
        <v>19711784</v>
      </c>
      <c r="H71" s="13">
        <v>18876441</v>
      </c>
      <c r="I71" s="13">
        <v>16252021</v>
      </c>
      <c r="J71" s="13">
        <f>$D$71*K3</f>
        <v>17617381.682984456</v>
      </c>
      <c r="K71" s="13">
        <f t="shared" ref="K71:N71" si="71">$D$71*L3</f>
        <v>17509430.094661672</v>
      </c>
      <c r="L71" s="13">
        <f t="shared" si="71"/>
        <v>17329769.315468796</v>
      </c>
      <c r="M71" s="13">
        <f t="shared" si="71"/>
        <v>17196239.921513129</v>
      </c>
      <c r="N71" s="13">
        <f t="shared" si="71"/>
        <v>17421503.871466205</v>
      </c>
    </row>
    <row r="72" spans="2:14">
      <c r="B72" t="s">
        <v>46</v>
      </c>
      <c r="C72" s="46" t="s">
        <v>162</v>
      </c>
      <c r="D72" s="47">
        <f>AVERAGE(E72:I72)/AVERAGE(E3:I3)</f>
        <v>1.4407805617334075E-2</v>
      </c>
      <c r="E72" s="13">
        <v>564460</v>
      </c>
      <c r="F72" s="13">
        <v>781116</v>
      </c>
      <c r="G72" s="13">
        <v>3116948</v>
      </c>
      <c r="H72" s="13">
        <v>2164888</v>
      </c>
      <c r="I72" s="13">
        <v>1930333</v>
      </c>
      <c r="J72" s="13">
        <f>$D$72*J3</f>
        <v>1893759.1292866922</v>
      </c>
      <c r="K72" s="13">
        <f t="shared" ref="K72:N72" si="72">$D$72*K3</f>
        <v>1911409.5667100397</v>
      </c>
      <c r="L72" s="13">
        <f t="shared" si="72"/>
        <v>1899697.287191171</v>
      </c>
      <c r="M72" s="13">
        <f t="shared" si="72"/>
        <v>1880204.871218625</v>
      </c>
      <c r="N72" s="13">
        <f t="shared" si="72"/>
        <v>1865717.5106314181</v>
      </c>
    </row>
    <row r="73" spans="2:14">
      <c r="B73" t="s">
        <v>47</v>
      </c>
      <c r="E73" s="13">
        <v>98565</v>
      </c>
      <c r="F73" s="13">
        <v>135248</v>
      </c>
      <c r="G73" s="13">
        <v>132729</v>
      </c>
      <c r="H73" s="13">
        <v>132045</v>
      </c>
      <c r="I73" s="13">
        <v>134078</v>
      </c>
      <c r="J73" s="13">
        <f t="shared" ref="J73:J75" si="73">AVERAGE(E73:I73)</f>
        <v>126533</v>
      </c>
      <c r="K73" s="13">
        <f t="shared" ref="K73:K75" si="74">AVERAGE(F73:J73)</f>
        <v>132126.6</v>
      </c>
      <c r="L73" s="13">
        <f t="shared" ref="L73:L75" si="75">AVERAGE(G73:K73)</f>
        <v>131502.32</v>
      </c>
      <c r="M73" s="13">
        <f t="shared" ref="M73:M75" si="76">AVERAGE(H73:L73)</f>
        <v>131256.984</v>
      </c>
      <c r="N73" s="13">
        <f t="shared" ref="N73:N75" si="77">AVERAGE(I73:M73)</f>
        <v>131099.38079999998</v>
      </c>
    </row>
    <row r="74" spans="2:14">
      <c r="B74" t="s">
        <v>48</v>
      </c>
      <c r="E74" s="13">
        <v>5374745</v>
      </c>
      <c r="F74" s="13">
        <v>4477768</v>
      </c>
      <c r="G74" s="13">
        <v>4552598</v>
      </c>
      <c r="H74" s="13">
        <v>4599004</v>
      </c>
      <c r="I74" s="13">
        <v>4324260</v>
      </c>
      <c r="J74" s="13">
        <f t="shared" si="73"/>
        <v>4665675</v>
      </c>
      <c r="K74" s="13">
        <f t="shared" si="74"/>
        <v>4523861</v>
      </c>
      <c r="L74" s="13">
        <f t="shared" si="75"/>
        <v>4533079.5999999996</v>
      </c>
      <c r="M74" s="13">
        <f t="shared" si="76"/>
        <v>4529175.92</v>
      </c>
      <c r="N74" s="13">
        <f t="shared" si="77"/>
        <v>4515210.3040000005</v>
      </c>
    </row>
    <row r="75" spans="2:14">
      <c r="B75" t="s">
        <v>49</v>
      </c>
      <c r="E75" s="13">
        <v>661325</v>
      </c>
      <c r="F75" s="13">
        <v>1268098</v>
      </c>
      <c r="G75" s="13">
        <v>2446521</v>
      </c>
      <c r="H75" s="13">
        <v>2624413</v>
      </c>
      <c r="I75" s="13">
        <v>1849981</v>
      </c>
      <c r="J75" s="13">
        <f t="shared" si="73"/>
        <v>1770067.6</v>
      </c>
      <c r="K75" s="13">
        <f t="shared" si="74"/>
        <v>1991816.1199999999</v>
      </c>
      <c r="L75" s="13">
        <f t="shared" si="75"/>
        <v>2136559.7439999999</v>
      </c>
      <c r="M75" s="13">
        <f t="shared" si="76"/>
        <v>2074567.4927999999</v>
      </c>
      <c r="N75" s="13">
        <f t="shared" si="77"/>
        <v>1964598.3913599998</v>
      </c>
    </row>
    <row r="76" spans="2:14">
      <c r="B76" t="s">
        <v>50</v>
      </c>
      <c r="E76" s="13">
        <v>353167</v>
      </c>
      <c r="F76" s="13">
        <v>1333984</v>
      </c>
      <c r="G76" s="13">
        <v>745694</v>
      </c>
      <c r="H76" s="13">
        <v>318753</v>
      </c>
      <c r="I76" s="13">
        <v>789055</v>
      </c>
      <c r="J76" s="13">
        <f>J112</f>
        <v>9871411.4954547696</v>
      </c>
      <c r="K76" s="13">
        <f t="shared" ref="K76:N76" si="78">K112</f>
        <v>22167577.370634347</v>
      </c>
      <c r="L76" s="13">
        <f t="shared" si="78"/>
        <v>32599626.460144758</v>
      </c>
      <c r="M76" s="13">
        <f t="shared" si="78"/>
        <v>42209405.622401506</v>
      </c>
      <c r="N76" s="13">
        <f t="shared" si="78"/>
        <v>51139899.86488235</v>
      </c>
    </row>
    <row r="77" spans="2:14">
      <c r="E77" s="5">
        <f>SUM(E70:E76)</f>
        <v>19567821</v>
      </c>
      <c r="F77" s="5">
        <f t="shared" ref="F77:N77" si="79">SUM(F70:F76)</f>
        <v>25124489</v>
      </c>
      <c r="G77" s="5">
        <f t="shared" si="79"/>
        <v>32658174</v>
      </c>
      <c r="H77" s="5">
        <f t="shared" si="79"/>
        <v>31091601</v>
      </c>
      <c r="I77" s="5">
        <f t="shared" si="79"/>
        <v>27950007</v>
      </c>
      <c r="J77" s="5">
        <f t="shared" si="79"/>
        <v>37960138.307725921</v>
      </c>
      <c r="K77" s="5">
        <f t="shared" si="79"/>
        <v>50392927.432006061</v>
      </c>
      <c r="L77" s="5">
        <f t="shared" si="79"/>
        <v>60864285.34280473</v>
      </c>
      <c r="M77" s="5">
        <f t="shared" si="79"/>
        <v>70311331.55113326</v>
      </c>
      <c r="N77" s="5">
        <f t="shared" si="79"/>
        <v>79311394.810179979</v>
      </c>
    </row>
    <row r="78" spans="2:14"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2:14">
      <c r="E79" s="5">
        <f t="shared" ref="E79:N79" si="80">E77+E67</f>
        <v>50781770</v>
      </c>
      <c r="F79" s="5">
        <f t="shared" si="80"/>
        <v>58345619</v>
      </c>
      <c r="G79" s="5">
        <f t="shared" si="80"/>
        <v>66641242</v>
      </c>
      <c r="H79" s="5">
        <f t="shared" si="80"/>
        <v>65112683</v>
      </c>
      <c r="I79" s="5">
        <f t="shared" si="80"/>
        <v>60906365</v>
      </c>
      <c r="J79" s="5">
        <f t="shared" si="80"/>
        <v>71010018.707725942</v>
      </c>
      <c r="K79" s="5">
        <f t="shared" si="80"/>
        <v>83541107.407036647</v>
      </c>
      <c r="L79" s="5">
        <f t="shared" si="80"/>
        <v>93957765.21349135</v>
      </c>
      <c r="M79" s="5">
        <f t="shared" si="80"/>
        <v>103310798.75779177</v>
      </c>
      <c r="N79" s="5">
        <f t="shared" si="80"/>
        <v>112358217.34065513</v>
      </c>
    </row>
    <row r="81" spans="2:14">
      <c r="E81" s="1"/>
      <c r="F81" s="1"/>
      <c r="G81" s="1"/>
      <c r="H81" s="1"/>
      <c r="I81" s="1"/>
    </row>
    <row r="82" spans="2:14">
      <c r="E82" s="4">
        <v>2016</v>
      </c>
      <c r="F82" s="4">
        <f>E82+1</f>
        <v>2017</v>
      </c>
      <c r="G82" s="4">
        <f t="shared" ref="G82:N82" si="81">F82+1</f>
        <v>2018</v>
      </c>
      <c r="H82" s="4">
        <f t="shared" si="81"/>
        <v>2019</v>
      </c>
      <c r="I82" s="4">
        <f t="shared" si="81"/>
        <v>2020</v>
      </c>
      <c r="J82" s="4">
        <f t="shared" si="81"/>
        <v>2021</v>
      </c>
      <c r="K82" s="4">
        <f t="shared" si="81"/>
        <v>2022</v>
      </c>
      <c r="L82" s="4">
        <f t="shared" si="81"/>
        <v>2023</v>
      </c>
      <c r="M82" s="4">
        <f t="shared" si="81"/>
        <v>2024</v>
      </c>
      <c r="N82" s="4">
        <f t="shared" si="81"/>
        <v>2025</v>
      </c>
    </row>
    <row r="83" spans="2:14">
      <c r="B83" s="4" t="s">
        <v>54</v>
      </c>
    </row>
    <row r="84" spans="2:14">
      <c r="B84" t="s">
        <v>73</v>
      </c>
      <c r="E84" s="13">
        <v>29534835</v>
      </c>
      <c r="F84" s="13">
        <v>21925820</v>
      </c>
      <c r="G84" s="13">
        <v>22880081</v>
      </c>
      <c r="H84" s="13">
        <v>13672288</v>
      </c>
      <c r="I84" s="13">
        <v>26001732</v>
      </c>
      <c r="J84" s="13">
        <f>J9</f>
        <v>32353642.712505866</v>
      </c>
      <c r="K84" s="13">
        <f t="shared" ref="K84:N84" si="82">K9</f>
        <v>32660353.19059528</v>
      </c>
      <c r="L84" s="13">
        <f t="shared" si="82"/>
        <v>31515193.750611313</v>
      </c>
      <c r="M84" s="13">
        <f t="shared" si="82"/>
        <v>30287059.205078058</v>
      </c>
      <c r="N84" s="13">
        <f t="shared" si="82"/>
        <v>29651873.23412542</v>
      </c>
    </row>
    <row r="85" spans="2:14">
      <c r="B85" t="s">
        <v>76</v>
      </c>
      <c r="E85" s="13">
        <v>11628</v>
      </c>
      <c r="F85" s="13">
        <v>-4101</v>
      </c>
      <c r="G85" s="13">
        <v>36147</v>
      </c>
      <c r="H85" s="13">
        <v>0</v>
      </c>
      <c r="I85" s="13">
        <v>0</v>
      </c>
      <c r="J85" s="13">
        <f>J66-I66</f>
        <v>0</v>
      </c>
      <c r="K85" s="13">
        <f t="shared" ref="K85:N85" si="83">K66-J66</f>
        <v>0</v>
      </c>
      <c r="L85" s="13">
        <f t="shared" si="83"/>
        <v>0</v>
      </c>
      <c r="M85" s="13">
        <f t="shared" si="83"/>
        <v>0</v>
      </c>
      <c r="N85" s="13">
        <f t="shared" si="83"/>
        <v>0</v>
      </c>
    </row>
    <row r="86" spans="2:14">
      <c r="B86" t="s">
        <v>55</v>
      </c>
      <c r="E86" s="13">
        <v>-62040</v>
      </c>
      <c r="F86" s="13">
        <v>-65593</v>
      </c>
      <c r="G86" s="13">
        <v>64545</v>
      </c>
      <c r="H86" s="13">
        <v>66518</v>
      </c>
      <c r="I86" s="13">
        <v>58275</v>
      </c>
      <c r="J86" s="13">
        <f>J65-I65</f>
        <v>106775.20000000001</v>
      </c>
      <c r="K86" s="13">
        <f t="shared" ref="K86:N86" si="84">K65-J65</f>
        <v>-10496.559999999998</v>
      </c>
      <c r="L86" s="13">
        <f t="shared" si="84"/>
        <v>-18377.872000000032</v>
      </c>
      <c r="M86" s="13">
        <f t="shared" si="84"/>
        <v>-9648.2463999999745</v>
      </c>
      <c r="N86" s="13">
        <f t="shared" si="84"/>
        <v>1588.9043200000015</v>
      </c>
    </row>
    <row r="87" spans="2:14">
      <c r="B87" t="s">
        <v>56</v>
      </c>
      <c r="E87" s="13">
        <v>19538</v>
      </c>
      <c r="F87" s="13">
        <v>19526</v>
      </c>
      <c r="G87" s="13">
        <v>-64938</v>
      </c>
      <c r="H87" s="13">
        <v>-2707</v>
      </c>
      <c r="I87" s="13">
        <v>29442</v>
      </c>
      <c r="J87" s="13">
        <f>J50-I50</f>
        <v>140.60000000000582</v>
      </c>
      <c r="K87" s="13">
        <f t="shared" ref="K87:N87" si="85">K50-J50</f>
        <v>-3707.2799999999988</v>
      </c>
      <c r="L87" s="13">
        <f t="shared" si="85"/>
        <v>-8353.9360000000161</v>
      </c>
      <c r="M87" s="13">
        <f t="shared" si="85"/>
        <v>2962.8767999999982</v>
      </c>
      <c r="N87" s="13">
        <f t="shared" si="85"/>
        <v>4096.8521599999804</v>
      </c>
    </row>
    <row r="88" spans="2:14">
      <c r="B88" t="s">
        <v>48</v>
      </c>
      <c r="E88" s="13">
        <v>421867</v>
      </c>
      <c r="F88" s="13">
        <v>896977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</row>
    <row r="89" spans="2:14">
      <c r="B89" t="s">
        <v>77</v>
      </c>
      <c r="E89" s="13">
        <v>-387921</v>
      </c>
      <c r="F89" s="13">
        <v>-423487</v>
      </c>
      <c r="G89" s="13">
        <v>-74830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</row>
    <row r="90" spans="2:14">
      <c r="B90" t="s">
        <v>57</v>
      </c>
      <c r="E90" s="13">
        <v>0</v>
      </c>
      <c r="F90" s="13">
        <v>0</v>
      </c>
      <c r="G90" s="13">
        <v>-485465</v>
      </c>
      <c r="H90" s="13">
        <v>-485384</v>
      </c>
      <c r="I90" s="13">
        <v>-477319</v>
      </c>
      <c r="J90" s="13">
        <f>J43-I43</f>
        <v>-914561</v>
      </c>
      <c r="K90" s="13">
        <f t="shared" ref="K90:N90" si="86">K43-J43</f>
        <v>168309</v>
      </c>
      <c r="L90" s="13">
        <f t="shared" si="86"/>
        <v>142129.39999999991</v>
      </c>
      <c r="M90" s="13">
        <f t="shared" si="86"/>
        <v>83103.680000000168</v>
      </c>
      <c r="N90" s="13">
        <f t="shared" si="86"/>
        <v>-36171.984000000171</v>
      </c>
    </row>
    <row r="91" spans="2:14">
      <c r="B91" t="s">
        <v>58</v>
      </c>
      <c r="E91" s="13">
        <v>-895145</v>
      </c>
      <c r="F91" s="13">
        <v>-11916</v>
      </c>
      <c r="G91" s="13">
        <v>-2012905</v>
      </c>
      <c r="H91" s="13">
        <v>0</v>
      </c>
      <c r="I91" s="13">
        <v>-596268</v>
      </c>
      <c r="J91" s="13">
        <f>AVERAGE(E91:I91)</f>
        <v>-703246.8</v>
      </c>
      <c r="K91" s="13">
        <f t="shared" ref="K91:N91" si="87">AVERAGE(F91:J91)</f>
        <v>-664867.15999999992</v>
      </c>
      <c r="L91" s="13">
        <f t="shared" si="87"/>
        <v>-795457.39199999999</v>
      </c>
      <c r="M91" s="13">
        <f t="shared" si="87"/>
        <v>-551967.87040000001</v>
      </c>
      <c r="N91" s="13">
        <f t="shared" si="87"/>
        <v>-662361.44447999995</v>
      </c>
    </row>
    <row r="92" spans="2:14">
      <c r="B92" t="s">
        <v>78</v>
      </c>
      <c r="E92" s="13">
        <v>-264986</v>
      </c>
      <c r="F92" s="13">
        <v>-323560</v>
      </c>
      <c r="G92" s="13">
        <v>-348076</v>
      </c>
      <c r="H92" s="13">
        <v>0</v>
      </c>
      <c r="I92" s="13">
        <v>0</v>
      </c>
      <c r="J92" s="13">
        <f>AVERAGE(E92:I92)</f>
        <v>-187324.4</v>
      </c>
      <c r="K92" s="13">
        <f t="shared" ref="K92:N92" si="88">AVERAGE(F92:J92)</f>
        <v>-171792.08000000002</v>
      </c>
      <c r="L92" s="13">
        <f t="shared" si="88"/>
        <v>-141438.49599999998</v>
      </c>
      <c r="M92" s="13">
        <f t="shared" si="88"/>
        <v>-100110.99519999999</v>
      </c>
      <c r="N92" s="13">
        <f t="shared" si="88"/>
        <v>-120133.19423999998</v>
      </c>
    </row>
    <row r="93" spans="2:14">
      <c r="B93" t="s">
        <v>59</v>
      </c>
      <c r="E93" s="13">
        <v>-5622752</v>
      </c>
      <c r="F93" s="13">
        <v>-6012968</v>
      </c>
      <c r="G93" s="13">
        <v>-6745942</v>
      </c>
      <c r="H93" s="13">
        <v>-3172405</v>
      </c>
      <c r="I93" s="13">
        <v>-3147715</v>
      </c>
      <c r="J93" s="13">
        <f>J18</f>
        <v>-8948799.5370510872</v>
      </c>
      <c r="K93" s="13">
        <f t="shared" ref="K93:N93" si="89">K18</f>
        <v>-8991562.0018037427</v>
      </c>
      <c r="L93" s="13">
        <f t="shared" si="89"/>
        <v>-8656383.2597476896</v>
      </c>
      <c r="M93" s="13">
        <f t="shared" si="89"/>
        <v>-8305772.1612753961</v>
      </c>
      <c r="N93" s="13">
        <f t="shared" si="89"/>
        <v>-8142312.3246349683</v>
      </c>
    </row>
    <row r="94" spans="2:14">
      <c r="B94" s="4" t="s">
        <v>60</v>
      </c>
      <c r="E94" s="5">
        <f>SUM(E84:E93)</f>
        <v>22755024</v>
      </c>
      <c r="F94" s="5">
        <f t="shared" ref="F94:N94" si="90">SUM(F84:F93)</f>
        <v>16000698</v>
      </c>
      <c r="G94" s="5">
        <f t="shared" si="90"/>
        <v>13248617</v>
      </c>
      <c r="H94" s="5">
        <f t="shared" si="90"/>
        <v>10078310</v>
      </c>
      <c r="I94" s="5">
        <f t="shared" si="90"/>
        <v>21868147</v>
      </c>
      <c r="J94" s="5">
        <f t="shared" si="90"/>
        <v>21706626.775454782</v>
      </c>
      <c r="K94" s="5">
        <f t="shared" si="90"/>
        <v>22986237.108791538</v>
      </c>
      <c r="L94" s="5">
        <f t="shared" si="90"/>
        <v>22037312.194863617</v>
      </c>
      <c r="M94" s="5">
        <f t="shared" si="90"/>
        <v>21405626.488602661</v>
      </c>
      <c r="N94" s="5">
        <f t="shared" si="90"/>
        <v>20696580.043250453</v>
      </c>
    </row>
    <row r="95" spans="2:14"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2:14">
      <c r="B96" s="4" t="s">
        <v>61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2:14">
      <c r="B97" t="s">
        <v>62</v>
      </c>
      <c r="E97" s="13">
        <v>-4080255</v>
      </c>
      <c r="F97" s="13">
        <v>-5457179</v>
      </c>
      <c r="G97" s="13">
        <v>-4533175</v>
      </c>
      <c r="H97" s="13">
        <v>-3803843</v>
      </c>
      <c r="I97" s="13">
        <v>-3156982</v>
      </c>
      <c r="J97" s="13">
        <f>-(J62-I62)</f>
        <v>-475463.40000001341</v>
      </c>
      <c r="K97" s="13">
        <f t="shared" ref="K97:N97" si="91">-(K62-J62)</f>
        <v>-96813.387526243925</v>
      </c>
      <c r="L97" s="13">
        <v>0</v>
      </c>
      <c r="M97" s="13">
        <v>0</v>
      </c>
      <c r="N97" s="13">
        <f t="shared" si="91"/>
        <v>-40725.730791553855</v>
      </c>
    </row>
    <row r="98" spans="2:14">
      <c r="B98" t="s">
        <v>74</v>
      </c>
      <c r="E98" s="13">
        <v>560991</v>
      </c>
      <c r="F98" s="13">
        <v>250451</v>
      </c>
      <c r="G98" s="13">
        <v>226806</v>
      </c>
      <c r="H98" s="13">
        <v>215250</v>
      </c>
      <c r="I98" s="13">
        <v>171615</v>
      </c>
      <c r="J98" s="13">
        <v>0</v>
      </c>
      <c r="K98" s="13">
        <v>0</v>
      </c>
      <c r="L98" s="13">
        <f>-(L62-K62)</f>
        <v>32321.721306987107</v>
      </c>
      <c r="M98" s="13">
        <f>-(M62-L62)</f>
        <v>75072.566272318363</v>
      </c>
      <c r="N98" s="13">
        <v>0</v>
      </c>
    </row>
    <row r="99" spans="2:14">
      <c r="B99" t="s">
        <v>63</v>
      </c>
      <c r="E99" s="5">
        <f>SUM(E97:E98)</f>
        <v>-3519264</v>
      </c>
      <c r="F99" s="5">
        <f t="shared" ref="F99:N99" si="92">SUM(F97:F98)</f>
        <v>-5206728</v>
      </c>
      <c r="G99" s="5">
        <f t="shared" si="92"/>
        <v>-4306369</v>
      </c>
      <c r="H99" s="5">
        <f t="shared" si="92"/>
        <v>-3588593</v>
      </c>
      <c r="I99" s="5">
        <f t="shared" si="92"/>
        <v>-2985367</v>
      </c>
      <c r="J99" s="5">
        <f t="shared" si="92"/>
        <v>-475463.40000001341</v>
      </c>
      <c r="K99" s="5">
        <f t="shared" si="92"/>
        <v>-96813.387526243925</v>
      </c>
      <c r="L99" s="5">
        <f>SUM(L98:L98)</f>
        <v>32321.721306987107</v>
      </c>
      <c r="M99" s="5">
        <f>SUM(M98:M98)</f>
        <v>75072.566272318363</v>
      </c>
      <c r="N99" s="5">
        <f t="shared" si="92"/>
        <v>-40725.730791553855</v>
      </c>
    </row>
    <row r="100" spans="2:14"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2:14">
      <c r="B101" s="4" t="s">
        <v>64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2:14">
      <c r="B102" t="s">
        <v>65</v>
      </c>
      <c r="E102" s="13">
        <v>-993638</v>
      </c>
      <c r="F102" s="13">
        <v>-997662</v>
      </c>
      <c r="G102" s="13">
        <v>-1691652</v>
      </c>
      <c r="H102" s="13">
        <v>-3016591</v>
      </c>
      <c r="I102" s="13">
        <v>-2946790</v>
      </c>
      <c r="J102" s="13">
        <f>J115</f>
        <v>-1973199.0000000002</v>
      </c>
      <c r="K102" s="13">
        <f t="shared" ref="K102:N102" si="93">K115</f>
        <v>-2144578.3900857144</v>
      </c>
      <c r="L102" s="13">
        <f t="shared" si="93"/>
        <v>-2170521.6794601935</v>
      </c>
      <c r="M102" s="13">
        <f t="shared" si="93"/>
        <v>-2125826.4759782343</v>
      </c>
      <c r="N102" s="13">
        <f t="shared" si="93"/>
        <v>-2043227.6100100614</v>
      </c>
    </row>
    <row r="103" spans="2:14">
      <c r="B103" t="s">
        <v>66</v>
      </c>
      <c r="E103" s="13">
        <v>-3410127</v>
      </c>
      <c r="F103" s="13">
        <v>3770625</v>
      </c>
      <c r="G103" s="13">
        <v>-116343</v>
      </c>
      <c r="H103" s="13">
        <v>-2313142</v>
      </c>
      <c r="I103" s="13">
        <v>8801681</v>
      </c>
      <c r="J103" s="13">
        <f>J40-I40</f>
        <v>-4110729.5999999996</v>
      </c>
      <c r="K103" s="13">
        <f t="shared" ref="K103:N103" si="94">K40-J40</f>
        <v>466754.47999999858</v>
      </c>
      <c r="L103" s="13">
        <f t="shared" si="94"/>
        <v>-170751.02399999835</v>
      </c>
      <c r="M103" s="13">
        <f t="shared" si="94"/>
        <v>-159496.22880000062</v>
      </c>
      <c r="N103" s="13">
        <f t="shared" si="94"/>
        <v>865491.72543999925</v>
      </c>
    </row>
    <row r="104" spans="2:14">
      <c r="B104" t="s">
        <v>67</v>
      </c>
      <c r="E104" s="13">
        <v>0</v>
      </c>
      <c r="F104" s="13">
        <v>0</v>
      </c>
      <c r="G104" s="13">
        <v>0</v>
      </c>
      <c r="H104" s="13">
        <v>-439143</v>
      </c>
      <c r="I104" s="13">
        <v>-271622</v>
      </c>
      <c r="J104" s="13">
        <f>J41-I41</f>
        <v>855.19999999999709</v>
      </c>
      <c r="K104" s="13">
        <f t="shared" ref="K104:N104" si="95">K41-J41</f>
        <v>7107.4400000000023</v>
      </c>
      <c r="L104" s="13">
        <f t="shared" si="95"/>
        <v>8528.9280000000072</v>
      </c>
      <c r="M104" s="13">
        <f t="shared" si="95"/>
        <v>10234.713600000003</v>
      </c>
      <c r="N104" s="13">
        <f t="shared" si="95"/>
        <v>-16319.143680000008</v>
      </c>
    </row>
    <row r="105" spans="2:14">
      <c r="B105" t="s">
        <v>68</v>
      </c>
      <c r="E105" s="13">
        <v>1345157</v>
      </c>
      <c r="F105" s="13">
        <v>7500829</v>
      </c>
      <c r="G105" s="13">
        <v>3396814</v>
      </c>
      <c r="H105" s="13">
        <v>1974673</v>
      </c>
      <c r="I105" s="13">
        <v>-10800000</v>
      </c>
      <c r="J105" s="13">
        <f>J48-I48</f>
        <v>4596304.8000000007</v>
      </c>
      <c r="K105" s="13">
        <f t="shared" ref="K105:N105" si="96">K48-J48</f>
        <v>1333724.1599999983</v>
      </c>
      <c r="L105" s="13">
        <f t="shared" si="96"/>
        <v>100303.19199999981</v>
      </c>
      <c r="M105" s="13">
        <f t="shared" si="96"/>
        <v>-558998.96959999949</v>
      </c>
      <c r="N105" s="13">
        <f t="shared" si="96"/>
        <v>-1065733.3635199983</v>
      </c>
    </row>
    <row r="106" spans="2:14">
      <c r="B106" t="s">
        <v>69</v>
      </c>
      <c r="E106" s="13">
        <v>-15628724</v>
      </c>
      <c r="F106" s="13">
        <v>-18587733</v>
      </c>
      <c r="G106" s="13">
        <v>-12023750</v>
      </c>
      <c r="H106" s="13">
        <v>-7845479</v>
      </c>
      <c r="I106" s="13">
        <v>-7884667</v>
      </c>
      <c r="J106" s="13">
        <f>-J121</f>
        <v>-9831793.2800000012</v>
      </c>
      <c r="K106" s="13">
        <f>-K121</f>
        <v>-10256265.536</v>
      </c>
      <c r="L106" s="13">
        <f t="shared" ref="L106:N106" si="97">-L121</f>
        <v>-9405144.2432000004</v>
      </c>
      <c r="M106" s="13">
        <f t="shared" si="97"/>
        <v>-9036832.9318399988</v>
      </c>
      <c r="N106" s="13">
        <f t="shared" si="97"/>
        <v>-9465571.6782079991</v>
      </c>
    </row>
    <row r="107" spans="2:14">
      <c r="B107" t="s">
        <v>70</v>
      </c>
      <c r="E107" s="5">
        <f>SUM(E102:E106)</f>
        <v>-18687332</v>
      </c>
      <c r="F107" s="5">
        <f t="shared" ref="F107:N107" si="98">SUM(F102:F106)</f>
        <v>-8313941</v>
      </c>
      <c r="G107" s="5">
        <f t="shared" si="98"/>
        <v>-10434931</v>
      </c>
      <c r="H107" s="5">
        <f t="shared" si="98"/>
        <v>-11639682</v>
      </c>
      <c r="I107" s="5">
        <f t="shared" si="98"/>
        <v>-13101398</v>
      </c>
      <c r="J107" s="5">
        <f t="shared" si="98"/>
        <v>-11318561.879999999</v>
      </c>
      <c r="K107" s="5">
        <f t="shared" si="98"/>
        <v>-10593257.846085718</v>
      </c>
      <c r="L107" s="5">
        <f t="shared" si="98"/>
        <v>-11637584.826660194</v>
      </c>
      <c r="M107" s="5">
        <f t="shared" si="98"/>
        <v>-11870919.892618233</v>
      </c>
      <c r="N107" s="5">
        <f t="shared" si="98"/>
        <v>-11725360.069978058</v>
      </c>
    </row>
    <row r="108" spans="2:14"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2:14">
      <c r="B109" t="s">
        <v>71</v>
      </c>
      <c r="E109" s="13">
        <v>548428</v>
      </c>
      <c r="F109" s="13">
        <v>2480029</v>
      </c>
      <c r="G109" s="13">
        <v>-1492683</v>
      </c>
      <c r="H109" s="13">
        <v>-5149965</v>
      </c>
      <c r="I109" s="13">
        <v>5781382</v>
      </c>
      <c r="J109" s="13">
        <f>J107+J99+J94</f>
        <v>9912601.4954547696</v>
      </c>
      <c r="K109" s="13">
        <f t="shared" ref="K109:N109" si="99">K107+K99+K94</f>
        <v>12296165.875179576</v>
      </c>
      <c r="L109" s="13">
        <f t="shared" si="99"/>
        <v>10432049.089510411</v>
      </c>
      <c r="M109" s="13">
        <f t="shared" si="99"/>
        <v>9609779.1622567456</v>
      </c>
      <c r="N109" s="13">
        <f t="shared" si="99"/>
        <v>8930494.2424808405</v>
      </c>
    </row>
    <row r="110" spans="2:14">
      <c r="B110" t="s">
        <v>72</v>
      </c>
      <c r="E110" s="13">
        <v>-2208381</v>
      </c>
      <c r="F110" s="13">
        <v>-1659953</v>
      </c>
      <c r="G110" s="13">
        <v>820076</v>
      </c>
      <c r="H110" s="13">
        <v>-672607</v>
      </c>
      <c r="I110" s="13">
        <v>-5822572</v>
      </c>
      <c r="J110" s="13">
        <f>I112</f>
        <v>-41190</v>
      </c>
      <c r="K110" s="13">
        <f t="shared" ref="K110:N110" si="100">J112</f>
        <v>9871411.4954547696</v>
      </c>
      <c r="L110" s="13">
        <f t="shared" si="100"/>
        <v>22167577.370634347</v>
      </c>
      <c r="M110" s="13">
        <f t="shared" si="100"/>
        <v>32599626.460144758</v>
      </c>
      <c r="N110" s="13">
        <f t="shared" si="100"/>
        <v>42209405.622401506</v>
      </c>
    </row>
    <row r="111" spans="2:14"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2:14">
      <c r="B112" s="4" t="s">
        <v>75</v>
      </c>
      <c r="E112" s="5">
        <f>SUM(E109:E110)</f>
        <v>-1659953</v>
      </c>
      <c r="F112" s="5">
        <f t="shared" ref="F112:N112" si="101">SUM(F109:F110)</f>
        <v>820076</v>
      </c>
      <c r="G112" s="5">
        <f t="shared" si="101"/>
        <v>-672607</v>
      </c>
      <c r="H112" s="5">
        <f t="shared" si="101"/>
        <v>-5822572</v>
      </c>
      <c r="I112" s="5">
        <f t="shared" si="101"/>
        <v>-41190</v>
      </c>
      <c r="J112" s="5">
        <f t="shared" si="101"/>
        <v>9871411.4954547696</v>
      </c>
      <c r="K112" s="5">
        <f t="shared" si="101"/>
        <v>22167577.370634347</v>
      </c>
      <c r="L112" s="5">
        <f t="shared" si="101"/>
        <v>32599626.460144758</v>
      </c>
      <c r="M112" s="5">
        <f t="shared" si="101"/>
        <v>42209405.622401506</v>
      </c>
      <c r="N112" s="5">
        <f t="shared" si="101"/>
        <v>51139899.86488235</v>
      </c>
    </row>
    <row r="113" spans="2:14"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2:14"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2:14">
      <c r="B115" t="s">
        <v>9</v>
      </c>
      <c r="E115" s="13">
        <f>E11</f>
        <v>-959005</v>
      </c>
      <c r="F115" s="13">
        <f t="shared" ref="F115:N115" si="102">F11</f>
        <v>-1095630</v>
      </c>
      <c r="G115" s="13">
        <f t="shared" si="102"/>
        <v>-1818650</v>
      </c>
      <c r="H115" s="13">
        <f t="shared" si="102"/>
        <v>-3187695</v>
      </c>
      <c r="I115" s="13">
        <f t="shared" si="102"/>
        <v>-2805015</v>
      </c>
      <c r="J115" s="13">
        <f t="shared" si="102"/>
        <v>-1973199.0000000002</v>
      </c>
      <c r="K115" s="13">
        <f t="shared" si="102"/>
        <v>-2144578.3900857144</v>
      </c>
      <c r="L115" s="13">
        <f t="shared" si="102"/>
        <v>-2170521.6794601935</v>
      </c>
      <c r="M115" s="13">
        <f t="shared" si="102"/>
        <v>-2125826.4759782343</v>
      </c>
      <c r="N115" s="13">
        <f t="shared" si="102"/>
        <v>-2043227.6100100614</v>
      </c>
    </row>
    <row r="116" spans="2:14">
      <c r="B116" t="s">
        <v>153</v>
      </c>
      <c r="E116" s="13">
        <f>E40+E41+E48+E49</f>
        <v>11995750</v>
      </c>
      <c r="F116" s="13">
        <f t="shared" ref="F116:N116" si="103">F40+F41+F48+F49</f>
        <v>21651649</v>
      </c>
      <c r="G116" s="13">
        <f t="shared" si="103"/>
        <v>25725831</v>
      </c>
      <c r="H116" s="13">
        <f t="shared" si="103"/>
        <v>27282096</v>
      </c>
      <c r="I116" s="13">
        <f t="shared" si="103"/>
        <v>19364375</v>
      </c>
      <c r="J116" s="13">
        <f t="shared" si="103"/>
        <v>21203940.200000003</v>
      </c>
      <c r="K116" s="13">
        <f t="shared" si="103"/>
        <v>23045578.239999998</v>
      </c>
      <c r="L116" s="13">
        <f t="shared" si="103"/>
        <v>23324364.088</v>
      </c>
      <c r="M116" s="13">
        <f t="shared" si="103"/>
        <v>22844070.705600001</v>
      </c>
      <c r="N116" s="13">
        <f t="shared" si="103"/>
        <v>21956465.646720003</v>
      </c>
    </row>
    <row r="117" spans="2:14">
      <c r="E117" s="13">
        <f>E115/E116</f>
        <v>-7.9945397328220411E-2</v>
      </c>
      <c r="F117" s="13">
        <f t="shared" ref="F117:N117" si="104">F115/F116</f>
        <v>-5.0602612299876094E-2</v>
      </c>
      <c r="G117" s="13">
        <f t="shared" si="104"/>
        <v>-7.0693537557640018E-2</v>
      </c>
      <c r="H117" s="13">
        <f t="shared" si="104"/>
        <v>-0.11684201243188939</v>
      </c>
      <c r="I117" s="13">
        <f t="shared" si="104"/>
        <v>-0.14485440402801536</v>
      </c>
      <c r="J117" s="13">
        <f t="shared" si="104"/>
        <v>-9.3058128884932437E-2</v>
      </c>
      <c r="K117" s="13">
        <f t="shared" si="104"/>
        <v>-9.3058128884932437E-2</v>
      </c>
      <c r="L117" s="13">
        <f t="shared" si="104"/>
        <v>-9.3058128884932437E-2</v>
      </c>
      <c r="M117" s="13">
        <f t="shared" si="104"/>
        <v>-9.3058128884932437E-2</v>
      </c>
      <c r="N117" s="13">
        <f t="shared" si="104"/>
        <v>-9.3058128884932437E-2</v>
      </c>
    </row>
    <row r="118" spans="2:14"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2:14">
      <c r="B119" t="s">
        <v>164</v>
      </c>
      <c r="E119" s="13">
        <v>170</v>
      </c>
      <c r="F119" s="13">
        <v>320</v>
      </c>
      <c r="G119" s="13">
        <v>248</v>
      </c>
      <c r="H119" s="13">
        <v>152</v>
      </c>
      <c r="I119" s="13">
        <v>194</v>
      </c>
      <c r="J119" s="13">
        <f>AVERAGE(E119:I119)</f>
        <v>216.8</v>
      </c>
      <c r="K119" s="13">
        <f t="shared" ref="K119:N119" si="105">AVERAGE(F119:J119)</f>
        <v>226.16</v>
      </c>
      <c r="L119" s="13">
        <f t="shared" si="105"/>
        <v>207.392</v>
      </c>
      <c r="M119" s="13">
        <f t="shared" si="105"/>
        <v>199.27039999999997</v>
      </c>
      <c r="N119" s="13">
        <f t="shared" si="105"/>
        <v>208.72448</v>
      </c>
    </row>
    <row r="120" spans="2:14"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2:14">
      <c r="B121" t="s">
        <v>156</v>
      </c>
      <c r="E121" s="13">
        <f>-E106</f>
        <v>15628724</v>
      </c>
      <c r="F121" s="13">
        <f t="shared" ref="F121:I121" si="106">-F106</f>
        <v>18587733</v>
      </c>
      <c r="G121" s="13">
        <f t="shared" si="106"/>
        <v>12023750</v>
      </c>
      <c r="H121" s="13">
        <f t="shared" si="106"/>
        <v>7845479</v>
      </c>
      <c r="I121" s="13">
        <f t="shared" si="106"/>
        <v>7884667</v>
      </c>
      <c r="J121" s="13">
        <f>J119*J33/10</f>
        <v>9831793.2800000012</v>
      </c>
      <c r="K121" s="13">
        <f t="shared" ref="K121:N121" si="107">K119*K33/10</f>
        <v>10256265.536</v>
      </c>
      <c r="L121" s="13">
        <f t="shared" si="107"/>
        <v>9405144.2432000004</v>
      </c>
      <c r="M121" s="13">
        <f t="shared" si="107"/>
        <v>9036832.9318399988</v>
      </c>
      <c r="N121" s="13">
        <f t="shared" si="107"/>
        <v>9465571.6782079991</v>
      </c>
    </row>
    <row r="122" spans="2:14">
      <c r="B122" t="s">
        <v>157</v>
      </c>
      <c r="E122" s="13">
        <f>E20</f>
        <v>11846973</v>
      </c>
      <c r="F122" s="13">
        <f t="shared" ref="F122:N122" si="108">F20</f>
        <v>14641782</v>
      </c>
      <c r="G122" s="13">
        <f t="shared" si="108"/>
        <v>11544582</v>
      </c>
      <c r="H122" s="13">
        <f t="shared" si="108"/>
        <v>5951419</v>
      </c>
      <c r="I122" s="13">
        <f t="shared" si="108"/>
        <v>10287643</v>
      </c>
      <c r="J122" s="13">
        <f t="shared" si="108"/>
        <v>20284717.775454774</v>
      </c>
      <c r="K122" s="13">
        <f t="shared" si="108"/>
        <v>20381649.718705826</v>
      </c>
      <c r="L122" s="13">
        <f t="shared" si="108"/>
        <v>19621882.315403432</v>
      </c>
      <c r="M122" s="13">
        <f t="shared" si="108"/>
        <v>18827133.57262443</v>
      </c>
      <c r="N122" s="13">
        <f t="shared" si="108"/>
        <v>18456610.505240388</v>
      </c>
    </row>
    <row r="124" spans="2:14">
      <c r="B124" t="s">
        <v>155</v>
      </c>
      <c r="E124" s="6">
        <f>E121/E122</f>
        <v>1.3192166471553535</v>
      </c>
      <c r="F124" s="6">
        <f t="shared" ref="F124:N124" si="109">F121/F122</f>
        <v>1.2694993683145945</v>
      </c>
      <c r="G124" s="6">
        <f t="shared" si="109"/>
        <v>1.0415058769559609</v>
      </c>
      <c r="H124" s="6">
        <f t="shared" si="109"/>
        <v>1.3182535123136179</v>
      </c>
      <c r="I124" s="6">
        <f t="shared" si="109"/>
        <v>0.76642113261511891</v>
      </c>
      <c r="J124" s="6">
        <f t="shared" si="109"/>
        <v>0.48468967568761634</v>
      </c>
      <c r="K124" s="6">
        <f t="shared" si="109"/>
        <v>0.50321076446461677</v>
      </c>
      <c r="L124" s="6">
        <f t="shared" si="109"/>
        <v>0.47931916479882464</v>
      </c>
      <c r="M124" s="6">
        <f t="shared" si="109"/>
        <v>0.4799898453463991</v>
      </c>
      <c r="N124" s="6">
        <f t="shared" si="109"/>
        <v>0.51285536288043998</v>
      </c>
    </row>
    <row r="125" spans="2:14">
      <c r="B125" t="s">
        <v>165</v>
      </c>
      <c r="E125" s="6">
        <f>1-E124</f>
        <v>-0.31921664715535347</v>
      </c>
      <c r="F125" s="6">
        <f t="shared" ref="F125:N125" si="110">1-F124</f>
        <v>-0.26949936831459453</v>
      </c>
      <c r="G125" s="6">
        <f t="shared" si="110"/>
        <v>-4.1505876955960863E-2</v>
      </c>
      <c r="H125" s="6">
        <f t="shared" si="110"/>
        <v>-0.31825351231361787</v>
      </c>
      <c r="I125" s="6">
        <f t="shared" si="110"/>
        <v>0.23357886738488109</v>
      </c>
      <c r="J125" s="6">
        <f t="shared" si="110"/>
        <v>0.51531032431238366</v>
      </c>
      <c r="K125" s="6">
        <f t="shared" si="110"/>
        <v>0.49678923553538323</v>
      </c>
      <c r="L125" s="6">
        <f t="shared" si="110"/>
        <v>0.52068083520117536</v>
      </c>
      <c r="M125" s="6">
        <f t="shared" si="110"/>
        <v>0.5200101546536009</v>
      </c>
      <c r="N125" s="6">
        <f t="shared" si="110"/>
        <v>0.48714463711956002</v>
      </c>
    </row>
  </sheetData>
  <mergeCells count="1">
    <mergeCell ref="C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43"/>
  <sheetViews>
    <sheetView workbookViewId="0">
      <selection activeCell="A17" sqref="A17"/>
    </sheetView>
  </sheetViews>
  <sheetFormatPr defaultColWidth="12.85546875" defaultRowHeight="15"/>
  <cols>
    <col min="1" max="1" width="53.28515625" bestFit="1" customWidth="1"/>
    <col min="2" max="2" width="21.28515625" style="57" customWidth="1"/>
    <col min="3" max="3" width="19.85546875" style="57" customWidth="1"/>
    <col min="4" max="4" width="18" style="57" customWidth="1"/>
    <col min="5" max="12" width="14.28515625" bestFit="1" customWidth="1"/>
  </cols>
  <sheetData>
    <row r="1" spans="1:12">
      <c r="A1" t="s">
        <v>35</v>
      </c>
      <c r="B1"/>
      <c r="C1"/>
      <c r="D1"/>
    </row>
    <row r="2" spans="1:12">
      <c r="A2" s="4" t="s">
        <v>6</v>
      </c>
      <c r="B2" s="4"/>
      <c r="C2" s="4">
        <v>2016</v>
      </c>
      <c r="D2" s="4">
        <f>C2+1</f>
        <v>2017</v>
      </c>
      <c r="E2" s="4">
        <f t="shared" ref="E2:L2" si="0">D2+1</f>
        <v>2018</v>
      </c>
      <c r="F2" s="4">
        <f t="shared" si="0"/>
        <v>2019</v>
      </c>
      <c r="G2" s="4">
        <f t="shared" si="0"/>
        <v>2020</v>
      </c>
      <c r="H2" s="4">
        <f t="shared" si="0"/>
        <v>2021</v>
      </c>
      <c r="I2" s="4">
        <f t="shared" si="0"/>
        <v>2022</v>
      </c>
      <c r="J2" s="4">
        <f t="shared" si="0"/>
        <v>2023</v>
      </c>
      <c r="K2" s="4">
        <f t="shared" si="0"/>
        <v>2024</v>
      </c>
      <c r="L2" s="4">
        <f t="shared" si="0"/>
        <v>2025</v>
      </c>
    </row>
    <row r="3" spans="1:12">
      <c r="A3" t="s">
        <v>186</v>
      </c>
      <c r="B3" t="s">
        <v>239</v>
      </c>
      <c r="C3" s="13">
        <v>53300962</v>
      </c>
      <c r="D3" s="13">
        <v>57401329</v>
      </c>
      <c r="E3" s="13">
        <v>59793370</v>
      </c>
      <c r="F3" s="13">
        <v>59569412</v>
      </c>
      <c r="G3" s="13">
        <v>59371577</v>
      </c>
      <c r="H3" s="13">
        <f>H74</f>
        <v>57887330</v>
      </c>
      <c r="I3" s="13">
        <f t="shared" ref="I3:L3" si="1">I74</f>
        <v>57884207.857500106</v>
      </c>
      <c r="J3" s="13">
        <f t="shared" si="1"/>
        <v>57913927.551057726</v>
      </c>
      <c r="K3" s="13">
        <f t="shared" si="1"/>
        <v>57954412.880656928</v>
      </c>
      <c r="L3" s="13">
        <f t="shared" si="1"/>
        <v>57962216.051442936</v>
      </c>
    </row>
    <row r="4" spans="1:12">
      <c r="A4" t="s">
        <v>214</v>
      </c>
      <c r="B4" t="s">
        <v>244</v>
      </c>
      <c r="C4" s="13">
        <v>5304612</v>
      </c>
      <c r="D4" s="13">
        <v>5619997</v>
      </c>
      <c r="E4" s="13">
        <v>6412332</v>
      </c>
      <c r="F4" s="13">
        <v>6189585</v>
      </c>
      <c r="G4" s="13">
        <v>5843830</v>
      </c>
      <c r="H4" s="13">
        <f>G116</f>
        <v>5778714.9908932094</v>
      </c>
      <c r="I4" s="13">
        <f t="shared" ref="I4:L4" si="2">H116</f>
        <v>5822821.9562923303</v>
      </c>
      <c r="J4" s="13">
        <f t="shared" si="2"/>
        <v>5749100.0249719108</v>
      </c>
      <c r="K4" s="13">
        <f t="shared" si="2"/>
        <v>5585022.2139570741</v>
      </c>
      <c r="L4" s="13">
        <f t="shared" si="2"/>
        <v>5503631.8532716036</v>
      </c>
    </row>
    <row r="5" spans="1:12">
      <c r="A5" t="s">
        <v>187</v>
      </c>
      <c r="B5" t="s">
        <v>158</v>
      </c>
      <c r="C5" s="13">
        <v>1960499</v>
      </c>
      <c r="D5" s="13">
        <v>2494339</v>
      </c>
      <c r="E5" s="13">
        <v>3202787</v>
      </c>
      <c r="F5" s="13">
        <v>3052625</v>
      </c>
      <c r="G5" s="13">
        <v>3483747</v>
      </c>
      <c r="H5" s="13">
        <f>AVERAGE($C$5:$G$5)/AVERAGE(Assumption!$E$62:$I$62)*Assumption!J$62</f>
        <v>2838799.4000000013</v>
      </c>
      <c r="I5" s="13">
        <f>AVERAGE($C$5:$G$5)/AVERAGE(Assumption!$E$62:$I$62)*Assumption!K$62</f>
        <v>2848225.9416812486</v>
      </c>
      <c r="J5" s="13">
        <f>AVERAGE($C$5:$G$5)/AVERAGE(Assumption!$E$62:$I$62)*Assumption!L$62</f>
        <v>2845078.8350579278</v>
      </c>
      <c r="K5" s="13">
        <f>AVERAGE($C$5:$G$5)/AVERAGE(Assumption!$E$62:$I$62)*Assumption!M$62</f>
        <v>2837769.1572006955</v>
      </c>
      <c r="L5" s="13">
        <f>AVERAGE($C$5:$G$5)/AVERAGE(Assumption!$E$62:$I$62)*Assumption!N$62</f>
        <v>2841734.5467879754</v>
      </c>
    </row>
    <row r="6" spans="1:12">
      <c r="A6" t="s">
        <v>188</v>
      </c>
      <c r="B6"/>
      <c r="C6" s="13">
        <v>95883</v>
      </c>
      <c r="D6" s="13">
        <v>94348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</row>
    <row r="7" spans="1:12">
      <c r="A7" t="s">
        <v>189</v>
      </c>
      <c r="B7" t="s">
        <v>245</v>
      </c>
      <c r="C7" s="13">
        <v>3427576</v>
      </c>
      <c r="D7" s="13">
        <v>3089048</v>
      </c>
      <c r="E7" s="13">
        <v>3691018</v>
      </c>
      <c r="F7" s="13">
        <v>3242952</v>
      </c>
      <c r="G7" s="13">
        <v>3328487</v>
      </c>
      <c r="H7" s="13">
        <f>AVERAGE($C$7:$G$7)/AVERAGE('Statement of Financial Position'!$C$48:$G$48)*'Statement of Financial Position'!H48</f>
        <v>3355816.2</v>
      </c>
      <c r="I7" s="13">
        <f>AVERAGE($C$7:$G$7)/AVERAGE('Statement of Financial Position'!$C$48:$G$48)*'Statement of Financial Position'!I48</f>
        <v>3591263.7653198321</v>
      </c>
      <c r="J7" s="13">
        <f>AVERAGE($C$7:$G$7)/AVERAGE('Statement of Financial Position'!$C$48:$G$48)*'Statement of Financial Position'!J48</f>
        <v>3720053.868025878</v>
      </c>
      <c r="K7" s="13">
        <f>AVERAGE($C$7:$G$7)/AVERAGE('Statement of Financial Position'!$C$48:$G$48)*'Statement of Financial Position'!K48</f>
        <v>3814019.1061363728</v>
      </c>
      <c r="L7" s="13">
        <f>AVERAGE($C$7:$G$7)/AVERAGE('Statement of Financial Position'!$C$48:$G$48)*'Statement of Financial Position'!L48</f>
        <v>3785519.4564220593</v>
      </c>
    </row>
    <row r="8" spans="1:12">
      <c r="A8" t="s">
        <v>190</v>
      </c>
      <c r="B8"/>
      <c r="C8" s="13">
        <v>212189</v>
      </c>
      <c r="D8" s="13">
        <v>194470</v>
      </c>
      <c r="E8" s="13">
        <v>278521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</row>
    <row r="9" spans="1:12">
      <c r="A9" t="s">
        <v>215</v>
      </c>
      <c r="B9" t="s">
        <v>158</v>
      </c>
      <c r="C9" s="13">
        <v>2914825</v>
      </c>
      <c r="D9" s="13">
        <v>2813036</v>
      </c>
      <c r="E9" s="13">
        <v>2940541</v>
      </c>
      <c r="F9" s="13">
        <v>3080648</v>
      </c>
      <c r="G9" s="13">
        <v>3082424</v>
      </c>
      <c r="H9" s="13">
        <f>AVERAGE($C$9:$G$9)/AVERAGE(Assumption!$E$62:$I$62)*Assumption!J$62</f>
        <v>2966294.8000000012</v>
      </c>
      <c r="I9" s="13">
        <f>AVERAGE($C$9:$G$9)/AVERAGE(Assumption!$E$62:$I$62)*Assumption!K62</f>
        <v>2976144.7040020479</v>
      </c>
      <c r="J9" s="13">
        <f>AVERAGE($C$9:$G$9)/AVERAGE(Assumption!$E$62:$I$62)*Assumption!L62</f>
        <v>2972856.2553671063</v>
      </c>
      <c r="K9" s="13">
        <f>AVERAGE($C$9:$G$9)/AVERAGE(Assumption!$E$62:$I$62)*Assumption!M62</f>
        <v>2965218.28721142</v>
      </c>
      <c r="L9" s="13">
        <f>AVERAGE($C$9:$G$9)/AVERAGE(Assumption!$E$62:$I$62)*Assumption!N62</f>
        <v>2969361.7693161159</v>
      </c>
    </row>
    <row r="10" spans="1:12">
      <c r="A10" t="s">
        <v>191</v>
      </c>
      <c r="B10"/>
      <c r="C10" s="13">
        <v>279877</v>
      </c>
      <c r="D10" s="13">
        <v>319802</v>
      </c>
      <c r="E10" s="13">
        <v>0</v>
      </c>
      <c r="F10" s="13">
        <v>694987</v>
      </c>
      <c r="G10" s="13">
        <v>587033</v>
      </c>
      <c r="H10" s="13">
        <f>AVERAGE(C10:G10)</f>
        <v>376339.8</v>
      </c>
      <c r="I10" s="13">
        <f t="shared" ref="I10:L10" si="3">AVERAGE(D10:H10)</f>
        <v>395632.36</v>
      </c>
      <c r="J10" s="13">
        <f t="shared" si="3"/>
        <v>410798.43200000003</v>
      </c>
      <c r="K10" s="13">
        <f t="shared" si="3"/>
        <v>492958.11840000004</v>
      </c>
      <c r="L10" s="13">
        <f t="shared" si="3"/>
        <v>452552.34208000003</v>
      </c>
    </row>
    <row r="11" spans="1:12">
      <c r="A11" t="s">
        <v>192</v>
      </c>
      <c r="B11"/>
      <c r="C11" s="13">
        <v>57384</v>
      </c>
      <c r="D11" s="13">
        <v>65346</v>
      </c>
      <c r="E11" s="13">
        <v>0</v>
      </c>
      <c r="F11" s="13">
        <v>339186</v>
      </c>
      <c r="G11" s="13">
        <v>343581</v>
      </c>
      <c r="H11" s="13">
        <f>AVERAGE(C11:G11)</f>
        <v>161099.4</v>
      </c>
      <c r="I11" s="13">
        <f t="shared" ref="I11:L13" si="4">AVERAGE(D11:H11)</f>
        <v>181842.48</v>
      </c>
      <c r="J11" s="13">
        <f t="shared" si="4"/>
        <v>205141.77600000001</v>
      </c>
      <c r="K11" s="13">
        <f t="shared" si="4"/>
        <v>246170.1312</v>
      </c>
      <c r="L11" s="13">
        <f t="shared" si="4"/>
        <v>227566.95743999997</v>
      </c>
    </row>
    <row r="12" spans="1:12">
      <c r="A12" t="s">
        <v>193</v>
      </c>
      <c r="B12"/>
      <c r="C12" s="13">
        <v>84030</v>
      </c>
      <c r="D12" s="13">
        <v>83967</v>
      </c>
      <c r="E12" s="13">
        <v>570194</v>
      </c>
      <c r="F12" s="13">
        <v>259619</v>
      </c>
      <c r="G12" s="13">
        <v>242399</v>
      </c>
      <c r="H12" s="13">
        <f t="shared" ref="H12:H13" si="5">AVERAGE(C12:G12)</f>
        <v>248041.8</v>
      </c>
      <c r="I12" s="13">
        <f t="shared" si="4"/>
        <v>280844.16000000003</v>
      </c>
      <c r="J12" s="13">
        <f t="shared" si="4"/>
        <v>320219.592</v>
      </c>
      <c r="K12" s="13">
        <f t="shared" si="4"/>
        <v>270224.71040000004</v>
      </c>
      <c r="L12" s="13">
        <f t="shared" si="4"/>
        <v>272345.85248</v>
      </c>
    </row>
    <row r="13" spans="1:12">
      <c r="A13" t="s">
        <v>194</v>
      </c>
      <c r="B13"/>
      <c r="C13" s="13">
        <v>365063</v>
      </c>
      <c r="D13" s="13">
        <v>435369</v>
      </c>
      <c r="E13" s="13">
        <v>301085</v>
      </c>
      <c r="F13" s="13">
        <v>17365</v>
      </c>
      <c r="G13" s="13">
        <v>20330</v>
      </c>
      <c r="H13" s="13">
        <f t="shared" si="5"/>
        <v>227842.4</v>
      </c>
      <c r="I13" s="13">
        <f t="shared" si="4"/>
        <v>200398.28</v>
      </c>
      <c r="J13" s="13">
        <f t="shared" si="4"/>
        <v>153404.136</v>
      </c>
      <c r="K13" s="13">
        <f t="shared" si="4"/>
        <v>123867.96320000003</v>
      </c>
      <c r="L13" s="13">
        <f t="shared" si="4"/>
        <v>145168.55583999999</v>
      </c>
    </row>
    <row r="14" spans="1:12">
      <c r="A14" t="s">
        <v>195</v>
      </c>
      <c r="B14"/>
      <c r="C14" s="13">
        <v>3489077</v>
      </c>
      <c r="D14" s="13">
        <v>2997040</v>
      </c>
      <c r="E14" s="13">
        <v>4185096</v>
      </c>
      <c r="F14" s="13">
        <v>4276098</v>
      </c>
      <c r="G14" s="13">
        <v>3711480</v>
      </c>
      <c r="H14" s="13">
        <f t="shared" ref="H14:H15" si="6">AVERAGE(C14:G14)</f>
        <v>3731758.2</v>
      </c>
      <c r="I14" s="13">
        <f t="shared" ref="I14:I15" si="7">AVERAGE(D14:H14)</f>
        <v>3780294.44</v>
      </c>
      <c r="J14" s="13">
        <f t="shared" ref="J14:J15" si="8">AVERAGE(E14:I14)</f>
        <v>3936945.3280000002</v>
      </c>
      <c r="K14" s="13">
        <f t="shared" ref="K14:K15" si="9">AVERAGE(F14:J14)</f>
        <v>3887315.1935999999</v>
      </c>
      <c r="L14" s="13">
        <f t="shared" ref="L14:L15" si="10">AVERAGE(G14:K14)</f>
        <v>3809558.6323200003</v>
      </c>
    </row>
    <row r="15" spans="1:12">
      <c r="A15" t="s">
        <v>196</v>
      </c>
      <c r="B15"/>
      <c r="C15" s="13">
        <v>545714</v>
      </c>
      <c r="D15" s="13">
        <v>549516</v>
      </c>
      <c r="E15" s="13">
        <v>396613</v>
      </c>
      <c r="F15" s="13">
        <v>286211</v>
      </c>
      <c r="G15" s="13">
        <v>268710</v>
      </c>
      <c r="H15" s="13">
        <f t="shared" si="6"/>
        <v>409352.8</v>
      </c>
      <c r="I15" s="13">
        <f t="shared" si="7"/>
        <v>382080.56</v>
      </c>
      <c r="J15" s="13">
        <f t="shared" si="8"/>
        <v>348593.47200000001</v>
      </c>
      <c r="K15" s="13">
        <f t="shared" si="9"/>
        <v>338989.56640000001</v>
      </c>
      <c r="L15" s="13">
        <f t="shared" si="10"/>
        <v>349545.27968000004</v>
      </c>
    </row>
    <row r="16" spans="1:12">
      <c r="B16"/>
      <c r="C16" s="5">
        <f>SUM(C3:C15)</f>
        <v>72037691</v>
      </c>
      <c r="D16" s="5">
        <f t="shared" ref="D16:L16" si="11">SUM(D3:D15)</f>
        <v>76157607</v>
      </c>
      <c r="E16" s="5">
        <f t="shared" si="11"/>
        <v>81771557</v>
      </c>
      <c r="F16" s="5">
        <f t="shared" si="11"/>
        <v>81008688</v>
      </c>
      <c r="G16" s="5">
        <f t="shared" si="11"/>
        <v>80283598</v>
      </c>
      <c r="H16" s="5">
        <f t="shared" si="11"/>
        <v>77981389.790893212</v>
      </c>
      <c r="I16" s="5">
        <f t="shared" si="11"/>
        <v>78343756.504795581</v>
      </c>
      <c r="J16" s="5">
        <f t="shared" si="11"/>
        <v>78576119.270480528</v>
      </c>
      <c r="K16" s="5">
        <f t="shared" si="11"/>
        <v>78515967.32836248</v>
      </c>
      <c r="L16" s="5">
        <f t="shared" si="11"/>
        <v>78319201.297080696</v>
      </c>
    </row>
    <row r="17" spans="1:12">
      <c r="A17" t="s">
        <v>197</v>
      </c>
      <c r="B17"/>
      <c r="C17" s="13">
        <v>-234624</v>
      </c>
      <c r="D17" s="13">
        <v>277130</v>
      </c>
      <c r="E17" s="13">
        <v>-345025</v>
      </c>
      <c r="F17" s="13">
        <v>-20271</v>
      </c>
      <c r="G17" s="13">
        <v>294580</v>
      </c>
      <c r="H17" s="13">
        <f>AVERAGE(C17:G17)</f>
        <v>-5642</v>
      </c>
      <c r="I17" s="13">
        <f t="shared" ref="I17:L17" si="12">AVERAGE(D17:H17)</f>
        <v>40154.400000000001</v>
      </c>
      <c r="J17" s="13">
        <f t="shared" si="12"/>
        <v>-7240.7199999999993</v>
      </c>
      <c r="K17" s="13">
        <f t="shared" si="12"/>
        <v>60316.136000000013</v>
      </c>
      <c r="L17" s="13">
        <f t="shared" si="12"/>
        <v>76433.563200000004</v>
      </c>
    </row>
    <row r="18" spans="1:12">
      <c r="A18" t="s">
        <v>198</v>
      </c>
      <c r="B18"/>
      <c r="C18" s="5">
        <f>SUM(C16:C17)</f>
        <v>71803067</v>
      </c>
      <c r="D18" s="5">
        <f t="shared" ref="D18:H18" si="13">SUM(D16:D17)</f>
        <v>76434737</v>
      </c>
      <c r="E18" s="5">
        <f t="shared" si="13"/>
        <v>81426532</v>
      </c>
      <c r="F18" s="5">
        <f t="shared" si="13"/>
        <v>80988417</v>
      </c>
      <c r="G18" s="5">
        <f t="shared" si="13"/>
        <v>80578178</v>
      </c>
      <c r="H18" s="5">
        <f t="shared" si="13"/>
        <v>77975747.790893212</v>
      </c>
      <c r="I18" s="5">
        <f t="shared" ref="I18" si="14">SUM(I16:I17)</f>
        <v>78383910.904795587</v>
      </c>
      <c r="J18" s="5">
        <f t="shared" ref="J18" si="15">SUM(J16:J17)</f>
        <v>78568878.55048053</v>
      </c>
      <c r="K18" s="5">
        <f t="shared" ref="K18" si="16">SUM(K16:K17)</f>
        <v>78576283.464362487</v>
      </c>
      <c r="L18" s="5">
        <f t="shared" ref="L18" si="17">SUM(L16:L17)</f>
        <v>78395634.860280693</v>
      </c>
    </row>
    <row r="19" spans="1:12">
      <c r="A19" t="s">
        <v>199</v>
      </c>
      <c r="B19"/>
      <c r="C19" s="13">
        <v>-435536</v>
      </c>
      <c r="D19" s="13">
        <v>34611</v>
      </c>
      <c r="E19" s="13">
        <v>249609</v>
      </c>
      <c r="F19" s="13">
        <v>146158</v>
      </c>
      <c r="G19" s="13">
        <v>-242012</v>
      </c>
      <c r="H19" s="13">
        <f>AVERAGE(C19:G19)</f>
        <v>-49434</v>
      </c>
      <c r="I19" s="13">
        <f t="shared" ref="I19:L19" si="18">AVERAGE(D19:H19)</f>
        <v>27786.400000000001</v>
      </c>
      <c r="J19" s="13">
        <f t="shared" si="18"/>
        <v>26421.48</v>
      </c>
      <c r="K19" s="13">
        <f t="shared" si="18"/>
        <v>-18216.024000000001</v>
      </c>
      <c r="L19" s="13">
        <f t="shared" si="18"/>
        <v>-51090.828799999996</v>
      </c>
    </row>
    <row r="20" spans="1:12">
      <c r="A20" t="s">
        <v>200</v>
      </c>
      <c r="B20"/>
      <c r="C20" s="5">
        <f>SUM(C18:C19)</f>
        <v>71367531</v>
      </c>
      <c r="D20" s="5">
        <f t="shared" ref="D20:L20" si="19">SUM(D18:D19)</f>
        <v>76469348</v>
      </c>
      <c r="E20" s="5">
        <f t="shared" si="19"/>
        <v>81676141</v>
      </c>
      <c r="F20" s="5">
        <f t="shared" si="19"/>
        <v>81134575</v>
      </c>
      <c r="G20" s="5">
        <f t="shared" si="19"/>
        <v>80336166</v>
      </c>
      <c r="H20" s="5">
        <f t="shared" si="19"/>
        <v>77926313.790893212</v>
      </c>
      <c r="I20" s="5">
        <f t="shared" si="19"/>
        <v>78411697.304795593</v>
      </c>
      <c r="J20" s="5">
        <f t="shared" si="19"/>
        <v>78595300.030480534</v>
      </c>
      <c r="K20" s="5">
        <f t="shared" si="19"/>
        <v>78558067.440362483</v>
      </c>
      <c r="L20" s="5">
        <f t="shared" si="19"/>
        <v>78344544.0314807</v>
      </c>
    </row>
    <row r="21" spans="1:12">
      <c r="A21" t="s">
        <v>201</v>
      </c>
      <c r="B21"/>
      <c r="C21" s="13">
        <v>1241861</v>
      </c>
      <c r="D21" s="13">
        <v>989401</v>
      </c>
      <c r="E21" s="13">
        <v>1566514</v>
      </c>
      <c r="F21" s="13">
        <v>2881974</v>
      </c>
      <c r="G21" s="13">
        <v>2277335</v>
      </c>
      <c r="H21" s="13">
        <f>D102</f>
        <v>1791417</v>
      </c>
      <c r="I21" s="13">
        <f>D103</f>
        <v>1880015.7636568747</v>
      </c>
      <c r="J21" s="13">
        <f>D104</f>
        <v>2047763.2575439238</v>
      </c>
      <c r="K21" s="13">
        <f>D105</f>
        <v>2135766.8975298558</v>
      </c>
      <c r="L21" s="13">
        <f>D106</f>
        <v>2111135.0607938105</v>
      </c>
    </row>
    <row r="22" spans="1:12">
      <c r="B22"/>
      <c r="C22" s="5">
        <f>SUM(C20:C21)</f>
        <v>72609392</v>
      </c>
      <c r="D22" s="5">
        <f t="shared" ref="D22:L22" si="20">SUM(D20:D21)</f>
        <v>77458749</v>
      </c>
      <c r="E22" s="5">
        <f t="shared" si="20"/>
        <v>83242655</v>
      </c>
      <c r="F22" s="5">
        <f t="shared" si="20"/>
        <v>84016549</v>
      </c>
      <c r="G22" s="5">
        <f t="shared" si="20"/>
        <v>82613501</v>
      </c>
      <c r="H22" s="5">
        <f t="shared" si="20"/>
        <v>79717730.790893212</v>
      </c>
      <c r="I22" s="5">
        <f t="shared" si="20"/>
        <v>80291713.068452463</v>
      </c>
      <c r="J22" s="5">
        <f t="shared" si="20"/>
        <v>80643063.288024455</v>
      </c>
      <c r="K22" s="5">
        <f t="shared" si="20"/>
        <v>80693834.337892339</v>
      </c>
      <c r="L22" s="5">
        <f t="shared" si="20"/>
        <v>80455679.092274517</v>
      </c>
    </row>
    <row r="23" spans="1:12">
      <c r="A23" t="s">
        <v>217</v>
      </c>
      <c r="B2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>
      <c r="A24" t="s">
        <v>35</v>
      </c>
      <c r="B24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>
      <c r="A25" s="4" t="s">
        <v>202</v>
      </c>
      <c r="B25" s="4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A26" t="s">
        <v>214</v>
      </c>
      <c r="B26" t="s">
        <v>244</v>
      </c>
      <c r="C26" s="13">
        <v>3209435</v>
      </c>
      <c r="D26" s="13">
        <v>3817061</v>
      </c>
      <c r="E26" s="13">
        <v>4079226</v>
      </c>
      <c r="F26" s="55">
        <v>3790337</v>
      </c>
      <c r="G26" s="55">
        <v>3789130</v>
      </c>
      <c r="H26" s="6">
        <f>G117</f>
        <v>3674700.0973725137</v>
      </c>
      <c r="I26" s="6">
        <f t="shared" ref="I26:L26" si="21">H117</f>
        <v>3740396.6603934034</v>
      </c>
      <c r="J26" s="6">
        <f t="shared" si="21"/>
        <v>3650053.2630528579</v>
      </c>
      <c r="K26" s="6">
        <f t="shared" si="21"/>
        <v>3544372.1394439321</v>
      </c>
      <c r="L26" s="6">
        <f t="shared" si="21"/>
        <v>3517456.9898122502</v>
      </c>
    </row>
    <row r="27" spans="1:12">
      <c r="A27" t="s">
        <v>203</v>
      </c>
      <c r="B27"/>
      <c r="C27" s="13">
        <v>98747</v>
      </c>
      <c r="D27" s="13">
        <v>86364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</row>
    <row r="28" spans="1:12">
      <c r="A28" t="s">
        <v>190</v>
      </c>
      <c r="B28" t="s">
        <v>161</v>
      </c>
      <c r="C28" s="13">
        <v>93515</v>
      </c>
      <c r="D28" s="13">
        <v>80753</v>
      </c>
      <c r="E28" s="13">
        <v>89824</v>
      </c>
      <c r="F28" s="13">
        <v>0</v>
      </c>
      <c r="G28" s="55">
        <v>32815</v>
      </c>
      <c r="H28" s="6">
        <f>AVERAGE($C28:$G28)/AVERAGE(Sales!$C$12:$G$12)*Sales!H$12</f>
        <v>58743.98062060208</v>
      </c>
      <c r="I28" s="6">
        <f>AVERAGE($C28:$G28)/AVERAGE(Sales!$C$12:$G$12)*Sales!I$12</f>
        <v>59346.97086003521</v>
      </c>
      <c r="J28" s="6">
        <f>AVERAGE($C28:$G28)/AVERAGE(Sales!$C$12:$G$12)*Sales!J$12</f>
        <v>59127.296483042504</v>
      </c>
      <c r="K28" s="6">
        <f>AVERAGE($C28:$G28)/AVERAGE(Sales!$C$12:$G$12)*Sales!K$12</f>
        <v>58609.4178057319</v>
      </c>
      <c r="L28" s="6">
        <f>AVERAGE($C28:$G28)/AVERAGE(Sales!$C$12:$G$12)*Sales!L$12</f>
        <v>58152.793440848771</v>
      </c>
    </row>
    <row r="29" spans="1:12">
      <c r="A29" t="s">
        <v>188</v>
      </c>
      <c r="B29"/>
      <c r="C29" s="13">
        <v>19070</v>
      </c>
      <c r="D29" s="13">
        <v>16539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</row>
    <row r="30" spans="1:12">
      <c r="A30" t="s">
        <v>204</v>
      </c>
      <c r="B30" t="s">
        <v>161</v>
      </c>
      <c r="C30" s="13">
        <v>2281128</v>
      </c>
      <c r="D30" s="13">
        <v>2876297</v>
      </c>
      <c r="E30" s="13">
        <v>3107321</v>
      </c>
      <c r="F30" s="55">
        <v>4094834</v>
      </c>
      <c r="G30" s="55">
        <v>3739054</v>
      </c>
      <c r="H30" s="6">
        <f>AVERAGE($C30:$G30)/AVERAGE(Sales!$C$12:$G$12)*Sales!H$12</f>
        <v>3185165.1989146965</v>
      </c>
      <c r="I30" s="6">
        <f>AVERAGE($C30:$G30)/AVERAGE(Sales!$C$12:$G$12)*Sales!I$12</f>
        <v>3217860.013015429</v>
      </c>
      <c r="J30" s="6">
        <f>AVERAGE($C30:$G30)/AVERAGE(Sales!$C$12:$G$12)*Sales!J$12</f>
        <v>3205949.0193561907</v>
      </c>
      <c r="K30" s="6">
        <f>AVERAGE($C30:$G30)/AVERAGE(Sales!$C$12:$G$12)*Sales!K$12</f>
        <v>3177869.0506035932</v>
      </c>
      <c r="L30" s="6">
        <f>AVERAGE($C30:$G30)/AVERAGE(Sales!$C$12:$G$12)*Sales!L$12</f>
        <v>3153110.3600852289</v>
      </c>
    </row>
    <row r="31" spans="1:12">
      <c r="A31" t="s">
        <v>215</v>
      </c>
      <c r="B31" t="s">
        <v>158</v>
      </c>
      <c r="C31" s="13">
        <v>480865</v>
      </c>
      <c r="D31" s="13">
        <v>468312</v>
      </c>
      <c r="E31" s="13">
        <v>437351</v>
      </c>
      <c r="F31" s="55">
        <v>481127</v>
      </c>
      <c r="G31" s="55">
        <v>526722</v>
      </c>
      <c r="H31" s="13">
        <f>AVERAGE($C$31:$G$31)/AVERAGE(Assumption!$E$62:$I$62)*Assumption!J$62</f>
        <v>478875.40000000026</v>
      </c>
      <c r="I31" s="13">
        <f>AVERAGE($C$31:$G$31)/AVERAGE(Assumption!$E$62:$I$62)*Assumption!K$62</f>
        <v>480465.55776818353</v>
      </c>
      <c r="J31" s="13">
        <f>AVERAGE($C$31:$G$31)/AVERAGE(Assumption!$E$62:$I$62)*Assumption!L$62</f>
        <v>479934.67420413689</v>
      </c>
      <c r="K31" s="13">
        <f>AVERAGE($C$31:$G$31)/AVERAGE(Assumption!$E$62:$I$62)*Assumption!M$62</f>
        <v>478701.60894853866</v>
      </c>
      <c r="L31" s="13">
        <f>AVERAGE($C$31:$G$31)/AVERAGE(Assumption!$E$62:$I$62)*Assumption!N$62</f>
        <v>479370.528184172</v>
      </c>
    </row>
    <row r="32" spans="1:12">
      <c r="A32" t="s">
        <v>216</v>
      </c>
      <c r="B32" t="s">
        <v>246</v>
      </c>
      <c r="C32" s="13">
        <v>8068</v>
      </c>
      <c r="D32" s="13">
        <v>8068</v>
      </c>
      <c r="E32" s="13">
        <v>8068</v>
      </c>
      <c r="F32" s="55">
        <v>8068</v>
      </c>
      <c r="G32" s="55">
        <v>7396</v>
      </c>
      <c r="H32" s="6">
        <f>AVERAGE($C$32:$G$32)/AVERAGE('Statement of Financial Position'!$C$42:$G$42)*'Statement of Financial Position'!H42</f>
        <v>0</v>
      </c>
      <c r="I32" s="6">
        <f>AVERAGE($C$32:$G$32)/AVERAGE('Statement of Financial Position'!$C$42:$G$42)*'Statement of Financial Position'!I42</f>
        <v>0</v>
      </c>
      <c r="J32" s="6">
        <f>AVERAGE($C$32:$G$32)/AVERAGE('Statement of Financial Position'!$C$42:$G$42)*'Statement of Financial Position'!J42</f>
        <v>0</v>
      </c>
      <c r="K32" s="6">
        <f>AVERAGE($C$32:$G$32)/AVERAGE('Statement of Financial Position'!$C$42:$G$42)*'Statement of Financial Position'!K42</f>
        <v>0</v>
      </c>
      <c r="L32" s="6">
        <f>AVERAGE($C$32:$G$32)/AVERAGE('Statement of Financial Position'!$C$42:$G$42)*'Statement of Financial Position'!L42</f>
        <v>0</v>
      </c>
    </row>
    <row r="33" spans="1:12">
      <c r="A33" t="s">
        <v>205</v>
      </c>
      <c r="B33" t="s">
        <v>161</v>
      </c>
      <c r="C33" s="13">
        <v>10877006</v>
      </c>
      <c r="D33" s="13">
        <v>9928628</v>
      </c>
      <c r="E33" s="13">
        <v>9647037</v>
      </c>
      <c r="F33" s="55">
        <v>5058655</v>
      </c>
      <c r="G33" s="55">
        <v>5054207</v>
      </c>
      <c r="H33" s="6">
        <f>AVERAGE($C33:$G33)/AVERAGE(Sales!$C$12:$G$12)*Sales!H$12</f>
        <v>8026017.8588460153</v>
      </c>
      <c r="I33" s="6">
        <f>AVERAGE($C33:$G33)/AVERAGE(Sales!$C$12:$G$12)*Sales!I$12</f>
        <v>8108402.6475387793</v>
      </c>
      <c r="J33" s="6">
        <f>AVERAGE($C33:$G33)/AVERAGE(Sales!$C$12:$G$12)*Sales!J$12</f>
        <v>8078389.1814057752</v>
      </c>
      <c r="K33" s="6">
        <f>AVERAGE($C33:$G33)/AVERAGE(Sales!$C$12:$G$12)*Sales!K$12</f>
        <v>8007632.9359334903</v>
      </c>
      <c r="L33" s="6">
        <f>AVERAGE($C33:$G33)/AVERAGE(Sales!$C$12:$G$12)*Sales!L$12</f>
        <v>7945245.6875955574</v>
      </c>
    </row>
    <row r="34" spans="1:12">
      <c r="A34" t="s">
        <v>206</v>
      </c>
      <c r="B34"/>
      <c r="C34" s="13">
        <v>28340</v>
      </c>
      <c r="D34" s="13">
        <v>17932</v>
      </c>
      <c r="E34" s="13">
        <v>56658</v>
      </c>
      <c r="F34" s="55">
        <v>39192</v>
      </c>
      <c r="G34" s="55">
        <v>108954</v>
      </c>
      <c r="H34" s="6">
        <f>AVERAGE(C34:G34)</f>
        <v>50215.199999999997</v>
      </c>
      <c r="I34" s="6">
        <f t="shared" ref="I34:L34" si="22">AVERAGE(D34:H34)</f>
        <v>54590.240000000005</v>
      </c>
      <c r="J34" s="6">
        <f t="shared" si="22"/>
        <v>61921.887999999999</v>
      </c>
      <c r="K34" s="6">
        <f t="shared" si="22"/>
        <v>62974.665599999993</v>
      </c>
      <c r="L34" s="6">
        <f t="shared" si="22"/>
        <v>67731.19872</v>
      </c>
    </row>
    <row r="35" spans="1:12">
      <c r="A35" t="s">
        <v>207</v>
      </c>
      <c r="B35"/>
      <c r="C35" s="13">
        <v>30496</v>
      </c>
      <c r="D35" s="13">
        <v>35963</v>
      </c>
      <c r="E35" s="13">
        <v>0</v>
      </c>
      <c r="F35" s="55">
        <v>28318</v>
      </c>
      <c r="G35" s="13">
        <v>0</v>
      </c>
      <c r="H35" s="6">
        <f>AVERAGE(C35:G35)</f>
        <v>18955.400000000001</v>
      </c>
      <c r="I35" s="6">
        <f t="shared" ref="I35" si="23">AVERAGE(D35:H35)</f>
        <v>16647.28</v>
      </c>
      <c r="J35" s="6">
        <f t="shared" ref="J35" si="24">AVERAGE(E35:I35)</f>
        <v>12784.136</v>
      </c>
      <c r="K35" s="6">
        <f t="shared" ref="K35" si="25">AVERAGE(F35:J35)</f>
        <v>15340.963200000002</v>
      </c>
      <c r="L35" s="6">
        <f t="shared" ref="L35" si="26">AVERAGE(G35:K35)</f>
        <v>12745.555840000001</v>
      </c>
    </row>
    <row r="36" spans="1:12">
      <c r="A36" t="s">
        <v>208</v>
      </c>
      <c r="B36" t="s">
        <v>161</v>
      </c>
      <c r="C36" s="13">
        <v>43025</v>
      </c>
      <c r="D36" s="13">
        <v>44356</v>
      </c>
      <c r="E36" s="13">
        <v>46709</v>
      </c>
      <c r="F36" s="55">
        <v>120501</v>
      </c>
      <c r="G36" s="55">
        <v>99608</v>
      </c>
      <c r="H36" s="6">
        <f>AVERAGE($C36:$G36)/AVERAGE(Sales!$C$12:$G$12)*Sales!H$12</f>
        <v>70079.382405388344</v>
      </c>
      <c r="I36" s="6">
        <f>AVERAGE($C36:$G36)/AVERAGE(Sales!$C$12:$G$12)*Sales!I$12</f>
        <v>70798.72731748868</v>
      </c>
      <c r="J36" s="6">
        <f>AVERAGE($C36:$G36)/AVERAGE(Sales!$C$12:$G$12)*Sales!J$12</f>
        <v>70536.663962106555</v>
      </c>
      <c r="K36" s="6">
        <f>AVERAGE($C36:$G36)/AVERAGE(Sales!$C$12:$G$12)*Sales!K$12</f>
        <v>69918.853975731239</v>
      </c>
      <c r="L36" s="6">
        <f>AVERAGE($C36:$G36)/AVERAGE(Sales!$C$12:$G$12)*Sales!L$12</f>
        <v>69374.118104171313</v>
      </c>
    </row>
    <row r="37" spans="1:12">
      <c r="A37" t="s">
        <v>209</v>
      </c>
      <c r="B37" t="s">
        <v>161</v>
      </c>
      <c r="C37" s="13">
        <v>181283</v>
      </c>
      <c r="D37" s="13">
        <v>190403</v>
      </c>
      <c r="E37" s="13">
        <v>368629</v>
      </c>
      <c r="F37" s="55">
        <v>212807</v>
      </c>
      <c r="G37" s="55">
        <v>168685</v>
      </c>
      <c r="H37" s="6">
        <f>AVERAGE($C37:$G37)/AVERAGE(Sales!$C$12:$G$12)*Sales!H$12</f>
        <v>221953.03131302312</v>
      </c>
      <c r="I37" s="6">
        <f>AVERAGE($C37:$G37)/AVERAGE(Sales!$C$12:$G$12)*Sales!I$12</f>
        <v>224231.31599990407</v>
      </c>
      <c r="J37" s="6">
        <f>AVERAGE($C37:$G37)/AVERAGE(Sales!$C$12:$G$12)*Sales!J$12</f>
        <v>223401.31787311335</v>
      </c>
      <c r="K37" s="6">
        <f>AVERAGE($C37:$G37)/AVERAGE(Sales!$C$12:$G$12)*Sales!K$12</f>
        <v>221444.61114219163</v>
      </c>
      <c r="L37" s="6">
        <f>AVERAGE($C37:$G37)/AVERAGE(Sales!$C$12:$G$12)*Sales!L$12</f>
        <v>219719.3422569971</v>
      </c>
    </row>
    <row r="38" spans="1:12">
      <c r="A38" t="s">
        <v>210</v>
      </c>
      <c r="B38"/>
      <c r="C38" s="13">
        <v>29617</v>
      </c>
      <c r="D38" s="13">
        <v>27080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</row>
    <row r="39" spans="1:12">
      <c r="A39" t="s">
        <v>211</v>
      </c>
      <c r="B39" t="s">
        <v>161</v>
      </c>
      <c r="C39" s="13">
        <v>38274</v>
      </c>
      <c r="D39" s="13">
        <v>45718</v>
      </c>
      <c r="E39" s="13">
        <v>117362</v>
      </c>
      <c r="F39" s="55">
        <v>469799</v>
      </c>
      <c r="G39" s="55">
        <v>361008</v>
      </c>
      <c r="H39" s="6">
        <f>AVERAGE($C39:$G39)/AVERAGE(Sales!$C$12:$G$12)*Sales!H$12</f>
        <v>204216.28921292277</v>
      </c>
      <c r="I39" s="6">
        <f>AVERAGE($C39:$G39)/AVERAGE(Sales!$C$12:$G$12)*Sales!I$12</f>
        <v>206312.51129095911</v>
      </c>
      <c r="J39" s="6">
        <f>AVERAGE($C39:$G39)/AVERAGE(Sales!$C$12:$G$12)*Sales!J$12</f>
        <v>205548.84009212864</v>
      </c>
      <c r="K39" s="6">
        <f>AVERAGE($C39:$G39)/AVERAGE(Sales!$C$12:$G$12)*Sales!K$12</f>
        <v>203748.49798685126</v>
      </c>
      <c r="L39" s="6">
        <f>AVERAGE($C39:$G39)/AVERAGE(Sales!$C$12:$G$12)*Sales!L$12</f>
        <v>202161.09903336706</v>
      </c>
    </row>
    <row r="40" spans="1:12">
      <c r="A40" t="s">
        <v>212</v>
      </c>
      <c r="B40" t="s">
        <v>161</v>
      </c>
      <c r="C40" s="13">
        <v>251054</v>
      </c>
      <c r="D40" s="13">
        <v>244702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</row>
    <row r="41" spans="1:12">
      <c r="A41" t="s">
        <v>213</v>
      </c>
      <c r="B41"/>
      <c r="C41" s="13">
        <v>16328</v>
      </c>
      <c r="D41" s="13">
        <v>0</v>
      </c>
      <c r="E41" s="13">
        <v>36818</v>
      </c>
      <c r="F41" s="55">
        <v>32137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</row>
    <row r="42" spans="1:12">
      <c r="A42" t="s">
        <v>191</v>
      </c>
      <c r="B42"/>
      <c r="C42" s="13">
        <v>12376</v>
      </c>
      <c r="D42" s="13">
        <v>25513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</row>
    <row r="43" spans="1:12">
      <c r="A43" t="s">
        <v>10</v>
      </c>
      <c r="B43"/>
      <c r="C43" s="13">
        <v>176781</v>
      </c>
      <c r="D43" s="13">
        <v>493036</v>
      </c>
      <c r="E43" s="13">
        <v>475238</v>
      </c>
      <c r="F43" s="55">
        <v>320726</v>
      </c>
      <c r="G43" s="55">
        <v>369140</v>
      </c>
      <c r="H43" s="6">
        <f>AVERAGE(C43:G43)</f>
        <v>366984.2</v>
      </c>
      <c r="I43" s="6">
        <f t="shared" ref="I43" si="27">AVERAGE(D43:H43)</f>
        <v>405024.83999999997</v>
      </c>
      <c r="J43" s="6">
        <f t="shared" ref="J43" si="28">AVERAGE(E43:I43)</f>
        <v>387422.60800000001</v>
      </c>
      <c r="K43" s="6">
        <f t="shared" ref="K43" si="29">AVERAGE(F43:J43)</f>
        <v>369859.52960000001</v>
      </c>
      <c r="L43" s="6">
        <f t="shared" ref="L43" si="30">AVERAGE(G43:K43)</f>
        <v>379686.23551999999</v>
      </c>
    </row>
    <row r="44" spans="1:12">
      <c r="B44"/>
      <c r="C44" s="5">
        <f t="shared" ref="C44:D44" si="31">SUM(C26:C43)</f>
        <v>17875408</v>
      </c>
      <c r="D44" s="5">
        <f t="shared" si="31"/>
        <v>18406725</v>
      </c>
      <c r="E44" s="5">
        <f>SUM(E26:E43)</f>
        <v>18470241</v>
      </c>
      <c r="F44" s="5">
        <f>SUM(F26:F43)</f>
        <v>14656501</v>
      </c>
      <c r="G44" s="5">
        <f>SUM(G26:G43)</f>
        <v>14256719</v>
      </c>
      <c r="H44" s="5">
        <f t="shared" ref="H44:L44" si="32">SUM(H26:H43)</f>
        <v>16355906.038685162</v>
      </c>
      <c r="I44" s="5">
        <f t="shared" si="32"/>
        <v>16584076.764184183</v>
      </c>
      <c r="J44" s="5">
        <f t="shared" si="32"/>
        <v>16435068.888429351</v>
      </c>
      <c r="K44" s="5">
        <f t="shared" si="32"/>
        <v>16210472.27424006</v>
      </c>
      <c r="L44" s="5">
        <f t="shared" si="32"/>
        <v>16104753.908592593</v>
      </c>
    </row>
    <row r="45" spans="1:12">
      <c r="B45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spans="1:12">
      <c r="A46" s="4" t="s">
        <v>218</v>
      </c>
      <c r="B46" s="4"/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47" spans="1:12">
      <c r="A47" t="s">
        <v>214</v>
      </c>
      <c r="B47" t="s">
        <v>244</v>
      </c>
      <c r="C47" s="13">
        <v>1434513</v>
      </c>
      <c r="D47" s="13">
        <v>1461041</v>
      </c>
      <c r="E47" s="13">
        <v>1436598</v>
      </c>
      <c r="F47" s="55">
        <v>2246366</v>
      </c>
      <c r="G47" s="55">
        <v>2710818</v>
      </c>
      <c r="H47" s="6">
        <f>G118</f>
        <v>1806111.2692685819</v>
      </c>
      <c r="I47" s="6">
        <f t="shared" ref="I47:L47" si="33">H118</f>
        <v>1871254.5774447615</v>
      </c>
      <c r="J47" s="6">
        <f t="shared" si="33"/>
        <v>1919230.6442925273</v>
      </c>
      <c r="K47" s="6">
        <f t="shared" si="33"/>
        <v>1995785.499593972</v>
      </c>
      <c r="L47" s="6">
        <f t="shared" si="33"/>
        <v>1960495.8204792964</v>
      </c>
    </row>
    <row r="48" spans="1:12">
      <c r="A48" t="s">
        <v>203</v>
      </c>
      <c r="B48"/>
      <c r="C48" s="13">
        <v>55461</v>
      </c>
      <c r="D48" s="13">
        <v>40927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</row>
    <row r="49" spans="1:12">
      <c r="A49" t="s">
        <v>190</v>
      </c>
      <c r="B49"/>
      <c r="C49" s="13">
        <v>137227</v>
      </c>
      <c r="D49" s="13">
        <v>152225</v>
      </c>
      <c r="E49" s="13">
        <v>215664</v>
      </c>
      <c r="F49" s="55">
        <v>7533</v>
      </c>
      <c r="G49" s="55">
        <v>80969</v>
      </c>
      <c r="H49" s="6">
        <f>AVERAGE(C49:G49)</f>
        <v>118723.6</v>
      </c>
      <c r="I49" s="6">
        <f t="shared" ref="I49:L49" si="34">AVERAGE(D49:H49)</f>
        <v>115022.92</v>
      </c>
      <c r="J49" s="6">
        <f t="shared" si="34"/>
        <v>107582.504</v>
      </c>
      <c r="K49" s="6">
        <f t="shared" si="34"/>
        <v>85966.204800000007</v>
      </c>
      <c r="L49" s="6">
        <f t="shared" si="34"/>
        <v>101652.84576000001</v>
      </c>
    </row>
    <row r="50" spans="1:12">
      <c r="A50" t="s">
        <v>188</v>
      </c>
      <c r="B50"/>
      <c r="C50" s="13">
        <v>2381</v>
      </c>
      <c r="D50" s="13">
        <v>2676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</row>
    <row r="51" spans="1:12">
      <c r="A51" t="s">
        <v>215</v>
      </c>
      <c r="B51" t="s">
        <v>158</v>
      </c>
      <c r="C51" s="13">
        <v>100141</v>
      </c>
      <c r="D51" s="13">
        <v>93202</v>
      </c>
      <c r="E51" s="13">
        <v>142805</v>
      </c>
      <c r="F51" s="55">
        <v>441537</v>
      </c>
      <c r="G51" s="55">
        <v>539865</v>
      </c>
      <c r="H51" s="13">
        <f>AVERAGE($C$51:$G$51)/AVERAGE(Assumption!$E$62:$I$62)*Assumption!J$62</f>
        <v>263510.00000000012</v>
      </c>
      <c r="I51" s="13">
        <f>AVERAGE($C$51:$G$51)/AVERAGE(Assumption!$E$62:$I$62)*Assumption!K$62</f>
        <v>264385.01357032335</v>
      </c>
      <c r="J51" s="13">
        <f>AVERAGE($C$51:$G$51)/AVERAGE(Assumption!$E$62:$I$62)*Assumption!L$62</f>
        <v>264092.88512112357</v>
      </c>
      <c r="K51" s="13">
        <f>AVERAGE($C$51:$G$51)/AVERAGE(Assumption!$E$62:$I$62)*Assumption!M$62</f>
        <v>263414.36827623512</v>
      </c>
      <c r="L51" s="13">
        <f>AVERAGE($C$51:$G$51)/AVERAGE(Assumption!$E$62:$I$62)*Assumption!N$62</f>
        <v>263782.4533935365</v>
      </c>
    </row>
    <row r="52" spans="1:12">
      <c r="A52" t="s">
        <v>206</v>
      </c>
      <c r="B52"/>
      <c r="C52" s="13">
        <v>252571</v>
      </c>
      <c r="D52" s="13">
        <v>83719</v>
      </c>
      <c r="E52" s="13">
        <v>139249</v>
      </c>
      <c r="F52" s="55">
        <v>434776</v>
      </c>
      <c r="G52" s="55">
        <v>267687</v>
      </c>
      <c r="H52" s="6">
        <f>AVERAGE(C52:G52)</f>
        <v>235600.4</v>
      </c>
      <c r="I52" s="6">
        <f t="shared" ref="I52:L52" si="35">AVERAGE(D52:H52)</f>
        <v>232206.27999999997</v>
      </c>
      <c r="J52" s="6">
        <f t="shared" si="35"/>
        <v>261903.73599999998</v>
      </c>
      <c r="K52" s="6">
        <f t="shared" si="35"/>
        <v>286434.68319999997</v>
      </c>
      <c r="L52" s="6">
        <f t="shared" si="35"/>
        <v>256766.41984000002</v>
      </c>
    </row>
    <row r="53" spans="1:12">
      <c r="A53" t="s">
        <v>219</v>
      </c>
      <c r="B53"/>
      <c r="C53" s="13">
        <v>18050</v>
      </c>
      <c r="D53" s="13">
        <v>20653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</row>
    <row r="54" spans="1:12">
      <c r="A54" t="s">
        <v>208</v>
      </c>
      <c r="B54"/>
      <c r="C54" s="13">
        <v>36926</v>
      </c>
      <c r="D54" s="13">
        <v>38900</v>
      </c>
      <c r="E54" s="13">
        <v>47502</v>
      </c>
      <c r="F54" s="55">
        <v>140134</v>
      </c>
      <c r="G54" s="55">
        <v>262553</v>
      </c>
      <c r="H54" s="6">
        <f>AVERAGE(C54:G54)</f>
        <v>105203</v>
      </c>
      <c r="I54" s="6">
        <f t="shared" ref="I54:L54" si="36">AVERAGE(D54:H54)</f>
        <v>118858.4</v>
      </c>
      <c r="J54" s="6">
        <f t="shared" si="36"/>
        <v>134850.08000000002</v>
      </c>
      <c r="K54" s="6">
        <f t="shared" si="36"/>
        <v>152319.696</v>
      </c>
      <c r="L54" s="6">
        <f t="shared" si="36"/>
        <v>154756.8352</v>
      </c>
    </row>
    <row r="55" spans="1:12">
      <c r="A55" t="s">
        <v>209</v>
      </c>
      <c r="B55" t="s">
        <v>158</v>
      </c>
      <c r="C55" s="13">
        <v>35135</v>
      </c>
      <c r="D55" s="13">
        <v>64080</v>
      </c>
      <c r="E55" s="13">
        <v>230584</v>
      </c>
      <c r="F55" s="55">
        <v>64512</v>
      </c>
      <c r="G55" s="55">
        <v>63445</v>
      </c>
      <c r="H55" s="13">
        <f>AVERAGE($C$55:$G$55)/AVERAGE(Assumption!$E$62:$I$62)*Assumption!J$62</f>
        <v>91551.200000000041</v>
      </c>
      <c r="I55" s="13">
        <f>AVERAGE($C$55:$G$55)/AVERAGE(Assumption!$E$62:$I$62)*Assumption!K$62</f>
        <v>91855.205701413186</v>
      </c>
      <c r="J55" s="13">
        <f>AVERAGE($C$55:$G$55)/AVERAGE(Assumption!$E$62:$I$62)*Assumption!L$62</f>
        <v>91753.711602220064</v>
      </c>
      <c r="K55" s="13">
        <f>AVERAGE($C$55:$G$55)/AVERAGE(Assumption!$E$62:$I$62)*Assumption!M$62</f>
        <v>91517.974698991529</v>
      </c>
      <c r="L55" s="13">
        <f>AVERAGE($C$55:$G$55)/AVERAGE(Assumption!$E$62:$I$62)*Assumption!N$62</f>
        <v>91645.858400524987</v>
      </c>
    </row>
    <row r="56" spans="1:12">
      <c r="A56" t="s">
        <v>210</v>
      </c>
      <c r="B56"/>
      <c r="C56" s="13">
        <v>42271</v>
      </c>
      <c r="D56" s="13">
        <v>51140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</row>
    <row r="57" spans="1:12">
      <c r="A57" t="s">
        <v>211</v>
      </c>
      <c r="B57"/>
      <c r="C57" s="13">
        <v>84564</v>
      </c>
      <c r="D57" s="13">
        <v>88878</v>
      </c>
      <c r="E57" s="13">
        <v>602264</v>
      </c>
      <c r="F57" s="55">
        <v>330408</v>
      </c>
      <c r="G57" s="55">
        <v>515142</v>
      </c>
      <c r="H57" s="6">
        <f>AVERAGE(C57:G57)</f>
        <v>324251.2</v>
      </c>
      <c r="I57" s="6">
        <f t="shared" ref="I57:L57" si="37">AVERAGE(D57:H57)</f>
        <v>372188.64</v>
      </c>
      <c r="J57" s="6">
        <f t="shared" si="37"/>
        <v>428850.76799999998</v>
      </c>
      <c r="K57" s="6">
        <f t="shared" si="37"/>
        <v>394168.12159999995</v>
      </c>
      <c r="L57" s="6">
        <f t="shared" si="37"/>
        <v>406920.14591999992</v>
      </c>
    </row>
    <row r="58" spans="1:12">
      <c r="A58" t="s">
        <v>220</v>
      </c>
      <c r="B58"/>
      <c r="C58" s="13">
        <v>126316</v>
      </c>
      <c r="D58" s="13">
        <v>155062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</row>
    <row r="59" spans="1:12">
      <c r="A59" t="s">
        <v>191</v>
      </c>
      <c r="B59"/>
      <c r="C59" s="13">
        <v>343942</v>
      </c>
      <c r="D59" s="13">
        <v>363349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</row>
    <row r="60" spans="1:12">
      <c r="A60" t="s">
        <v>10</v>
      </c>
      <c r="B60"/>
      <c r="C60" s="13">
        <v>90688</v>
      </c>
      <c r="D60" s="13">
        <v>125891</v>
      </c>
      <c r="E60" s="13">
        <v>111805</v>
      </c>
      <c r="F60" s="55">
        <v>2452</v>
      </c>
      <c r="G60" s="55">
        <v>7027</v>
      </c>
      <c r="H60" s="13">
        <f>AVERAGE(C60:G60)</f>
        <v>67572.600000000006</v>
      </c>
      <c r="I60" s="13">
        <f t="shared" ref="I60:L60" si="38">AVERAGE(D60:H60)</f>
        <v>62949.52</v>
      </c>
      <c r="J60" s="13">
        <f t="shared" si="38"/>
        <v>50361.224000000002</v>
      </c>
      <c r="K60" s="13">
        <f t="shared" si="38"/>
        <v>38072.468799999995</v>
      </c>
      <c r="L60" s="13">
        <f t="shared" si="38"/>
        <v>45196.562559999998</v>
      </c>
    </row>
    <row r="61" spans="1:12">
      <c r="B61"/>
      <c r="C61" s="5">
        <f t="shared" ref="C61:D61" si="39">SUM(C47:C60)</f>
        <v>2760186</v>
      </c>
      <c r="D61" s="5">
        <f t="shared" si="39"/>
        <v>2741743</v>
      </c>
      <c r="E61" s="5">
        <f>SUM(E47:E60)</f>
        <v>2926471</v>
      </c>
      <c r="F61" s="5">
        <f>SUM(F47:F60)</f>
        <v>3667718</v>
      </c>
      <c r="G61" s="5">
        <f>SUM(G47:G60)</f>
        <v>4447506</v>
      </c>
      <c r="H61" s="5">
        <f t="shared" ref="H61:L61" si="40">SUM(H47:H60)</f>
        <v>3012523.2692685826</v>
      </c>
      <c r="I61" s="5">
        <f t="shared" si="40"/>
        <v>3128720.5567164975</v>
      </c>
      <c r="J61" s="5">
        <f t="shared" si="40"/>
        <v>3258625.553015871</v>
      </c>
      <c r="K61" s="5">
        <f t="shared" si="40"/>
        <v>3307679.0169691984</v>
      </c>
      <c r="L61" s="5">
        <f t="shared" si="40"/>
        <v>3281216.941553358</v>
      </c>
    </row>
    <row r="62" spans="1:12">
      <c r="B62"/>
      <c r="C62"/>
      <c r="D62"/>
    </row>
    <row r="63" spans="1:12">
      <c r="B63"/>
      <c r="C63"/>
      <c r="D63"/>
    </row>
    <row r="64" spans="1:12">
      <c r="A64" t="s">
        <v>135</v>
      </c>
      <c r="B64"/>
      <c r="C64"/>
      <c r="D64"/>
    </row>
    <row r="65" spans="1:12">
      <c r="A65" s="4" t="s">
        <v>235</v>
      </c>
      <c r="B65" s="4"/>
      <c r="C65"/>
      <c r="D65"/>
    </row>
    <row r="66" spans="1:12">
      <c r="A66" t="s">
        <v>238</v>
      </c>
      <c r="B66"/>
      <c r="C66" s="1">
        <v>1797329</v>
      </c>
      <c r="D66" s="1">
        <v>1894155</v>
      </c>
      <c r="E66" s="1">
        <v>2087078</v>
      </c>
      <c r="F66" s="1">
        <v>2010086</v>
      </c>
      <c r="G66" s="1">
        <v>2010086</v>
      </c>
      <c r="H66" s="1">
        <f>AVERAGE(C66:G66)</f>
        <v>1959746.8</v>
      </c>
      <c r="I66" s="1">
        <f t="shared" ref="I66:L66" si="41">AVERAGE(D66:H66)</f>
        <v>1992230.36</v>
      </c>
      <c r="J66" s="1">
        <f t="shared" si="41"/>
        <v>2011845.432</v>
      </c>
      <c r="K66" s="1">
        <f t="shared" si="41"/>
        <v>1996798.9184000001</v>
      </c>
      <c r="L66" s="1">
        <f t="shared" si="41"/>
        <v>1994141.5020800002</v>
      </c>
    </row>
    <row r="67" spans="1:12">
      <c r="A67" t="s">
        <v>237</v>
      </c>
      <c r="B67"/>
      <c r="C67" s="1">
        <v>183208</v>
      </c>
      <c r="D67" s="1">
        <v>179508</v>
      </c>
      <c r="E67" s="1">
        <v>180424</v>
      </c>
      <c r="F67" s="1">
        <v>170049</v>
      </c>
      <c r="G67" s="1">
        <v>170268</v>
      </c>
      <c r="H67" s="1">
        <f>AVERAGE(C67:G67)</f>
        <v>176691.4</v>
      </c>
      <c r="I67" s="1">
        <f t="shared" ref="I67:L67" si="42">AVERAGE(D67:H67)</f>
        <v>175388.08000000002</v>
      </c>
      <c r="J67" s="1">
        <f t="shared" si="42"/>
        <v>174564.09599999999</v>
      </c>
      <c r="K67" s="1">
        <f t="shared" si="42"/>
        <v>173392.1152</v>
      </c>
      <c r="L67" s="1">
        <f t="shared" si="42"/>
        <v>174060.73824000001</v>
      </c>
    </row>
    <row r="68" spans="1:12">
      <c r="B68"/>
      <c r="C68"/>
      <c r="D68"/>
    </row>
    <row r="69" spans="1:12">
      <c r="B69"/>
      <c r="C69"/>
      <c r="D69"/>
    </row>
    <row r="70" spans="1:12">
      <c r="A70" s="4" t="s">
        <v>236</v>
      </c>
      <c r="B70" s="4"/>
      <c r="C70"/>
      <c r="D70"/>
    </row>
    <row r="71" spans="1:12">
      <c r="A71" t="s">
        <v>238</v>
      </c>
      <c r="B71"/>
      <c r="C71" s="1">
        <v>1027518</v>
      </c>
      <c r="D71" s="1">
        <v>1096222</v>
      </c>
      <c r="E71" s="1">
        <v>1107982</v>
      </c>
      <c r="F71" s="1">
        <v>1033802</v>
      </c>
      <c r="G71" s="1">
        <v>921094</v>
      </c>
      <c r="H71" s="1">
        <f t="shared" ref="H71:H72" si="43">AVERAGE(C71:G71)</f>
        <v>1037323.6</v>
      </c>
      <c r="I71" s="1">
        <f t="shared" ref="I71:I72" si="44">AVERAGE(D71:H71)</f>
        <v>1039284.72</v>
      </c>
      <c r="J71" s="1">
        <f t="shared" ref="J71:J72" si="45">AVERAGE(E71:I71)</f>
        <v>1027897.2640000001</v>
      </c>
      <c r="K71" s="1">
        <f t="shared" ref="K71:K72" si="46">AVERAGE(F71:J71)</f>
        <v>1011880.3168000001</v>
      </c>
      <c r="L71" s="1">
        <f t="shared" ref="L71:L72" si="47">AVERAGE(G71:K71)</f>
        <v>1007495.9801600002</v>
      </c>
    </row>
    <row r="72" spans="1:12">
      <c r="A72" t="s">
        <v>237</v>
      </c>
      <c r="B72"/>
      <c r="C72" s="1">
        <v>103028</v>
      </c>
      <c r="D72" s="1">
        <v>108611</v>
      </c>
      <c r="E72" s="1">
        <v>107554</v>
      </c>
      <c r="F72" s="1">
        <v>91214</v>
      </c>
      <c r="G72" s="1">
        <v>90357</v>
      </c>
      <c r="H72" s="1">
        <f t="shared" si="43"/>
        <v>100152.8</v>
      </c>
      <c r="I72" s="1">
        <f t="shared" si="44"/>
        <v>99577.76</v>
      </c>
      <c r="J72" s="1">
        <f t="shared" si="45"/>
        <v>97771.111999999994</v>
      </c>
      <c r="K72" s="1">
        <f t="shared" si="46"/>
        <v>95814.534400000004</v>
      </c>
      <c r="L72" s="1">
        <f t="shared" si="47"/>
        <v>96734.641280000011</v>
      </c>
    </row>
    <row r="73" spans="1:12">
      <c r="B73"/>
      <c r="C73" s="54">
        <f>SUM(C71:C72)</f>
        <v>1130546</v>
      </c>
      <c r="D73" s="54">
        <f t="shared" ref="D73:G73" si="48">SUM(D71:D72)</f>
        <v>1204833</v>
      </c>
      <c r="E73" s="54">
        <f t="shared" si="48"/>
        <v>1215536</v>
      </c>
      <c r="F73" s="54">
        <f t="shared" si="48"/>
        <v>1125016</v>
      </c>
      <c r="G73" s="54">
        <f t="shared" si="48"/>
        <v>1011451</v>
      </c>
      <c r="H73" s="54">
        <f t="shared" ref="H73" si="49">SUM(H71:H72)</f>
        <v>1137476.3999999999</v>
      </c>
      <c r="I73" s="54">
        <f t="shared" ref="I73" si="50">SUM(I71:I72)</f>
        <v>1138862.48</v>
      </c>
      <c r="J73" s="54">
        <f t="shared" ref="J73" si="51">SUM(J71:J72)</f>
        <v>1125668.3760000002</v>
      </c>
      <c r="K73" s="54">
        <f t="shared" ref="K73" si="52">SUM(K71:K72)</f>
        <v>1107694.8512000002</v>
      </c>
      <c r="L73" s="54">
        <f t="shared" ref="L73" si="53">SUM(L71:L72)</f>
        <v>1104230.6214400001</v>
      </c>
    </row>
    <row r="74" spans="1:12">
      <c r="A74" t="s">
        <v>186</v>
      </c>
      <c r="B74"/>
      <c r="C74" s="13">
        <v>53300962</v>
      </c>
      <c r="D74" s="13">
        <v>57401329</v>
      </c>
      <c r="E74" s="13">
        <v>59793370</v>
      </c>
      <c r="F74" s="13">
        <v>59569412</v>
      </c>
      <c r="G74" s="13">
        <v>59371577</v>
      </c>
      <c r="H74" s="6">
        <f>D82</f>
        <v>57887330</v>
      </c>
      <c r="I74" s="6">
        <f>D83</f>
        <v>57884207.857500106</v>
      </c>
      <c r="J74" s="6">
        <f>D84</f>
        <v>57913927.551057726</v>
      </c>
      <c r="K74" s="6">
        <f>D85</f>
        <v>57954412.880656928</v>
      </c>
      <c r="L74" s="6">
        <f>D86</f>
        <v>57962216.051442936</v>
      </c>
    </row>
    <row r="75" spans="1:12">
      <c r="B75"/>
      <c r="C75"/>
      <c r="D75"/>
    </row>
    <row r="76" spans="1:12">
      <c r="B76" s="8" t="s">
        <v>114</v>
      </c>
      <c r="C76" s="8" t="s">
        <v>236</v>
      </c>
      <c r="D76" s="8" t="s">
        <v>186</v>
      </c>
      <c r="F76" t="s">
        <v>125</v>
      </c>
    </row>
    <row r="77" spans="1:12" ht="15.75" thickBot="1">
      <c r="B77" s="8">
        <v>2016</v>
      </c>
      <c r="C77" s="13">
        <v>1130546</v>
      </c>
      <c r="D77" s="58">
        <v>53300962</v>
      </c>
    </row>
    <row r="78" spans="1:12">
      <c r="B78" s="8">
        <f>B77+1</f>
        <v>2017</v>
      </c>
      <c r="C78" s="13">
        <v>1204833</v>
      </c>
      <c r="D78" s="58">
        <v>57401329</v>
      </c>
      <c r="F78" s="20" t="s">
        <v>126</v>
      </c>
      <c r="G78" s="20"/>
    </row>
    <row r="79" spans="1:12">
      <c r="B79" s="8">
        <f t="shared" ref="B79:B86" si="54">B78+1</f>
        <v>2018</v>
      </c>
      <c r="C79" s="13">
        <v>1215536</v>
      </c>
      <c r="D79" s="58">
        <v>59793370</v>
      </c>
      <c r="F79" s="17" t="s">
        <v>127</v>
      </c>
      <c r="G79" s="17">
        <v>6.7289915778965245E-2</v>
      </c>
    </row>
    <row r="80" spans="1:12">
      <c r="B80" s="8">
        <f t="shared" si="54"/>
        <v>2019</v>
      </c>
      <c r="C80" s="13">
        <v>1125016</v>
      </c>
      <c r="D80" s="58">
        <v>59569412</v>
      </c>
      <c r="F80" s="17" t="s">
        <v>128</v>
      </c>
      <c r="G80" s="17">
        <v>4.5279327655402364E-3</v>
      </c>
    </row>
    <row r="81" spans="2:14">
      <c r="B81" s="8">
        <f t="shared" si="54"/>
        <v>2020</v>
      </c>
      <c r="C81" s="13">
        <v>1011451</v>
      </c>
      <c r="D81" s="58">
        <v>59371577</v>
      </c>
      <c r="F81" s="17" t="s">
        <v>129</v>
      </c>
      <c r="G81" s="17">
        <v>-0.32729608964594636</v>
      </c>
    </row>
    <row r="82" spans="2:14">
      <c r="B82" s="8">
        <f t="shared" si="54"/>
        <v>2021</v>
      </c>
      <c r="C82" s="13">
        <v>1137476.3999999999</v>
      </c>
      <c r="D82" s="6">
        <f>C82*$G$93+$G$92</f>
        <v>57887330</v>
      </c>
      <c r="F82" s="17" t="s">
        <v>130</v>
      </c>
      <c r="G82" s="17">
        <v>3151761.2079223008</v>
      </c>
    </row>
    <row r="83" spans="2:14" ht="15.75" thickBot="1">
      <c r="B83" s="8">
        <f t="shared" si="54"/>
        <v>2022</v>
      </c>
      <c r="C83" s="13">
        <v>1138862.48</v>
      </c>
      <c r="D83" s="6">
        <f t="shared" ref="D83:D86" si="55">C83*$G$93+$G$92</f>
        <v>57884207.857500106</v>
      </c>
      <c r="F83" s="18" t="s">
        <v>131</v>
      </c>
      <c r="G83" s="18">
        <v>5</v>
      </c>
    </row>
    <row r="84" spans="2:14">
      <c r="B84" s="8">
        <f t="shared" si="54"/>
        <v>2023</v>
      </c>
      <c r="C84" s="13">
        <v>1125668.3760000002</v>
      </c>
      <c r="D84" s="6">
        <f t="shared" si="55"/>
        <v>57913927.551057726</v>
      </c>
    </row>
    <row r="85" spans="2:14" ht="15.75" thickBot="1">
      <c r="B85" s="8">
        <f t="shared" si="54"/>
        <v>2024</v>
      </c>
      <c r="C85" s="13">
        <v>1107694.8512000002</v>
      </c>
      <c r="D85" s="6">
        <f t="shared" si="55"/>
        <v>57954412.880656928</v>
      </c>
      <c r="F85" t="s">
        <v>132</v>
      </c>
    </row>
    <row r="86" spans="2:14">
      <c r="B86" s="8">
        <f t="shared" si="54"/>
        <v>2025</v>
      </c>
      <c r="C86" s="13">
        <v>1104230.6214400001</v>
      </c>
      <c r="D86" s="6">
        <f t="shared" si="55"/>
        <v>57962216.051442936</v>
      </c>
      <c r="F86" s="19"/>
      <c r="G86" s="19" t="s">
        <v>137</v>
      </c>
      <c r="H86" s="19" t="s">
        <v>138</v>
      </c>
      <c r="I86" s="19" t="s">
        <v>139</v>
      </c>
      <c r="J86" s="19" t="s">
        <v>140</v>
      </c>
      <c r="K86" s="19" t="s">
        <v>141</v>
      </c>
    </row>
    <row r="87" spans="2:14">
      <c r="B87"/>
      <c r="C87"/>
      <c r="D87"/>
      <c r="F87" s="17" t="s">
        <v>133</v>
      </c>
      <c r="G87" s="17">
        <v>1</v>
      </c>
      <c r="H87" s="17">
        <v>135549761466.47656</v>
      </c>
      <c r="I87" s="17">
        <v>135549761466.47656</v>
      </c>
      <c r="J87" s="17">
        <v>1.3645584586173393E-2</v>
      </c>
      <c r="K87" s="17">
        <v>0.91438851825161016</v>
      </c>
    </row>
    <row r="88" spans="2:14">
      <c r="B88"/>
      <c r="C88"/>
      <c r="D88"/>
      <c r="F88" s="17" t="s">
        <v>134</v>
      </c>
      <c r="G88" s="17">
        <v>3</v>
      </c>
      <c r="H88" s="17">
        <v>29800796135291.523</v>
      </c>
      <c r="I88" s="17">
        <v>9933598711763.8418</v>
      </c>
      <c r="J88" s="17"/>
      <c r="K88" s="17"/>
    </row>
    <row r="89" spans="2:14" ht="15.75" thickBot="1">
      <c r="B89"/>
      <c r="C89"/>
      <c r="D89"/>
      <c r="F89" s="18" t="s">
        <v>135</v>
      </c>
      <c r="G89" s="18">
        <v>4</v>
      </c>
      <c r="H89" s="18">
        <v>29936345896758</v>
      </c>
      <c r="I89" s="18"/>
      <c r="J89" s="18"/>
      <c r="K89" s="18"/>
    </row>
    <row r="90" spans="2:14" ht="15.75" thickBot="1">
      <c r="B90"/>
      <c r="C90"/>
      <c r="D90"/>
    </row>
    <row r="91" spans="2:14">
      <c r="B91"/>
      <c r="C91"/>
      <c r="D91"/>
      <c r="F91" s="19"/>
      <c r="G91" s="19" t="s">
        <v>142</v>
      </c>
      <c r="H91" s="19" t="s">
        <v>130</v>
      </c>
      <c r="I91" s="19" t="s">
        <v>143</v>
      </c>
      <c r="J91" s="19" t="s">
        <v>144</v>
      </c>
      <c r="K91" s="19" t="s">
        <v>145</v>
      </c>
      <c r="L91" s="19" t="s">
        <v>146</v>
      </c>
      <c r="M91" s="19" t="s">
        <v>147</v>
      </c>
      <c r="N91" s="19" t="s">
        <v>148</v>
      </c>
    </row>
    <row r="92" spans="2:14">
      <c r="B92"/>
      <c r="C92"/>
      <c r="D92"/>
      <c r="F92" s="17" t="s">
        <v>136</v>
      </c>
      <c r="G92" s="17">
        <v>60449493.375172652</v>
      </c>
      <c r="H92" s="17">
        <v>21978884.427646954</v>
      </c>
      <c r="I92" s="17">
        <v>2.7503440210611427</v>
      </c>
      <c r="J92" s="17">
        <v>7.0721851309603498E-2</v>
      </c>
      <c r="K92" s="17">
        <v>-9497126.1658500507</v>
      </c>
      <c r="L92" s="17">
        <v>130396112.91619536</v>
      </c>
      <c r="M92" s="17">
        <v>-9497126.1658500507</v>
      </c>
      <c r="N92" s="17">
        <v>130396112.91619536</v>
      </c>
    </row>
    <row r="93" spans="2:14" ht="15.75" thickBot="1">
      <c r="B93"/>
      <c r="C93"/>
      <c r="D93"/>
      <c r="F93" s="18" t="s">
        <v>149</v>
      </c>
      <c r="G93" s="18">
        <v>-2.2524980519795004</v>
      </c>
      <c r="H93" s="18">
        <v>19.282722491604137</v>
      </c>
      <c r="I93" s="18">
        <v>-0.11681431670036518</v>
      </c>
      <c r="J93" s="18">
        <v>0.91438851825161072</v>
      </c>
      <c r="K93" s="18">
        <v>-63.618727001196163</v>
      </c>
      <c r="L93" s="18">
        <v>59.113730897237161</v>
      </c>
      <c r="M93" s="18">
        <v>-63.618727001196163</v>
      </c>
      <c r="N93" s="18">
        <v>59.113730897237161</v>
      </c>
    </row>
    <row r="94" spans="2:14">
      <c r="B94"/>
      <c r="C94"/>
      <c r="D94"/>
    </row>
    <row r="95" spans="2:14">
      <c r="B95"/>
      <c r="C95"/>
      <c r="D95"/>
    </row>
    <row r="96" spans="2:14">
      <c r="B96" s="8" t="s">
        <v>114</v>
      </c>
      <c r="C96" s="8" t="s">
        <v>225</v>
      </c>
      <c r="D96" s="8" t="s">
        <v>201</v>
      </c>
      <c r="F96" t="s">
        <v>125</v>
      </c>
    </row>
    <row r="97" spans="2:14" ht="15.75" thickBot="1">
      <c r="B97" s="8">
        <v>2016</v>
      </c>
      <c r="C97" s="58">
        <v>2534350</v>
      </c>
      <c r="D97" s="58">
        <v>1241861</v>
      </c>
    </row>
    <row r="98" spans="2:14">
      <c r="B98" s="8">
        <f>B97+1</f>
        <v>2017</v>
      </c>
      <c r="C98" s="58">
        <v>2044908</v>
      </c>
      <c r="D98" s="58">
        <v>989401</v>
      </c>
      <c r="F98" s="20" t="s">
        <v>126</v>
      </c>
      <c r="G98" s="20"/>
    </row>
    <row r="99" spans="2:14">
      <c r="B99" s="8">
        <f t="shared" ref="B99:B106" si="56">B98+1</f>
        <v>2018</v>
      </c>
      <c r="C99" s="58">
        <v>2947585</v>
      </c>
      <c r="D99" s="58">
        <v>1566514</v>
      </c>
      <c r="F99" s="17" t="s">
        <v>127</v>
      </c>
      <c r="G99" s="17">
        <v>0.8712862376753201</v>
      </c>
    </row>
    <row r="100" spans="2:14">
      <c r="B100" s="8">
        <f t="shared" si="56"/>
        <v>2019</v>
      </c>
      <c r="C100" s="58">
        <v>3985256</v>
      </c>
      <c r="D100" s="58">
        <v>2881974</v>
      </c>
      <c r="F100" s="17" t="s">
        <v>128</v>
      </c>
      <c r="G100" s="17">
        <v>0.75913970796241437</v>
      </c>
    </row>
    <row r="101" spans="2:14">
      <c r="B101" s="8">
        <f t="shared" si="56"/>
        <v>2020</v>
      </c>
      <c r="C101" s="58">
        <v>4689252</v>
      </c>
      <c r="D101" s="58">
        <v>2277335</v>
      </c>
      <c r="F101" s="17" t="s">
        <v>129</v>
      </c>
      <c r="G101" s="17">
        <v>0.67885294394988582</v>
      </c>
    </row>
    <row r="102" spans="2:14">
      <c r="B102" s="8">
        <f t="shared" si="56"/>
        <v>2021</v>
      </c>
      <c r="C102" s="58">
        <v>3240270.2</v>
      </c>
      <c r="D102" s="59">
        <f>C102*$G$113+$G$112</f>
        <v>1791417</v>
      </c>
      <c r="F102" s="17" t="s">
        <v>130</v>
      </c>
      <c r="G102" s="17">
        <v>440902.05706766236</v>
      </c>
    </row>
    <row r="103" spans="2:14" ht="15.75" thickBot="1">
      <c r="B103" s="8">
        <f t="shared" si="56"/>
        <v>2022</v>
      </c>
      <c r="C103" s="58">
        <v>3381454.2399999998</v>
      </c>
      <c r="D103" s="59">
        <f t="shared" ref="D103:D106" si="57">C103*$G$113+$G$112</f>
        <v>1880015.7636568747</v>
      </c>
      <c r="F103" s="18" t="s">
        <v>131</v>
      </c>
      <c r="G103" s="18">
        <v>5</v>
      </c>
    </row>
    <row r="104" spans="2:14">
      <c r="B104" s="8">
        <f t="shared" si="56"/>
        <v>2023</v>
      </c>
      <c r="C104" s="58">
        <v>3648763.4879999994</v>
      </c>
      <c r="D104" s="59">
        <f t="shared" si="57"/>
        <v>2047763.2575439238</v>
      </c>
    </row>
    <row r="105" spans="2:14" ht="15.75" thickBot="1">
      <c r="B105" s="8">
        <f t="shared" si="56"/>
        <v>2024</v>
      </c>
      <c r="C105" s="58">
        <v>3788999.1856</v>
      </c>
      <c r="D105" s="59">
        <f t="shared" si="57"/>
        <v>2135766.8975298558</v>
      </c>
      <c r="F105" t="s">
        <v>132</v>
      </c>
    </row>
    <row r="106" spans="2:14">
      <c r="B106" s="8">
        <f t="shared" si="56"/>
        <v>2025</v>
      </c>
      <c r="C106" s="58">
        <v>3749747.8227200001</v>
      </c>
      <c r="D106" s="59">
        <f t="shared" si="57"/>
        <v>2111135.0607938105</v>
      </c>
      <c r="F106" s="19"/>
      <c r="G106" s="19" t="s">
        <v>137</v>
      </c>
      <c r="H106" s="19" t="s">
        <v>138</v>
      </c>
      <c r="I106" s="19" t="s">
        <v>139</v>
      </c>
      <c r="J106" s="19" t="s">
        <v>140</v>
      </c>
      <c r="K106" s="19" t="s">
        <v>141</v>
      </c>
    </row>
    <row r="107" spans="2:14">
      <c r="F107" s="17" t="s">
        <v>133</v>
      </c>
      <c r="G107" s="17">
        <v>1</v>
      </c>
      <c r="H107" s="17">
        <v>1838069821994.5115</v>
      </c>
      <c r="I107" s="17">
        <v>1838069821994.5115</v>
      </c>
      <c r="J107" s="17">
        <v>9.4553531618730151</v>
      </c>
      <c r="K107" s="17">
        <v>5.4350502942192278E-2</v>
      </c>
    </row>
    <row r="108" spans="2:14">
      <c r="F108" s="17" t="s">
        <v>134</v>
      </c>
      <c r="G108" s="17">
        <v>3</v>
      </c>
      <c r="H108" s="17">
        <v>583183871779.48853</v>
      </c>
      <c r="I108" s="17">
        <v>194394623926.49619</v>
      </c>
      <c r="J108" s="17"/>
      <c r="K108" s="17"/>
    </row>
    <row r="109" spans="2:14" ht="15.75" thickBot="1">
      <c r="F109" s="18" t="s">
        <v>135</v>
      </c>
      <c r="G109" s="18">
        <v>4</v>
      </c>
      <c r="H109" s="18">
        <v>2421253693774</v>
      </c>
      <c r="I109" s="18"/>
      <c r="J109" s="18"/>
      <c r="K109" s="18"/>
    </row>
    <row r="110" spans="2:14" ht="15.75" thickBot="1"/>
    <row r="111" spans="2:14">
      <c r="F111" s="19"/>
      <c r="G111" s="19" t="s">
        <v>142</v>
      </c>
      <c r="H111" s="19" t="s">
        <v>130</v>
      </c>
      <c r="I111" s="19" t="s">
        <v>143</v>
      </c>
      <c r="J111" s="19" t="s">
        <v>144</v>
      </c>
      <c r="K111" s="19" t="s">
        <v>145</v>
      </c>
      <c r="L111" s="19" t="s">
        <v>146</v>
      </c>
      <c r="M111" s="19" t="s">
        <v>147</v>
      </c>
      <c r="N111" s="19" t="s">
        <v>148</v>
      </c>
    </row>
    <row r="112" spans="2:14">
      <c r="F112" s="17" t="s">
        <v>136</v>
      </c>
      <c r="G112" s="17">
        <v>-241985.17232921487</v>
      </c>
      <c r="H112" s="17">
        <v>690049.408050542</v>
      </c>
      <c r="I112" s="17">
        <v>-0.35067803769710776</v>
      </c>
      <c r="J112" s="17">
        <v>0.74900931667533088</v>
      </c>
      <c r="K112" s="17">
        <v>-2438030.3614428728</v>
      </c>
      <c r="L112" s="17">
        <v>1954060.0167844431</v>
      </c>
      <c r="M112" s="17">
        <v>-2438030.3614428728</v>
      </c>
      <c r="N112" s="17">
        <v>1954060.0167844431</v>
      </c>
    </row>
    <row r="113" spans="1:14" ht="15.75" thickBot="1">
      <c r="F113" s="18" t="s">
        <v>149</v>
      </c>
      <c r="G113" s="18">
        <v>0.62754092925004057</v>
      </c>
      <c r="H113" s="18">
        <v>0.2040812845454755</v>
      </c>
      <c r="I113" s="18">
        <v>3.0749557983608509</v>
      </c>
      <c r="J113" s="18">
        <v>5.4350502942192278E-2</v>
      </c>
      <c r="K113" s="18">
        <v>-2.1936800729261297E-2</v>
      </c>
      <c r="L113" s="18">
        <v>1.2770186592293424</v>
      </c>
      <c r="M113" s="18">
        <v>-2.1936800729261297E-2</v>
      </c>
      <c r="N113" s="18">
        <v>1.2770186592293424</v>
      </c>
    </row>
    <row r="115" spans="1:14">
      <c r="A115" s="4" t="s">
        <v>243</v>
      </c>
      <c r="B115" s="8">
        <v>2016</v>
      </c>
      <c r="C115" s="8">
        <f>B115+1</f>
        <v>2017</v>
      </c>
      <c r="D115" s="8">
        <f t="shared" ref="D115:K115" si="58">C115+1</f>
        <v>2018</v>
      </c>
      <c r="E115" s="8">
        <f t="shared" si="58"/>
        <v>2019</v>
      </c>
      <c r="F115" s="8">
        <f t="shared" si="58"/>
        <v>2020</v>
      </c>
      <c r="G115" s="8">
        <f t="shared" si="58"/>
        <v>2021</v>
      </c>
      <c r="H115" s="8">
        <f t="shared" si="58"/>
        <v>2022</v>
      </c>
      <c r="I115" s="8">
        <f t="shared" si="58"/>
        <v>2023</v>
      </c>
      <c r="J115" s="8">
        <f t="shared" si="58"/>
        <v>2024</v>
      </c>
      <c r="K115" s="8">
        <f t="shared" si="58"/>
        <v>2025</v>
      </c>
    </row>
    <row r="116" spans="1:14">
      <c r="A116" t="s">
        <v>240</v>
      </c>
      <c r="B116" s="13">
        <v>5304612</v>
      </c>
      <c r="C116" s="13">
        <v>5619997</v>
      </c>
      <c r="D116" s="13">
        <v>6412332</v>
      </c>
      <c r="E116" s="13">
        <v>6189585</v>
      </c>
      <c r="F116" s="13">
        <v>5843830</v>
      </c>
      <c r="G116" s="13">
        <f>G$119*G121</f>
        <v>5778714.9908932094</v>
      </c>
      <c r="H116" s="13">
        <f t="shared" ref="H116:K116" si="59">H$119*H121</f>
        <v>5822821.9562923303</v>
      </c>
      <c r="I116" s="13">
        <f t="shared" si="59"/>
        <v>5749100.0249719108</v>
      </c>
      <c r="J116" s="13">
        <f t="shared" si="59"/>
        <v>5585022.2139570741</v>
      </c>
      <c r="K116" s="13">
        <f t="shared" si="59"/>
        <v>5503631.8532716036</v>
      </c>
    </row>
    <row r="117" spans="1:14">
      <c r="A117" t="s">
        <v>241</v>
      </c>
      <c r="B117" s="13">
        <v>3209435</v>
      </c>
      <c r="C117" s="13">
        <v>3817061</v>
      </c>
      <c r="D117" s="13">
        <v>4079226</v>
      </c>
      <c r="E117" s="55">
        <v>3790337</v>
      </c>
      <c r="F117" s="55">
        <v>3789130</v>
      </c>
      <c r="G117" s="13">
        <f t="shared" ref="G117:K117" si="60">G$119*G122</f>
        <v>3674700.0973725137</v>
      </c>
      <c r="H117" s="13">
        <f t="shared" si="60"/>
        <v>3740396.6603934034</v>
      </c>
      <c r="I117" s="13">
        <f t="shared" si="60"/>
        <v>3650053.2630528579</v>
      </c>
      <c r="J117" s="13">
        <f t="shared" si="60"/>
        <v>3544372.1394439321</v>
      </c>
      <c r="K117" s="13">
        <f t="shared" si="60"/>
        <v>3517456.9898122502</v>
      </c>
    </row>
    <row r="118" spans="1:14">
      <c r="A118" t="s">
        <v>242</v>
      </c>
      <c r="B118" s="13">
        <v>1434513</v>
      </c>
      <c r="C118" s="13">
        <v>1461041</v>
      </c>
      <c r="D118" s="13">
        <v>1436598</v>
      </c>
      <c r="E118" s="55">
        <v>2246366</v>
      </c>
      <c r="F118" s="55">
        <v>2710818</v>
      </c>
      <c r="G118" s="13">
        <f t="shared" ref="G118:K118" si="61">G$119*G123</f>
        <v>1806111.2692685819</v>
      </c>
      <c r="H118" s="13">
        <f t="shared" si="61"/>
        <v>1871254.5774447615</v>
      </c>
      <c r="I118" s="13">
        <f t="shared" si="61"/>
        <v>1919230.6442925273</v>
      </c>
      <c r="J118" s="13">
        <f t="shared" si="61"/>
        <v>1995785.499593972</v>
      </c>
      <c r="K118" s="13">
        <f t="shared" si="61"/>
        <v>1960495.8204792964</v>
      </c>
    </row>
    <row r="119" spans="1:14">
      <c r="A119" s="4" t="s">
        <v>135</v>
      </c>
      <c r="B119" s="60">
        <f>SUM(B116:B118)</f>
        <v>9948560</v>
      </c>
      <c r="C119" s="60">
        <f t="shared" ref="C119:F119" si="62">SUM(C116:C118)</f>
        <v>10898099</v>
      </c>
      <c r="D119" s="60">
        <f t="shared" si="62"/>
        <v>11928156</v>
      </c>
      <c r="E119" s="60">
        <f t="shared" si="62"/>
        <v>12226288</v>
      </c>
      <c r="F119" s="60">
        <f t="shared" si="62"/>
        <v>12343778</v>
      </c>
      <c r="G119" s="63">
        <f>B132</f>
        <v>11259526.357534304</v>
      </c>
      <c r="H119" s="63">
        <f>B133</f>
        <v>11434473.194130495</v>
      </c>
      <c r="I119" s="63">
        <f>B134</f>
        <v>11318383.932317294</v>
      </c>
      <c r="J119" s="63">
        <f>B135</f>
        <v>11125179.852994978</v>
      </c>
      <c r="K119" s="63">
        <f>B136</f>
        <v>10981584.663563151</v>
      </c>
    </row>
    <row r="121" spans="1:14">
      <c r="B121" s="61">
        <f>B116/B$119</f>
        <v>0.53320400138311475</v>
      </c>
      <c r="C121" s="61">
        <f t="shared" ref="C121:F121" si="63">C116/C$119</f>
        <v>0.51568599257540237</v>
      </c>
      <c r="D121" s="61">
        <f t="shared" si="63"/>
        <v>0.53757948839703307</v>
      </c>
      <c r="E121" s="61">
        <f t="shared" si="63"/>
        <v>0.50625218381899728</v>
      </c>
      <c r="F121" s="61">
        <f t="shared" si="63"/>
        <v>0.47342312864019426</v>
      </c>
      <c r="G121" s="62">
        <f>AVERAGE(B121:F121)</f>
        <v>0.5132289589629484</v>
      </c>
      <c r="H121" s="62">
        <f t="shared" ref="H121:K121" si="64">AVERAGE(C121:G121)</f>
        <v>0.50923395047891507</v>
      </c>
      <c r="I121" s="62">
        <f t="shared" si="64"/>
        <v>0.50794354205961767</v>
      </c>
      <c r="J121" s="62">
        <f t="shared" si="64"/>
        <v>0.50201635279213452</v>
      </c>
      <c r="K121" s="62">
        <f t="shared" si="64"/>
        <v>0.50116918658676191</v>
      </c>
    </row>
    <row r="122" spans="1:14">
      <c r="B122" s="61">
        <f t="shared" ref="B122:F122" si="65">B117/B$119</f>
        <v>0.32260296967601343</v>
      </c>
      <c r="C122" s="61">
        <f t="shared" si="65"/>
        <v>0.35025016748333815</v>
      </c>
      <c r="D122" s="61">
        <f t="shared" si="65"/>
        <v>0.3419829519332242</v>
      </c>
      <c r="E122" s="61">
        <f t="shared" si="65"/>
        <v>0.31001535380157902</v>
      </c>
      <c r="F122" s="61">
        <f t="shared" si="65"/>
        <v>0.30696679736139132</v>
      </c>
      <c r="G122" s="62">
        <f t="shared" ref="G122:K122" si="66">AVERAGE(B122:F122)</f>
        <v>0.32636364805110923</v>
      </c>
      <c r="H122" s="62">
        <f t="shared" si="66"/>
        <v>0.32711578372612837</v>
      </c>
      <c r="I122" s="62">
        <f t="shared" si="66"/>
        <v>0.32248890697468646</v>
      </c>
      <c r="J122" s="62">
        <f t="shared" si="66"/>
        <v>0.31859009798297883</v>
      </c>
      <c r="K122" s="62">
        <f t="shared" si="66"/>
        <v>0.32030504681925887</v>
      </c>
    </row>
    <row r="123" spans="1:14">
      <c r="B123" s="61">
        <f t="shared" ref="B123:F123" si="67">B118/B$119</f>
        <v>0.14419302894087185</v>
      </c>
      <c r="C123" s="61">
        <f t="shared" si="67"/>
        <v>0.13406383994125948</v>
      </c>
      <c r="D123" s="61">
        <f t="shared" si="67"/>
        <v>0.12043755966974275</v>
      </c>
      <c r="E123" s="61">
        <f t="shared" si="67"/>
        <v>0.18373246237942376</v>
      </c>
      <c r="F123" s="61">
        <f t="shared" si="67"/>
        <v>0.21961007399841442</v>
      </c>
      <c r="G123" s="62">
        <f t="shared" ref="G123:K123" si="68">AVERAGE(B123:F123)</f>
        <v>0.16040739298594242</v>
      </c>
      <c r="H123" s="62">
        <f t="shared" si="68"/>
        <v>0.16365026579495656</v>
      </c>
      <c r="I123" s="62">
        <f t="shared" si="68"/>
        <v>0.16956755096569598</v>
      </c>
      <c r="J123" s="62">
        <f t="shared" si="68"/>
        <v>0.17939354922488665</v>
      </c>
      <c r="K123" s="62">
        <f t="shared" si="68"/>
        <v>0.17852576659397917</v>
      </c>
    </row>
    <row r="126" spans="1:14">
      <c r="A126" s="8" t="s">
        <v>114</v>
      </c>
      <c r="B126" s="4" t="s">
        <v>243</v>
      </c>
      <c r="C126" s="8" t="s">
        <v>121</v>
      </c>
      <c r="E126" t="s">
        <v>125</v>
      </c>
    </row>
    <row r="127" spans="1:14" ht="15.75" thickBot="1">
      <c r="A127" s="8">
        <v>2016</v>
      </c>
      <c r="B127" s="58">
        <v>9948560</v>
      </c>
      <c r="C127" s="58">
        <v>122071108</v>
      </c>
    </row>
    <row r="128" spans="1:14">
      <c r="A128" s="8">
        <f>A127+1</f>
        <v>2017</v>
      </c>
      <c r="B128" s="58">
        <v>10898099</v>
      </c>
      <c r="C128" s="58">
        <v>134148007</v>
      </c>
      <c r="E128" s="20" t="s">
        <v>126</v>
      </c>
      <c r="F128" s="20"/>
    </row>
    <row r="129" spans="1:13">
      <c r="A129" s="8">
        <f t="shared" ref="A129:A136" si="69">A128+1</f>
        <v>2018</v>
      </c>
      <c r="B129" s="58">
        <v>11928156</v>
      </c>
      <c r="C129" s="58">
        <v>136777279</v>
      </c>
      <c r="E129" s="17" t="s">
        <v>127</v>
      </c>
      <c r="F129" s="17">
        <v>0.87461635892952205</v>
      </c>
    </row>
    <row r="130" spans="1:13">
      <c r="A130" s="8">
        <f t="shared" si="69"/>
        <v>2019</v>
      </c>
      <c r="B130" s="58">
        <v>12226288</v>
      </c>
      <c r="C130" s="58">
        <v>133930449</v>
      </c>
      <c r="E130" s="17" t="s">
        <v>128</v>
      </c>
      <c r="F130" s="17">
        <v>0.7649537753071346</v>
      </c>
    </row>
    <row r="131" spans="1:13">
      <c r="A131" s="8">
        <f t="shared" si="69"/>
        <v>2020</v>
      </c>
      <c r="B131" s="58">
        <v>12343778</v>
      </c>
      <c r="C131" s="58">
        <v>137605507</v>
      </c>
      <c r="E131" s="17" t="s">
        <v>129</v>
      </c>
      <c r="F131" s="17">
        <v>0.68660503374284609</v>
      </c>
    </row>
    <row r="132" spans="1:13">
      <c r="A132" s="8">
        <f t="shared" si="69"/>
        <v>2021</v>
      </c>
      <c r="B132" s="59">
        <f>C132*$F$143+$F$142</f>
        <v>11259526.357534304</v>
      </c>
      <c r="C132" s="58">
        <v>131439802.81135282</v>
      </c>
      <c r="E132" s="17" t="s">
        <v>130</v>
      </c>
      <c r="F132" s="17">
        <v>572767.63402744441</v>
      </c>
    </row>
    <row r="133" spans="1:13" ht="15.75" thickBot="1">
      <c r="A133" s="8">
        <f t="shared" si="69"/>
        <v>2022</v>
      </c>
      <c r="B133" s="59">
        <f t="shared" ref="B133:B136" si="70">C133*$F$143+$F$142</f>
        <v>11434473.194130495</v>
      </c>
      <c r="C133" s="58">
        <v>132664863.57994843</v>
      </c>
      <c r="E133" s="18" t="s">
        <v>131</v>
      </c>
      <c r="F133" s="18">
        <v>5</v>
      </c>
    </row>
    <row r="134" spans="1:13">
      <c r="A134" s="8">
        <f t="shared" si="69"/>
        <v>2023</v>
      </c>
      <c r="B134" s="59">
        <f t="shared" si="70"/>
        <v>11318383.932317294</v>
      </c>
      <c r="C134" s="58">
        <v>131851951.48008099</v>
      </c>
    </row>
    <row r="135" spans="1:13" ht="15.75" thickBot="1">
      <c r="A135" s="8">
        <f t="shared" si="69"/>
        <v>2024</v>
      </c>
      <c r="B135" s="59">
        <f t="shared" si="70"/>
        <v>11125179.852994978</v>
      </c>
      <c r="C135" s="58">
        <v>130499044.83417965</v>
      </c>
      <c r="E135" t="s">
        <v>132</v>
      </c>
    </row>
    <row r="136" spans="1:13">
      <c r="A136" s="8">
        <f t="shared" si="69"/>
        <v>2025</v>
      </c>
      <c r="B136" s="59">
        <f t="shared" si="70"/>
        <v>10981584.663563151</v>
      </c>
      <c r="C136" s="58">
        <v>129493523.17654589</v>
      </c>
      <c r="E136" s="19"/>
      <c r="F136" s="19" t="s">
        <v>137</v>
      </c>
      <c r="G136" s="19" t="s">
        <v>138</v>
      </c>
      <c r="H136" s="19" t="s">
        <v>139</v>
      </c>
      <c r="I136" s="19" t="s">
        <v>140</v>
      </c>
      <c r="J136" s="19" t="s">
        <v>141</v>
      </c>
    </row>
    <row r="137" spans="1:13">
      <c r="E137" s="17" t="s">
        <v>133</v>
      </c>
      <c r="F137" s="17">
        <v>1</v>
      </c>
      <c r="G137" s="17">
        <v>3203023351364.6104</v>
      </c>
      <c r="H137" s="17">
        <v>3203023351364.6104</v>
      </c>
      <c r="I137" s="17">
        <v>9.7634468663348901</v>
      </c>
      <c r="J137" s="17">
        <v>5.2282196048071619E-2</v>
      </c>
    </row>
    <row r="138" spans="1:13">
      <c r="E138" s="17" t="s">
        <v>134</v>
      </c>
      <c r="F138" s="17">
        <v>3</v>
      </c>
      <c r="G138" s="17">
        <v>984188287768.18945</v>
      </c>
      <c r="H138" s="17">
        <v>328062762589.39648</v>
      </c>
      <c r="I138" s="17"/>
      <c r="J138" s="17"/>
    </row>
    <row r="139" spans="1:13" ht="15.75" thickBot="1">
      <c r="E139" s="18" t="s">
        <v>135</v>
      </c>
      <c r="F139" s="18">
        <v>4</v>
      </c>
      <c r="G139" s="18">
        <v>4187211639132.7998</v>
      </c>
      <c r="H139" s="18"/>
      <c r="I139" s="18"/>
      <c r="J139" s="18"/>
    </row>
    <row r="140" spans="1:13" ht="15.75" thickBot="1"/>
    <row r="141" spans="1:13">
      <c r="E141" s="19"/>
      <c r="F141" s="19" t="s">
        <v>142</v>
      </c>
      <c r="G141" s="19" t="s">
        <v>130</v>
      </c>
      <c r="H141" s="19" t="s">
        <v>143</v>
      </c>
      <c r="I141" s="19" t="s">
        <v>144</v>
      </c>
      <c r="J141" s="19" t="s">
        <v>145</v>
      </c>
      <c r="K141" s="19" t="s">
        <v>146</v>
      </c>
      <c r="L141" s="19" t="s">
        <v>147</v>
      </c>
      <c r="M141" s="19" t="s">
        <v>148</v>
      </c>
    </row>
    <row r="142" spans="1:13">
      <c r="E142" s="17" t="s">
        <v>136</v>
      </c>
      <c r="F142" s="17">
        <v>-7510952.8661491089</v>
      </c>
      <c r="G142" s="17">
        <v>6079653.2162319915</v>
      </c>
      <c r="H142" s="17">
        <v>-1.2354245544952642</v>
      </c>
      <c r="I142" s="17">
        <v>0.30459903810613831</v>
      </c>
      <c r="J142" s="17">
        <v>-26859122.781552829</v>
      </c>
      <c r="K142" s="17">
        <v>11837217.049254611</v>
      </c>
      <c r="L142" s="17">
        <v>-26859122.781552829</v>
      </c>
      <c r="M142" s="17">
        <v>11837217.049254611</v>
      </c>
    </row>
    <row r="143" spans="1:13" ht="15.75" thickBot="1">
      <c r="E143" s="18" t="s">
        <v>149</v>
      </c>
      <c r="F143" s="18">
        <v>0.14280665994777461</v>
      </c>
      <c r="G143" s="18">
        <v>4.5703228311818479E-2</v>
      </c>
      <c r="H143" s="18">
        <v>3.1246514791789006</v>
      </c>
      <c r="I143" s="18">
        <v>5.2282196048071584E-2</v>
      </c>
      <c r="J143" s="18">
        <v>-2.6414101327099093E-3</v>
      </c>
      <c r="K143" s="18">
        <v>0.28825473002825913</v>
      </c>
      <c r="L143" s="18">
        <v>-2.6414101327099093E-3</v>
      </c>
      <c r="M143" s="18">
        <v>0.28825473002825913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M72"/>
  <sheetViews>
    <sheetView workbookViewId="0">
      <selection activeCell="K6" sqref="K6"/>
    </sheetView>
  </sheetViews>
  <sheetFormatPr defaultColWidth="13" defaultRowHeight="15"/>
  <cols>
    <col min="1" max="1" width="25.5703125" bestFit="1" customWidth="1"/>
    <col min="2" max="2" width="15.28515625" bestFit="1" customWidth="1"/>
    <col min="3" max="3" width="26.42578125" bestFit="1" customWidth="1"/>
    <col min="4" max="4" width="23.5703125" bestFit="1" customWidth="1"/>
    <col min="5" max="6" width="22.28515625" bestFit="1" customWidth="1"/>
    <col min="7" max="13" width="15.28515625" bestFit="1" customWidth="1"/>
  </cols>
  <sheetData>
    <row r="2" spans="1:13">
      <c r="A2" s="4" t="s">
        <v>221</v>
      </c>
      <c r="B2" s="4"/>
    </row>
    <row r="3" spans="1:13">
      <c r="A3" t="s">
        <v>222</v>
      </c>
      <c r="C3" s="4">
        <v>2016</v>
      </c>
      <c r="D3" s="4">
        <f>C3+1</f>
        <v>2017</v>
      </c>
      <c r="E3" s="4">
        <f t="shared" ref="E3:K3" si="0">D3+1</f>
        <v>2018</v>
      </c>
      <c r="F3" s="4">
        <f t="shared" si="0"/>
        <v>2019</v>
      </c>
      <c r="G3" s="4">
        <f t="shared" si="0"/>
        <v>2020</v>
      </c>
      <c r="H3" s="4">
        <f t="shared" si="0"/>
        <v>2021</v>
      </c>
      <c r="I3" s="4">
        <f t="shared" si="0"/>
        <v>2022</v>
      </c>
      <c r="J3" s="4">
        <f t="shared" si="0"/>
        <v>2023</v>
      </c>
      <c r="K3" s="4">
        <f t="shared" si="0"/>
        <v>2024</v>
      </c>
      <c r="L3" s="4">
        <f>K3+1</f>
        <v>2025</v>
      </c>
    </row>
    <row r="4" spans="1:13">
      <c r="A4" t="s">
        <v>223</v>
      </c>
      <c r="C4" s="1">
        <v>117206357</v>
      </c>
      <c r="D4" s="1">
        <v>129066949</v>
      </c>
      <c r="E4" s="1">
        <v>134460917</v>
      </c>
      <c r="F4" s="1">
        <v>131767322</v>
      </c>
      <c r="G4" s="1">
        <v>135608371</v>
      </c>
      <c r="H4" s="13">
        <v>129621983.19999981</v>
      </c>
      <c r="I4" s="13">
        <v>131805789.04999971</v>
      </c>
      <c r="J4" s="13">
        <v>132054237.67000008</v>
      </c>
      <c r="K4" s="13">
        <v>131273582.41399956</v>
      </c>
      <c r="L4" s="13">
        <v>130875515.10680008</v>
      </c>
      <c r="M4" s="13">
        <v>131126221.48816013</v>
      </c>
    </row>
    <row r="5" spans="1:13">
      <c r="A5" t="s">
        <v>224</v>
      </c>
      <c r="C5" s="1">
        <v>4864751</v>
      </c>
      <c r="D5" s="1">
        <v>5081058</v>
      </c>
      <c r="E5" s="1">
        <v>2316362</v>
      </c>
      <c r="F5" s="1">
        <v>2163127</v>
      </c>
      <c r="G5" s="1">
        <v>1997136</v>
      </c>
      <c r="H5" s="13">
        <v>1817819.6113530099</v>
      </c>
      <c r="I5" s="13">
        <v>859074.52994870394</v>
      </c>
      <c r="J5" s="13">
        <v>-202286.18991907686</v>
      </c>
      <c r="K5" s="13">
        <v>-774537.5798199065</v>
      </c>
      <c r="L5" s="13">
        <v>-1381991.9302541874</v>
      </c>
      <c r="M5" s="13">
        <v>63615.688261710107</v>
      </c>
    </row>
    <row r="6" spans="1:13">
      <c r="C6" s="5">
        <f>SUM(C4:C5)</f>
        <v>122071108</v>
      </c>
      <c r="D6" s="5">
        <f t="shared" ref="D6:M6" si="1">SUM(D4:D5)</f>
        <v>134148007</v>
      </c>
      <c r="E6" s="5">
        <f t="shared" si="1"/>
        <v>136777279</v>
      </c>
      <c r="F6" s="5">
        <f t="shared" si="1"/>
        <v>133930449</v>
      </c>
      <c r="G6" s="5">
        <f t="shared" si="1"/>
        <v>137605507</v>
      </c>
      <c r="H6" s="5">
        <f t="shared" si="1"/>
        <v>131439802.81135282</v>
      </c>
      <c r="I6" s="5">
        <f t="shared" si="1"/>
        <v>132664863.57994843</v>
      </c>
      <c r="J6" s="5">
        <f t="shared" si="1"/>
        <v>131851951.48008099</v>
      </c>
      <c r="K6" s="5">
        <f t="shared" si="1"/>
        <v>130499044.83417965</v>
      </c>
      <c r="L6" s="5">
        <f t="shared" si="1"/>
        <v>129493523.17654589</v>
      </c>
      <c r="M6" s="5">
        <f t="shared" si="1"/>
        <v>131189837.17642185</v>
      </c>
    </row>
    <row r="8" spans="1:13">
      <c r="A8" t="s">
        <v>225</v>
      </c>
      <c r="C8" s="1">
        <v>2534350</v>
      </c>
      <c r="D8" s="1">
        <v>2044908</v>
      </c>
      <c r="E8" s="1">
        <v>2947585</v>
      </c>
      <c r="F8" s="1">
        <v>3985256</v>
      </c>
      <c r="G8" s="1">
        <v>4689252</v>
      </c>
      <c r="H8" s="1">
        <f>AVERAGE(C8:G8)</f>
        <v>3240270.2</v>
      </c>
      <c r="I8" s="1">
        <f t="shared" ref="I8:L8" si="2">AVERAGE(D8:H8)</f>
        <v>3381454.2399999998</v>
      </c>
      <c r="J8" s="1">
        <f t="shared" si="2"/>
        <v>3648763.4879999994</v>
      </c>
      <c r="K8" s="1">
        <f t="shared" si="2"/>
        <v>3788999.1856</v>
      </c>
      <c r="L8" s="1">
        <f t="shared" si="2"/>
        <v>3749747.8227200001</v>
      </c>
    </row>
    <row r="9" spans="1:13">
      <c r="A9" t="s">
        <v>226</v>
      </c>
      <c r="K9" s="1"/>
    </row>
    <row r="10" spans="1:13">
      <c r="A10" t="s">
        <v>227</v>
      </c>
      <c r="B10" s="56">
        <f>AVERAGE(C10:G10)/AVERAGE(C6:G6)</f>
        <v>-5.7823186485955122E-2</v>
      </c>
      <c r="C10" s="2">
        <v>-5697110</v>
      </c>
      <c r="D10" s="2">
        <v>-6531304</v>
      </c>
      <c r="E10" s="2">
        <v>-6988761</v>
      </c>
      <c r="F10" s="2">
        <v>-9035490</v>
      </c>
      <c r="G10" s="2">
        <v>-10172713</v>
      </c>
      <c r="H10" s="6">
        <f>H6*$B$10</f>
        <v>-7600268.2296380224</v>
      </c>
      <c r="I10" s="6">
        <f t="shared" ref="I10:L10" si="3">I6*$B$10</f>
        <v>-7671105.1469171541</v>
      </c>
      <c r="J10" s="6">
        <f t="shared" si="3"/>
        <v>-7624099.9789698301</v>
      </c>
      <c r="K10" s="6">
        <f t="shared" si="3"/>
        <v>-7545870.6056857882</v>
      </c>
      <c r="L10" s="6">
        <f t="shared" si="3"/>
        <v>-7487728.139360765</v>
      </c>
    </row>
    <row r="11" spans="1:13">
      <c r="A11" t="s">
        <v>228</v>
      </c>
      <c r="B11" s="56">
        <f>AVERAGE(C11:G11)/AVERAGE(C6:G6)</f>
        <v>-7.2746554776452949E-2</v>
      </c>
      <c r="C11" s="2">
        <v>-6515694</v>
      </c>
      <c r="D11" s="2">
        <v>-7446913</v>
      </c>
      <c r="E11" s="2">
        <v>-8121318</v>
      </c>
      <c r="F11" s="2">
        <v>-12917742</v>
      </c>
      <c r="G11" s="2">
        <v>-13340772</v>
      </c>
      <c r="H11" s="6">
        <f>H6*$B$11</f>
        <v>-9561792.8150222525</v>
      </c>
      <c r="I11" s="6">
        <f t="shared" ref="I11:L11" si="4">I6*$B$11</f>
        <v>-9650911.7653293759</v>
      </c>
      <c r="J11" s="6">
        <f t="shared" si="4"/>
        <v>-9591775.2107279282</v>
      </c>
      <c r="K11" s="6">
        <f t="shared" si="4"/>
        <v>-9493355.9133044388</v>
      </c>
      <c r="L11" s="6">
        <f t="shared" si="4"/>
        <v>-9420207.6769584753</v>
      </c>
    </row>
    <row r="12" spans="1:13">
      <c r="C12" s="54">
        <f>SUM(C6:C11)</f>
        <v>112392654</v>
      </c>
      <c r="D12" s="54">
        <f t="shared" ref="D12:L12" si="5">SUM(D6:D11)</f>
        <v>122214698</v>
      </c>
      <c r="E12" s="54">
        <f t="shared" si="5"/>
        <v>124614785</v>
      </c>
      <c r="F12" s="54">
        <f t="shared" si="5"/>
        <v>115962473</v>
      </c>
      <c r="G12" s="54">
        <f t="shared" si="5"/>
        <v>118781274</v>
      </c>
      <c r="H12" s="54">
        <f t="shared" si="5"/>
        <v>117518011.96669254</v>
      </c>
      <c r="I12" s="54">
        <f t="shared" si="5"/>
        <v>118724300.90770191</v>
      </c>
      <c r="J12" s="54">
        <f t="shared" si="5"/>
        <v>118284839.77838324</v>
      </c>
      <c r="K12" s="54">
        <f t="shared" si="5"/>
        <v>117248817.50078943</v>
      </c>
      <c r="L12" s="54">
        <f t="shared" si="5"/>
        <v>116335335.18294665</v>
      </c>
    </row>
    <row r="13" spans="1:13">
      <c r="I13" s="2"/>
      <c r="J13" s="2"/>
    </row>
    <row r="14" spans="1:13">
      <c r="I14" s="2"/>
      <c r="J14" s="2"/>
    </row>
    <row r="15" spans="1:13">
      <c r="I15" s="1"/>
      <c r="J15" s="1"/>
    </row>
    <row r="16" spans="1:13">
      <c r="A16" s="8" t="s">
        <v>114</v>
      </c>
      <c r="B16" s="8" t="s">
        <v>230</v>
      </c>
      <c r="C16" s="8" t="s">
        <v>231</v>
      </c>
      <c r="D16" s="8" t="s">
        <v>122</v>
      </c>
      <c r="E16" s="8" t="s">
        <v>123</v>
      </c>
      <c r="F16" s="8" t="s">
        <v>124</v>
      </c>
      <c r="G16" s="8" t="s">
        <v>229</v>
      </c>
    </row>
    <row r="17" spans="1:7">
      <c r="A17" s="4">
        <v>2016</v>
      </c>
      <c r="B17" s="13">
        <v>117206357</v>
      </c>
      <c r="C17" s="13">
        <v>4864751</v>
      </c>
      <c r="D17" s="14">
        <v>5.3699999999999998E-2</v>
      </c>
      <c r="E17" s="14">
        <v>4.1500000000000002E-2</v>
      </c>
      <c r="F17" s="15">
        <v>197260000</v>
      </c>
      <c r="G17">
        <v>101.85</v>
      </c>
    </row>
    <row r="18" spans="1:7">
      <c r="A18" s="4">
        <v>2017</v>
      </c>
      <c r="B18" s="13">
        <v>129066949</v>
      </c>
      <c r="C18" s="13">
        <v>5081058</v>
      </c>
      <c r="D18" s="14">
        <v>5.2299999999999999E-2</v>
      </c>
      <c r="E18" s="14">
        <v>3.9300000000000002E-2</v>
      </c>
      <c r="F18" s="15">
        <v>200960000</v>
      </c>
      <c r="G18">
        <v>104.73</v>
      </c>
    </row>
    <row r="19" spans="1:7">
      <c r="A19" s="4">
        <v>2018</v>
      </c>
      <c r="B19" s="13">
        <v>134460917</v>
      </c>
      <c r="C19" s="13">
        <v>2316362</v>
      </c>
      <c r="D19" s="14">
        <v>2.9100000000000001E-2</v>
      </c>
      <c r="E19" s="14">
        <v>7.6399999999999996E-2</v>
      </c>
      <c r="F19" s="15">
        <v>204730000</v>
      </c>
      <c r="G19">
        <v>104.86</v>
      </c>
    </row>
    <row r="20" spans="1:7">
      <c r="A20" s="4">
        <v>2019</v>
      </c>
      <c r="B20" s="13">
        <v>131767322</v>
      </c>
      <c r="C20" s="13">
        <v>2163127</v>
      </c>
      <c r="D20" s="14">
        <v>2.81E-2</v>
      </c>
      <c r="E20" s="14">
        <v>6.9800000000000001E-2</v>
      </c>
      <c r="F20" s="16">
        <v>208570000</v>
      </c>
      <c r="G20">
        <v>121.735</v>
      </c>
    </row>
    <row r="21" spans="1:7">
      <c r="A21" s="4">
        <v>2020</v>
      </c>
      <c r="B21" s="13">
        <v>135608371</v>
      </c>
      <c r="C21" s="13">
        <v>1997136</v>
      </c>
      <c r="D21" s="14">
        <v>4.0800000000000003E-2</v>
      </c>
      <c r="E21" s="14">
        <v>5.6750000000000002E-2</v>
      </c>
      <c r="F21" s="16">
        <v>202880000</v>
      </c>
      <c r="G21">
        <v>163.125</v>
      </c>
    </row>
    <row r="22" spans="1:7">
      <c r="A22" s="4">
        <v>2021</v>
      </c>
      <c r="B22" s="21">
        <f>D22*$B$47+E22*$B$48+F22*$B$49+$B$46</f>
        <v>129621983.19999981</v>
      </c>
      <c r="C22" s="21">
        <f>D22*$B$69+$B$70*E22+F22*$B$71+G22*$B$72+$B$68</f>
        <v>1817819.6113530099</v>
      </c>
      <c r="D22" s="14">
        <f>AVERAGE(D17:D21)</f>
        <v>4.0800000000000003E-2</v>
      </c>
      <c r="E22" s="14">
        <f t="shared" ref="E22:F22" si="6">AVERAGE(E17:E21)</f>
        <v>5.6750000000000002E-2</v>
      </c>
      <c r="F22" s="16">
        <f t="shared" si="6"/>
        <v>202880000</v>
      </c>
      <c r="G22">
        <v>169.23500000000001</v>
      </c>
    </row>
    <row r="23" spans="1:7">
      <c r="A23" s="4">
        <v>2022</v>
      </c>
      <c r="B23" s="21">
        <f t="shared" ref="B23:B27" si="7">D23*$B$47+E23*$B$48+F23*$B$49+$B$46</f>
        <v>131805789.04999971</v>
      </c>
      <c r="C23" s="21">
        <f t="shared" ref="C23:C27" si="8">D23*$B$69+$B$70*E23+F23*$B$71+G23*$B$72+$B$68</f>
        <v>859074.52994870394</v>
      </c>
      <c r="D23" s="14">
        <f t="shared" ref="D23:F27" si="9">AVERAGE(D18:D22)</f>
        <v>3.8219999999999997E-2</v>
      </c>
      <c r="E23" s="14">
        <f t="shared" si="9"/>
        <v>5.9799999999999999E-2</v>
      </c>
      <c r="F23" s="16">
        <f t="shared" si="9"/>
        <v>204004000</v>
      </c>
      <c r="G23">
        <v>194.61600000000001</v>
      </c>
    </row>
    <row r="24" spans="1:7">
      <c r="A24" s="4">
        <v>2023</v>
      </c>
      <c r="B24" s="21">
        <f t="shared" si="7"/>
        <v>132054237.67000008</v>
      </c>
      <c r="C24" s="21">
        <f t="shared" si="8"/>
        <v>-202286.18991907686</v>
      </c>
      <c r="D24" s="14">
        <f t="shared" si="9"/>
        <v>3.5404000000000005E-2</v>
      </c>
      <c r="E24" s="14">
        <f t="shared" si="9"/>
        <v>6.3899999999999998E-2</v>
      </c>
      <c r="F24" s="16">
        <f t="shared" si="9"/>
        <v>204612800</v>
      </c>
      <c r="G24">
        <v>219.98599999999999</v>
      </c>
    </row>
    <row r="25" spans="1:7">
      <c r="A25" s="4">
        <v>2024</v>
      </c>
      <c r="B25" s="21">
        <f t="shared" si="7"/>
        <v>131273582.41399956</v>
      </c>
      <c r="C25" s="21">
        <f t="shared" si="8"/>
        <v>-774537.5798199065</v>
      </c>
      <c r="D25" s="14">
        <f t="shared" si="9"/>
        <v>3.6664799999999997E-2</v>
      </c>
      <c r="E25" s="14">
        <f t="shared" si="9"/>
        <v>6.1399999999999996E-2</v>
      </c>
      <c r="F25" s="16">
        <f t="shared" si="9"/>
        <v>204589360</v>
      </c>
      <c r="G25">
        <v>245.346</v>
      </c>
    </row>
    <row r="26" spans="1:7">
      <c r="A26" s="4">
        <v>2025</v>
      </c>
      <c r="B26" s="21">
        <f t="shared" si="7"/>
        <v>130875515.10680008</v>
      </c>
      <c r="C26" s="21">
        <f t="shared" si="8"/>
        <v>-1381991.9302541874</v>
      </c>
      <c r="D26" s="14">
        <f t="shared" si="9"/>
        <v>3.8377760000000004E-2</v>
      </c>
      <c r="E26" s="14">
        <f t="shared" si="9"/>
        <v>5.9720000000000009E-2</v>
      </c>
      <c r="F26" s="16">
        <f t="shared" si="9"/>
        <v>203793232</v>
      </c>
      <c r="G26">
        <v>270.74700000000001</v>
      </c>
    </row>
    <row r="27" spans="1:7">
      <c r="A27" s="4">
        <f>A26+1</f>
        <v>2026</v>
      </c>
      <c r="B27" s="21">
        <f t="shared" si="7"/>
        <v>131126221.48816013</v>
      </c>
      <c r="C27" s="21">
        <f t="shared" si="8"/>
        <v>63615.688261710107</v>
      </c>
      <c r="D27" s="14">
        <f t="shared" si="9"/>
        <v>3.7893312000000005E-2</v>
      </c>
      <c r="E27" s="14">
        <f t="shared" si="9"/>
        <v>6.0314E-2</v>
      </c>
      <c r="F27" s="16">
        <f t="shared" si="9"/>
        <v>203975878.40000001</v>
      </c>
      <c r="G27">
        <f>AVERAGE(G22:G26)</f>
        <v>219.98600000000002</v>
      </c>
    </row>
    <row r="30" spans="1:7">
      <c r="A30" s="4" t="s">
        <v>232</v>
      </c>
    </row>
    <row r="31" spans="1:7" ht="15.75" thickBot="1"/>
    <row r="32" spans="1:7">
      <c r="A32" s="20" t="s">
        <v>126</v>
      </c>
      <c r="B32" s="20"/>
    </row>
    <row r="33" spans="1:9">
      <c r="A33" s="17" t="s">
        <v>127</v>
      </c>
      <c r="B33" s="17">
        <v>0.89151878141538743</v>
      </c>
    </row>
    <row r="34" spans="1:9">
      <c r="A34" s="17" t="s">
        <v>128</v>
      </c>
      <c r="B34" s="17">
        <v>0.79480573761637741</v>
      </c>
    </row>
    <row r="35" spans="1:9">
      <c r="A35" s="17" t="s">
        <v>129</v>
      </c>
      <c r="B35" s="17">
        <v>0.17922295046550962</v>
      </c>
    </row>
    <row r="36" spans="1:9">
      <c r="A36" s="17" t="s">
        <v>130</v>
      </c>
      <c r="B36" s="17">
        <v>6692985.0302376766</v>
      </c>
    </row>
    <row r="37" spans="1:9" ht="15.75" thickBot="1">
      <c r="A37" s="18" t="s">
        <v>131</v>
      </c>
      <c r="B37" s="18">
        <v>5</v>
      </c>
    </row>
    <row r="39" spans="1:9" ht="15.75" thickBot="1">
      <c r="A39" t="s">
        <v>132</v>
      </c>
    </row>
    <row r="40" spans="1:9">
      <c r="A40" s="19"/>
      <c r="B40" s="19" t="s">
        <v>137</v>
      </c>
      <c r="C40" s="19" t="s">
        <v>138</v>
      </c>
      <c r="D40" s="19" t="s">
        <v>139</v>
      </c>
      <c r="E40" s="19" t="s">
        <v>140</v>
      </c>
      <c r="F40" s="19" t="s">
        <v>141</v>
      </c>
    </row>
    <row r="41" spans="1:9">
      <c r="A41" s="17" t="s">
        <v>133</v>
      </c>
      <c r="B41" s="17">
        <v>3</v>
      </c>
      <c r="C41" s="17">
        <v>173514386065867.19</v>
      </c>
      <c r="D41" s="17">
        <v>57838128688622.398</v>
      </c>
      <c r="E41" s="17">
        <v>1.2911435378091316</v>
      </c>
      <c r="F41" s="17">
        <v>0.55637563758517949</v>
      </c>
    </row>
    <row r="42" spans="1:9">
      <c r="A42" s="17" t="s">
        <v>134</v>
      </c>
      <c r="B42" s="17">
        <v>1</v>
      </c>
      <c r="C42" s="17">
        <v>44796048614985.633</v>
      </c>
      <c r="D42" s="17">
        <v>44796048614985.633</v>
      </c>
      <c r="E42" s="17"/>
      <c r="F42" s="17"/>
    </row>
    <row r="43" spans="1:9" ht="15.75" thickBot="1">
      <c r="A43" s="18" t="s">
        <v>135</v>
      </c>
      <c r="B43" s="18">
        <v>4</v>
      </c>
      <c r="C43" s="18">
        <v>218310434680852.81</v>
      </c>
      <c r="D43" s="18"/>
      <c r="E43" s="18"/>
      <c r="F43" s="18"/>
    </row>
    <row r="44" spans="1:9" ht="15.75" thickBot="1"/>
    <row r="45" spans="1:9">
      <c r="A45" s="19"/>
      <c r="B45" s="19" t="s">
        <v>142</v>
      </c>
      <c r="C45" s="19" t="s">
        <v>130</v>
      </c>
      <c r="D45" s="19" t="s">
        <v>143</v>
      </c>
      <c r="E45" s="19" t="s">
        <v>144</v>
      </c>
      <c r="F45" s="19" t="s">
        <v>145</v>
      </c>
      <c r="G45" s="19" t="s">
        <v>146</v>
      </c>
      <c r="H45" s="19" t="s">
        <v>147</v>
      </c>
      <c r="I45" s="19" t="s">
        <v>148</v>
      </c>
    </row>
    <row r="46" spans="1:9">
      <c r="A46" s="17" t="s">
        <v>136</v>
      </c>
      <c r="B46" s="17">
        <v>-2244097909.440093</v>
      </c>
      <c r="C46" s="17">
        <v>2003359973.4185085</v>
      </c>
      <c r="D46" s="17">
        <v>-1.1201670888985529</v>
      </c>
      <c r="E46" s="17">
        <v>0.46395614974386579</v>
      </c>
      <c r="F46" s="17">
        <v>-27699199891.953182</v>
      </c>
      <c r="G46" s="17">
        <v>23211004073.072994</v>
      </c>
      <c r="H46" s="17">
        <v>-27699199891.953182</v>
      </c>
      <c r="I46" s="17">
        <v>23211004073.072994</v>
      </c>
    </row>
    <row r="47" spans="1:9">
      <c r="A47" s="17" t="s">
        <v>149</v>
      </c>
      <c r="B47" s="17">
        <v>8128164618.7986021</v>
      </c>
      <c r="C47" s="17">
        <v>7494580692.3262558</v>
      </c>
      <c r="D47" s="17">
        <v>1.084538942534981</v>
      </c>
      <c r="E47" s="17">
        <v>0.47419588360248649</v>
      </c>
      <c r="F47" s="17">
        <v>-87099512069.680786</v>
      </c>
      <c r="G47" s="17">
        <v>103355841307.27798</v>
      </c>
      <c r="H47" s="17">
        <v>-87099512069.680786</v>
      </c>
      <c r="I47" s="17">
        <v>103355841307.27798</v>
      </c>
    </row>
    <row r="48" spans="1:9">
      <c r="A48" s="17" t="s">
        <v>150</v>
      </c>
      <c r="B48" s="17">
        <v>4328435930.4474525</v>
      </c>
      <c r="C48" s="17">
        <v>3942530200.5551028</v>
      </c>
      <c r="D48" s="17">
        <v>1.0978827580922563</v>
      </c>
      <c r="E48" s="17">
        <v>0.47031819842036426</v>
      </c>
      <c r="F48" s="17">
        <v>-45766159976.357605</v>
      </c>
      <c r="G48" s="17">
        <v>54423031837.252518</v>
      </c>
      <c r="H48" s="17">
        <v>-45766159976.357605</v>
      </c>
      <c r="I48" s="17">
        <v>54423031837.252518</v>
      </c>
    </row>
    <row r="49" spans="1:9" ht="15.75" thickBot="1">
      <c r="A49" s="18" t="s">
        <v>151</v>
      </c>
      <c r="B49" s="18">
        <v>8.8547517603520163</v>
      </c>
      <c r="C49" s="18">
        <v>7.3160401719134418</v>
      </c>
      <c r="D49" s="18">
        <v>1.2103202760348073</v>
      </c>
      <c r="E49" s="18">
        <v>0.43960507620224293</v>
      </c>
      <c r="F49" s="18">
        <v>-84.104352522058974</v>
      </c>
      <c r="G49" s="18">
        <v>101.81385604276301</v>
      </c>
      <c r="H49" s="18">
        <v>-84.104352522058974</v>
      </c>
      <c r="I49" s="18">
        <v>101.81385604276301</v>
      </c>
    </row>
    <row r="52" spans="1:9">
      <c r="A52" s="4" t="s">
        <v>234</v>
      </c>
    </row>
    <row r="53" spans="1:9" ht="15.75" thickBot="1"/>
    <row r="54" spans="1:9">
      <c r="A54" s="20" t="s">
        <v>126</v>
      </c>
      <c r="B54" s="20"/>
    </row>
    <row r="55" spans="1:9">
      <c r="A55" s="17" t="s">
        <v>127</v>
      </c>
      <c r="B55" s="17">
        <v>1</v>
      </c>
    </row>
    <row r="56" spans="1:9">
      <c r="A56" s="17" t="s">
        <v>128</v>
      </c>
      <c r="B56" s="17">
        <v>1</v>
      </c>
    </row>
    <row r="57" spans="1:9">
      <c r="A57" s="17" t="s">
        <v>129</v>
      </c>
      <c r="B57" s="17">
        <v>65535</v>
      </c>
    </row>
    <row r="58" spans="1:9">
      <c r="A58" s="17" t="s">
        <v>130</v>
      </c>
      <c r="B58" s="17">
        <v>0</v>
      </c>
    </row>
    <row r="59" spans="1:9" ht="15.75" thickBot="1">
      <c r="A59" s="18" t="s">
        <v>131</v>
      </c>
      <c r="B59" s="18">
        <v>5</v>
      </c>
    </row>
    <row r="61" spans="1:9" ht="15.75" thickBot="1">
      <c r="A61" t="s">
        <v>132</v>
      </c>
    </row>
    <row r="62" spans="1:9">
      <c r="A62" s="19"/>
      <c r="B62" s="19" t="s">
        <v>137</v>
      </c>
      <c r="C62" s="19" t="s">
        <v>138</v>
      </c>
      <c r="D62" s="19" t="s">
        <v>139</v>
      </c>
      <c r="E62" s="19" t="s">
        <v>140</v>
      </c>
      <c r="F62" s="19" t="s">
        <v>141</v>
      </c>
    </row>
    <row r="63" spans="1:9">
      <c r="A63" s="17" t="s">
        <v>133</v>
      </c>
      <c r="B63" s="17">
        <v>4</v>
      </c>
      <c r="C63" s="17">
        <v>9576888530162.7988</v>
      </c>
      <c r="D63" s="17">
        <v>2394222132540.6997</v>
      </c>
      <c r="E63" s="17" t="e">
        <v>#NUM!</v>
      </c>
      <c r="F63" s="17" t="e">
        <v>#NUM!</v>
      </c>
    </row>
    <row r="64" spans="1:9">
      <c r="A64" s="17" t="s">
        <v>134</v>
      </c>
      <c r="B64" s="17">
        <v>0</v>
      </c>
      <c r="C64" s="17">
        <v>0</v>
      </c>
      <c r="D64" s="17">
        <v>65535</v>
      </c>
      <c r="E64" s="17"/>
      <c r="F64" s="17"/>
    </row>
    <row r="65" spans="1:9" ht="15.75" thickBot="1">
      <c r="A65" s="18" t="s">
        <v>135</v>
      </c>
      <c r="B65" s="18">
        <v>4</v>
      </c>
      <c r="C65" s="18">
        <v>9576888530162.7988</v>
      </c>
      <c r="D65" s="18"/>
      <c r="E65" s="18"/>
      <c r="F65" s="18"/>
    </row>
    <row r="66" spans="1:9" ht="15.75" thickBot="1"/>
    <row r="67" spans="1:9">
      <c r="A67" s="19"/>
      <c r="B67" s="19" t="s">
        <v>142</v>
      </c>
      <c r="C67" s="19" t="s">
        <v>130</v>
      </c>
      <c r="D67" s="19" t="s">
        <v>143</v>
      </c>
      <c r="E67" s="19" t="s">
        <v>144</v>
      </c>
      <c r="F67" s="19" t="s">
        <v>145</v>
      </c>
      <c r="G67" s="19" t="s">
        <v>146</v>
      </c>
      <c r="H67" s="19" t="s">
        <v>147</v>
      </c>
      <c r="I67" s="19" t="s">
        <v>148</v>
      </c>
    </row>
    <row r="68" spans="1:9">
      <c r="A68" s="17" t="s">
        <v>136</v>
      </c>
      <c r="B68" s="17">
        <v>-30062975.623428605</v>
      </c>
      <c r="C68" s="17">
        <v>0</v>
      </c>
      <c r="D68" s="17">
        <v>65535</v>
      </c>
      <c r="E68" s="17" t="e">
        <v>#NUM!</v>
      </c>
      <c r="F68" s="17">
        <v>-30062975.623428605</v>
      </c>
      <c r="G68" s="17">
        <v>-30062975.623428605</v>
      </c>
      <c r="H68" s="17">
        <v>-30062975.623428605</v>
      </c>
      <c r="I68" s="17">
        <v>-30062975.623428605</v>
      </c>
    </row>
    <row r="69" spans="1:9">
      <c r="A69" s="17" t="s">
        <v>149</v>
      </c>
      <c r="B69" s="17">
        <v>158445214.49012348</v>
      </c>
      <c r="C69" s="17">
        <v>0</v>
      </c>
      <c r="D69" s="17">
        <v>65535</v>
      </c>
      <c r="E69" s="17" t="e">
        <v>#NUM!</v>
      </c>
      <c r="F69" s="17">
        <v>158445214.49012348</v>
      </c>
      <c r="G69" s="17">
        <v>158445214.49012348</v>
      </c>
      <c r="H69" s="17">
        <v>158445214.49012348</v>
      </c>
      <c r="I69" s="17">
        <v>158445214.49012348</v>
      </c>
    </row>
    <row r="70" spans="1:9">
      <c r="A70" s="17" t="s">
        <v>150</v>
      </c>
      <c r="B70" s="17">
        <v>9722720.854321057</v>
      </c>
      <c r="C70" s="17">
        <v>0</v>
      </c>
      <c r="D70" s="17">
        <v>65535</v>
      </c>
      <c r="E70" s="17" t="e">
        <v>#NUM!</v>
      </c>
      <c r="F70" s="17">
        <v>9722720.854321057</v>
      </c>
      <c r="G70" s="17">
        <v>9722720.854321057</v>
      </c>
      <c r="H70" s="17">
        <v>9722720.854321057</v>
      </c>
      <c r="I70" s="17">
        <v>9722720.854321057</v>
      </c>
    </row>
    <row r="71" spans="1:9">
      <c r="A71" s="17" t="s">
        <v>151</v>
      </c>
      <c r="B71" s="17">
        <v>0.14703853442631096</v>
      </c>
      <c r="C71" s="17">
        <v>0</v>
      </c>
      <c r="D71" s="17">
        <v>65535</v>
      </c>
      <c r="E71" s="17" t="e">
        <v>#NUM!</v>
      </c>
      <c r="F71" s="17">
        <v>0.14703853442631096</v>
      </c>
      <c r="G71" s="17">
        <v>0.14703853442631096</v>
      </c>
      <c r="H71" s="17">
        <v>0.14703853442631096</v>
      </c>
      <c r="I71" s="17">
        <v>0.14703853442631096</v>
      </c>
    </row>
    <row r="72" spans="1:9" ht="15.75" thickBot="1">
      <c r="A72" s="18" t="s">
        <v>233</v>
      </c>
      <c r="B72" s="18">
        <v>-29348.017781830629</v>
      </c>
      <c r="C72" s="18">
        <v>0</v>
      </c>
      <c r="D72" s="18">
        <v>65535</v>
      </c>
      <c r="E72" s="18" t="e">
        <v>#NUM!</v>
      </c>
      <c r="F72" s="18">
        <v>-29348.017781830629</v>
      </c>
      <c r="G72" s="18">
        <v>-29348.017781830629</v>
      </c>
      <c r="H72" s="18">
        <v>-29348.017781830629</v>
      </c>
      <c r="I72" s="18">
        <v>-29348.017781830629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P41"/>
  <sheetViews>
    <sheetView workbookViewId="0">
      <selection activeCell="E6" sqref="E6"/>
    </sheetView>
  </sheetViews>
  <sheetFormatPr defaultRowHeight="15"/>
  <cols>
    <col min="1" max="1" width="9.140625" style="7"/>
    <col min="2" max="2" width="8.28515625" style="7" customWidth="1"/>
    <col min="3" max="3" width="15.28515625" style="7" bestFit="1" customWidth="1"/>
    <col min="4" max="4" width="25.5703125" style="7" bestFit="1" customWidth="1"/>
    <col min="5" max="5" width="13.85546875" style="7" bestFit="1" customWidth="1"/>
    <col min="6" max="6" width="23" style="7" bestFit="1" customWidth="1"/>
    <col min="7" max="16384" width="9.140625" style="7"/>
  </cols>
  <sheetData>
    <row r="1" spans="2:16">
      <c r="H1"/>
      <c r="I1"/>
      <c r="J1"/>
      <c r="K1"/>
      <c r="L1"/>
      <c r="M1"/>
      <c r="N1"/>
      <c r="O1"/>
      <c r="P1"/>
    </row>
    <row r="2" spans="2:16">
      <c r="B2" s="4" t="s">
        <v>114</v>
      </c>
      <c r="C2" s="4" t="s">
        <v>152</v>
      </c>
      <c r="D2" s="4" t="s">
        <v>121</v>
      </c>
      <c r="H2" t="s">
        <v>125</v>
      </c>
      <c r="I2"/>
      <c r="J2"/>
      <c r="K2"/>
      <c r="L2"/>
      <c r="M2"/>
      <c r="N2"/>
      <c r="O2"/>
      <c r="P2"/>
    </row>
    <row r="3" spans="2:16" ht="15.75" thickBot="1">
      <c r="B3" s="4">
        <v>2016</v>
      </c>
      <c r="C3" s="13">
        <v>-72609392</v>
      </c>
      <c r="D3" s="21">
        <v>112392654</v>
      </c>
      <c r="H3"/>
      <c r="I3"/>
      <c r="J3"/>
      <c r="K3"/>
      <c r="L3"/>
      <c r="M3"/>
      <c r="N3"/>
      <c r="P3"/>
    </row>
    <row r="4" spans="2:16">
      <c r="B4" s="4">
        <v>2017</v>
      </c>
      <c r="C4" s="13">
        <v>-77458749</v>
      </c>
      <c r="D4" s="21">
        <v>122214698</v>
      </c>
      <c r="H4" s="20" t="s">
        <v>126</v>
      </c>
      <c r="I4" s="20"/>
      <c r="J4"/>
      <c r="K4"/>
      <c r="L4"/>
      <c r="M4"/>
      <c r="N4"/>
      <c r="P4"/>
    </row>
    <row r="5" spans="2:16">
      <c r="B5" s="4">
        <v>2018</v>
      </c>
      <c r="C5" s="13">
        <v>-83242655</v>
      </c>
      <c r="D5" s="21">
        <v>124614785</v>
      </c>
      <c r="H5" s="17" t="s">
        <v>127</v>
      </c>
      <c r="I5" s="17">
        <v>0.52915352051853981</v>
      </c>
      <c r="J5"/>
      <c r="K5"/>
      <c r="L5"/>
      <c r="M5"/>
      <c r="N5"/>
      <c r="P5"/>
    </row>
    <row r="6" spans="2:16">
      <c r="B6" s="4">
        <v>2019</v>
      </c>
      <c r="C6" s="13">
        <v>-82613501</v>
      </c>
      <c r="D6" s="21">
        <v>115962473</v>
      </c>
      <c r="H6" s="17" t="s">
        <v>128</v>
      </c>
      <c r="I6" s="17">
        <v>0.28000344827716478</v>
      </c>
      <c r="J6"/>
      <c r="K6"/>
      <c r="L6"/>
      <c r="M6"/>
      <c r="N6"/>
      <c r="P6"/>
    </row>
    <row r="7" spans="2:16">
      <c r="B7" s="4">
        <v>2020</v>
      </c>
      <c r="C7" s="13">
        <v>-84016549</v>
      </c>
      <c r="D7" s="21">
        <v>118781274</v>
      </c>
      <c r="H7" s="17" t="s">
        <v>129</v>
      </c>
      <c r="I7" s="17">
        <v>4.000459770288637E-2</v>
      </c>
      <c r="J7"/>
      <c r="K7"/>
      <c r="L7"/>
      <c r="M7"/>
      <c r="N7"/>
      <c r="P7"/>
    </row>
    <row r="8" spans="2:16">
      <c r="B8" s="4">
        <v>2021</v>
      </c>
      <c r="C8" s="21">
        <f>D8*$I$19+$I$18</f>
        <v>-79988169.200000107</v>
      </c>
      <c r="D8" s="21">
        <v>118793176.80000019</v>
      </c>
      <c r="H8" s="17" t="s">
        <v>130</v>
      </c>
      <c r="I8" s="17">
        <v>4763757.0556536419</v>
      </c>
      <c r="J8"/>
      <c r="K8"/>
      <c r="L8"/>
      <c r="M8"/>
      <c r="N8"/>
      <c r="P8"/>
    </row>
    <row r="9" spans="2:16" ht="15.75" thickBot="1">
      <c r="B9" s="4">
        <v>2022</v>
      </c>
      <c r="C9" s="21">
        <f t="shared" ref="C9:C12" si="0">D9*$I$19+$I$18</f>
        <v>-80665779.141333729</v>
      </c>
      <c r="D9" s="21">
        <v>120073876.5</v>
      </c>
      <c r="H9" s="18" t="s">
        <v>131</v>
      </c>
      <c r="I9" s="18">
        <v>5</v>
      </c>
      <c r="J9"/>
      <c r="K9"/>
      <c r="L9"/>
      <c r="M9"/>
      <c r="N9"/>
      <c r="P9"/>
    </row>
    <row r="10" spans="2:16">
      <c r="B10" s="4">
        <v>2023</v>
      </c>
      <c r="C10" s="21">
        <f t="shared" si="0"/>
        <v>-80439555.059744895</v>
      </c>
      <c r="D10" s="21">
        <v>119646307.34000015</v>
      </c>
      <c r="H10"/>
      <c r="I10"/>
      <c r="J10"/>
      <c r="K10"/>
      <c r="L10"/>
      <c r="M10"/>
      <c r="N10"/>
      <c r="P10"/>
    </row>
    <row r="11" spans="2:16" ht="15.75" thickBot="1">
      <c r="B11" s="4">
        <v>2024</v>
      </c>
      <c r="C11" s="21">
        <f t="shared" si="0"/>
        <v>-79914112.055142194</v>
      </c>
      <c r="D11" s="21">
        <v>118653206.94799995</v>
      </c>
      <c r="H11" t="s">
        <v>132</v>
      </c>
      <c r="I11"/>
      <c r="J11"/>
      <c r="K11"/>
      <c r="L11"/>
      <c r="M11"/>
      <c r="N11"/>
      <c r="P11"/>
    </row>
    <row r="12" spans="2:16">
      <c r="B12" s="4">
        <v>2025</v>
      </c>
      <c r="C12" s="21">
        <f t="shared" si="0"/>
        <v>-80199156.931244254</v>
      </c>
      <c r="D12" s="21">
        <v>119191948.87760019</v>
      </c>
      <c r="H12" s="19"/>
      <c r="I12" s="19" t="s">
        <v>137</v>
      </c>
      <c r="J12" s="19" t="s">
        <v>138</v>
      </c>
      <c r="K12" s="19" t="s">
        <v>139</v>
      </c>
      <c r="L12" s="19" t="s">
        <v>140</v>
      </c>
      <c r="M12" s="19" t="s">
        <v>141</v>
      </c>
      <c r="N12"/>
      <c r="P12"/>
    </row>
    <row r="13" spans="2:16">
      <c r="H13" s="17" t="s">
        <v>133</v>
      </c>
      <c r="I13" s="17">
        <v>1</v>
      </c>
      <c r="J13" s="17">
        <v>26476064355079.227</v>
      </c>
      <c r="K13" s="17">
        <v>26476064355079.227</v>
      </c>
      <c r="L13" s="17">
        <v>1.1666866220699053</v>
      </c>
      <c r="M13" s="17">
        <v>0.35917647281000742</v>
      </c>
      <c r="N13"/>
      <c r="P13"/>
    </row>
    <row r="14" spans="2:16">
      <c r="H14" s="17" t="s">
        <v>134</v>
      </c>
      <c r="I14" s="17">
        <v>3</v>
      </c>
      <c r="J14" s="17">
        <v>68080143855869.57</v>
      </c>
      <c r="K14" s="17">
        <v>22693381285289.855</v>
      </c>
      <c r="L14" s="17"/>
      <c r="M14" s="17"/>
      <c r="N14"/>
      <c r="O14"/>
      <c r="P14"/>
    </row>
    <row r="15" spans="2:16" ht="15.75" thickBot="1">
      <c r="H15" s="18" t="s">
        <v>135</v>
      </c>
      <c r="I15" s="18">
        <v>4</v>
      </c>
      <c r="J15" s="18">
        <v>94556208210948.797</v>
      </c>
      <c r="K15" s="18"/>
      <c r="L15" s="18"/>
      <c r="M15" s="18"/>
      <c r="N15"/>
      <c r="O15"/>
      <c r="P15"/>
    </row>
    <row r="16" spans="2:16" ht="15.75" thickBot="1">
      <c r="H16"/>
      <c r="I16"/>
      <c r="J16"/>
      <c r="K16"/>
      <c r="L16"/>
      <c r="M16"/>
      <c r="N16"/>
      <c r="O16"/>
      <c r="P16"/>
    </row>
    <row r="17" spans="2:16">
      <c r="H17" s="19"/>
      <c r="I17" s="19" t="s">
        <v>142</v>
      </c>
      <c r="J17" s="19" t="s">
        <v>130</v>
      </c>
      <c r="K17" s="19" t="s">
        <v>143</v>
      </c>
      <c r="L17" s="19" t="s">
        <v>144</v>
      </c>
      <c r="M17" s="19" t="s">
        <v>145</v>
      </c>
      <c r="N17" s="19" t="s">
        <v>146</v>
      </c>
      <c r="O17" s="19" t="s">
        <v>147</v>
      </c>
      <c r="P17" s="19" t="s">
        <v>148</v>
      </c>
    </row>
    <row r="18" spans="2:16">
      <c r="H18" s="17" t="s">
        <v>136</v>
      </c>
      <c r="I18" s="17">
        <v>-17135466.445174016</v>
      </c>
      <c r="J18" s="17">
        <v>58228783.720585488</v>
      </c>
      <c r="K18" s="17">
        <v>-0.29427828215337004</v>
      </c>
      <c r="L18" s="17">
        <v>0.78773229280829926</v>
      </c>
      <c r="M18" s="17">
        <v>-202445444.05791548</v>
      </c>
      <c r="N18" s="17">
        <v>168174511.16756746</v>
      </c>
      <c r="O18" s="17">
        <v>-202445444.05791548</v>
      </c>
      <c r="P18" s="17">
        <v>168174511.16756746</v>
      </c>
    </row>
    <row r="19" spans="2:16" ht="15.75" thickBot="1">
      <c r="H19" s="18" t="s">
        <v>149</v>
      </c>
      <c r="I19" s="18">
        <v>-0.52909354264213926</v>
      </c>
      <c r="J19" s="18">
        <v>0.48984124717889593</v>
      </c>
      <c r="K19" s="18">
        <v>-1.0801326872518515</v>
      </c>
      <c r="L19" s="18">
        <v>0.35917647281000736</v>
      </c>
      <c r="M19" s="18">
        <v>-2.0879870099021804</v>
      </c>
      <c r="N19" s="18">
        <v>1.0297999246179022</v>
      </c>
      <c r="O19" s="18">
        <v>-2.0879870099021804</v>
      </c>
      <c r="P19" s="18">
        <v>1.0297999246179022</v>
      </c>
    </row>
    <row r="20" spans="2:16">
      <c r="H20"/>
      <c r="I20"/>
      <c r="J20"/>
      <c r="K20"/>
      <c r="L20"/>
      <c r="M20"/>
      <c r="N20"/>
      <c r="O20"/>
      <c r="P20"/>
    </row>
    <row r="21" spans="2:16">
      <c r="B21" s="4" t="s">
        <v>114</v>
      </c>
      <c r="C21" s="4" t="s">
        <v>154</v>
      </c>
      <c r="D21" s="4" t="s">
        <v>121</v>
      </c>
      <c r="H21" t="s">
        <v>125</v>
      </c>
      <c r="I21"/>
      <c r="J21"/>
      <c r="K21"/>
      <c r="L21"/>
      <c r="M21"/>
      <c r="N21"/>
      <c r="O21"/>
      <c r="P21"/>
    </row>
    <row r="22" spans="2:16" ht="15.75" thickBot="1">
      <c r="B22" s="4">
        <v>2016</v>
      </c>
      <c r="C22" s="13">
        <v>28046124</v>
      </c>
      <c r="D22" s="21">
        <v>112392654</v>
      </c>
      <c r="H22"/>
      <c r="I22"/>
      <c r="J22"/>
      <c r="K22"/>
      <c r="L22"/>
      <c r="M22"/>
      <c r="N22"/>
      <c r="O22"/>
      <c r="P22"/>
    </row>
    <row r="23" spans="2:16">
      <c r="B23" s="4">
        <v>2017</v>
      </c>
      <c r="C23" s="13">
        <v>28734507</v>
      </c>
      <c r="D23" s="21">
        <v>122214698</v>
      </c>
      <c r="H23" s="20" t="s">
        <v>126</v>
      </c>
      <c r="I23" s="20"/>
      <c r="J23"/>
      <c r="K23"/>
      <c r="L23"/>
      <c r="M23"/>
      <c r="N23"/>
      <c r="O23"/>
      <c r="P23"/>
    </row>
    <row r="24" spans="2:16">
      <c r="B24" s="4">
        <v>2018</v>
      </c>
      <c r="C24" s="13">
        <v>29982969</v>
      </c>
      <c r="D24" s="21">
        <v>124614785</v>
      </c>
      <c r="H24" s="17" t="s">
        <v>127</v>
      </c>
      <c r="I24" s="17">
        <v>0.38189847609688293</v>
      </c>
      <c r="J24"/>
      <c r="K24"/>
      <c r="L24"/>
      <c r="M24"/>
      <c r="N24"/>
      <c r="O24"/>
      <c r="P24"/>
    </row>
    <row r="25" spans="2:16">
      <c r="B25" s="4">
        <v>2019</v>
      </c>
      <c r="C25" s="13">
        <v>30333121</v>
      </c>
      <c r="D25" s="21">
        <v>115962473</v>
      </c>
      <c r="H25" s="17" t="s">
        <v>128</v>
      </c>
      <c r="I25" s="17">
        <v>0.14584644604512145</v>
      </c>
      <c r="J25"/>
      <c r="K25"/>
      <c r="L25"/>
      <c r="M25"/>
      <c r="N25"/>
      <c r="O25"/>
      <c r="P25"/>
    </row>
    <row r="26" spans="2:16">
      <c r="B26" s="4">
        <v>2020</v>
      </c>
      <c r="C26" s="13">
        <v>28679851</v>
      </c>
      <c r="D26" s="21">
        <v>118781274</v>
      </c>
      <c r="H26" s="17" t="s">
        <v>129</v>
      </c>
      <c r="I26" s="17">
        <v>-0.13887140527317141</v>
      </c>
      <c r="J26"/>
      <c r="K26"/>
      <c r="L26"/>
      <c r="M26"/>
      <c r="N26"/>
      <c r="O26"/>
      <c r="P26"/>
    </row>
    <row r="27" spans="2:16">
      <c r="B27" s="4">
        <v>2021</v>
      </c>
      <c r="C27" s="21">
        <f>D27*$I$38+$I$37</f>
        <v>29155314.400000013</v>
      </c>
      <c r="D27" s="21">
        <v>118793176.80000019</v>
      </c>
      <c r="H27" s="17" t="s">
        <v>130</v>
      </c>
      <c r="I27" s="17">
        <v>1027168.7184989084</v>
      </c>
      <c r="J27"/>
      <c r="K27"/>
      <c r="L27"/>
      <c r="M27"/>
      <c r="N27"/>
      <c r="O27"/>
      <c r="P27"/>
    </row>
    <row r="28" spans="2:16" ht="15.75" thickBot="1">
      <c r="B28" s="4">
        <v>2022</v>
      </c>
      <c r="C28" s="21">
        <f t="shared" ref="C28:C32" si="1">D28*$I$38+$I$37</f>
        <v>29252127.787526257</v>
      </c>
      <c r="D28" s="21">
        <v>120073876.5</v>
      </c>
      <c r="H28" s="18" t="s">
        <v>131</v>
      </c>
      <c r="I28" s="18">
        <v>5</v>
      </c>
      <c r="J28"/>
      <c r="K28"/>
      <c r="L28"/>
      <c r="M28"/>
      <c r="N28"/>
      <c r="O28"/>
      <c r="P28"/>
    </row>
    <row r="29" spans="2:16">
      <c r="B29" s="4">
        <v>2023</v>
      </c>
      <c r="C29" s="21">
        <f t="shared" si="1"/>
        <v>29219806.06621927</v>
      </c>
      <c r="D29" s="21">
        <v>119646307.34000015</v>
      </c>
      <c r="H29"/>
      <c r="I29"/>
      <c r="J29"/>
      <c r="K29"/>
      <c r="L29"/>
      <c r="M29"/>
      <c r="N29"/>
      <c r="O29"/>
      <c r="P29"/>
    </row>
    <row r="30" spans="2:16" ht="15.75" thickBot="1">
      <c r="B30" s="4">
        <v>2024</v>
      </c>
      <c r="C30" s="21">
        <f t="shared" si="1"/>
        <v>29144733.499946952</v>
      </c>
      <c r="D30" s="21">
        <v>118653206.94799995</v>
      </c>
      <c r="H30" t="s">
        <v>132</v>
      </c>
      <c r="I30"/>
      <c r="J30"/>
      <c r="K30"/>
      <c r="L30"/>
      <c r="M30"/>
      <c r="N30"/>
      <c r="O30"/>
      <c r="P30"/>
    </row>
    <row r="31" spans="2:16">
      <c r="B31" s="4">
        <v>2025</v>
      </c>
      <c r="C31" s="21">
        <f t="shared" si="1"/>
        <v>29185459.230738506</v>
      </c>
      <c r="D31" s="21">
        <v>119191948.87760019</v>
      </c>
      <c r="H31" s="19"/>
      <c r="I31" s="19" t="s">
        <v>137</v>
      </c>
      <c r="J31" s="19" t="s">
        <v>138</v>
      </c>
      <c r="K31" s="19" t="s">
        <v>139</v>
      </c>
      <c r="L31" s="19" t="s">
        <v>140</v>
      </c>
      <c r="M31" s="19" t="s">
        <v>141</v>
      </c>
      <c r="N31"/>
      <c r="O31"/>
      <c r="P31"/>
    </row>
    <row r="32" spans="2:16">
      <c r="B32" s="4">
        <v>2026</v>
      </c>
      <c r="C32" s="21">
        <f t="shared" si="1"/>
        <v>29191488.196886219</v>
      </c>
      <c r="D32" s="21">
        <v>119271703.29312038</v>
      </c>
      <c r="H32" s="17" t="s">
        <v>133</v>
      </c>
      <c r="I32" s="17">
        <v>1</v>
      </c>
      <c r="J32" s="17">
        <v>540461451203.13086</v>
      </c>
      <c r="K32" s="17">
        <v>540461451203.13086</v>
      </c>
      <c r="L32" s="17">
        <v>0.51224904012806782</v>
      </c>
      <c r="M32" s="17">
        <v>0.52584444303128486</v>
      </c>
      <c r="N32"/>
      <c r="O32"/>
      <c r="P32"/>
    </row>
    <row r="33" spans="8:16">
      <c r="H33" s="17" t="s">
        <v>134</v>
      </c>
      <c r="I33" s="17">
        <v>3</v>
      </c>
      <c r="J33" s="17">
        <v>3165226728788.0693</v>
      </c>
      <c r="K33" s="17">
        <v>1055075576262.6898</v>
      </c>
      <c r="L33" s="17"/>
      <c r="M33" s="17"/>
      <c r="N33"/>
      <c r="O33"/>
      <c r="P33"/>
    </row>
    <row r="34" spans="8:16" ht="15.75" thickBot="1">
      <c r="H34" s="18" t="s">
        <v>135</v>
      </c>
      <c r="I34" s="18">
        <v>4</v>
      </c>
      <c r="J34" s="18">
        <v>3705688179991.2002</v>
      </c>
      <c r="K34" s="18"/>
      <c r="L34" s="18"/>
      <c r="M34" s="18"/>
      <c r="N34"/>
      <c r="O34"/>
      <c r="P34"/>
    </row>
    <row r="35" spans="8:16" ht="15.75" thickBot="1">
      <c r="H35"/>
      <c r="I35"/>
      <c r="J35"/>
      <c r="K35"/>
      <c r="L35"/>
      <c r="M35"/>
      <c r="N35"/>
      <c r="O35"/>
      <c r="P35"/>
    </row>
    <row r="36" spans="8:16">
      <c r="H36" s="19"/>
      <c r="I36" s="19" t="s">
        <v>142</v>
      </c>
      <c r="J36" s="19" t="s">
        <v>130</v>
      </c>
      <c r="K36" s="19" t="s">
        <v>143</v>
      </c>
      <c r="L36" s="19" t="s">
        <v>144</v>
      </c>
      <c r="M36" s="19" t="s">
        <v>145</v>
      </c>
      <c r="N36" s="19" t="s">
        <v>146</v>
      </c>
      <c r="O36" s="19" t="s">
        <v>147</v>
      </c>
      <c r="P36" s="19" t="s">
        <v>148</v>
      </c>
    </row>
    <row r="37" spans="8:16">
      <c r="H37" s="17" t="s">
        <v>136</v>
      </c>
      <c r="I37" s="17">
        <v>20175246.815840155</v>
      </c>
      <c r="J37" s="17">
        <v>12555381.069032533</v>
      </c>
      <c r="K37" s="17">
        <v>1.6069003963250299</v>
      </c>
      <c r="L37" s="17">
        <v>0.20643383133128923</v>
      </c>
      <c r="M37" s="17">
        <v>-19781579.278731458</v>
      </c>
      <c r="N37" s="17">
        <v>60132072.910411768</v>
      </c>
      <c r="O37" s="17">
        <v>-19781579.278731458</v>
      </c>
      <c r="P37" s="17">
        <v>60132072.910411768</v>
      </c>
    </row>
    <row r="38" spans="8:16" ht="15.75" thickBot="1">
      <c r="H38" s="18" t="s">
        <v>149</v>
      </c>
      <c r="I38" s="18">
        <v>7.5594136179038915E-2</v>
      </c>
      <c r="J38" s="18">
        <v>0.10562033291255146</v>
      </c>
      <c r="K38" s="18">
        <v>0.71571575372354879</v>
      </c>
      <c r="L38" s="18">
        <v>0.52584444303128453</v>
      </c>
      <c r="M38" s="18">
        <v>-0.26053690206134583</v>
      </c>
      <c r="N38" s="18">
        <v>0.41172517441942369</v>
      </c>
      <c r="O38" s="18">
        <v>-0.26053690206134583</v>
      </c>
      <c r="P38" s="18">
        <v>0.41172517441942369</v>
      </c>
    </row>
    <row r="39" spans="8:16">
      <c r="H39"/>
      <c r="I39"/>
      <c r="J39"/>
      <c r="K39"/>
      <c r="L39"/>
      <c r="M39"/>
      <c r="N39"/>
      <c r="O39"/>
      <c r="P39"/>
    </row>
    <row r="40" spans="8:16">
      <c r="H40"/>
      <c r="I40"/>
      <c r="J40"/>
      <c r="K40"/>
      <c r="L40"/>
      <c r="M40"/>
      <c r="N40"/>
      <c r="O40"/>
      <c r="P40"/>
    </row>
    <row r="41" spans="8:16">
      <c r="H41"/>
      <c r="I41"/>
      <c r="J41"/>
      <c r="K41"/>
      <c r="L41"/>
      <c r="M41"/>
      <c r="N41"/>
      <c r="O41"/>
      <c r="P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L25"/>
  <sheetViews>
    <sheetView workbookViewId="0">
      <selection activeCell="C12" sqref="C12"/>
    </sheetView>
  </sheetViews>
  <sheetFormatPr defaultRowHeight="15"/>
  <cols>
    <col min="2" max="2" width="42.140625" bestFit="1" customWidth="1"/>
    <col min="3" max="12" width="15.28515625" bestFit="1" customWidth="1"/>
  </cols>
  <sheetData>
    <row r="1" spans="2:12">
      <c r="C1" s="67" t="s">
        <v>180</v>
      </c>
      <c r="D1" s="67"/>
      <c r="E1" s="67"/>
      <c r="F1" s="67"/>
      <c r="G1" s="67"/>
      <c r="H1" s="67"/>
      <c r="I1" s="67"/>
      <c r="J1" s="67"/>
      <c r="K1" s="67"/>
      <c r="L1" s="67"/>
    </row>
    <row r="2" spans="2:12">
      <c r="C2" s="67"/>
      <c r="D2" s="67"/>
      <c r="E2" s="67"/>
      <c r="F2" s="67"/>
      <c r="G2" s="67"/>
      <c r="H2" s="67"/>
      <c r="I2" s="67"/>
      <c r="J2" s="67"/>
      <c r="K2" s="67"/>
      <c r="L2" s="67"/>
    </row>
    <row r="3" spans="2:12">
      <c r="C3" s="68" t="s">
        <v>181</v>
      </c>
      <c r="D3" s="68"/>
      <c r="E3" s="68"/>
      <c r="F3" s="68"/>
      <c r="G3" s="68"/>
      <c r="H3" s="69" t="s">
        <v>182</v>
      </c>
      <c r="I3" s="69"/>
      <c r="J3" s="69"/>
      <c r="K3" s="69"/>
      <c r="L3" s="69"/>
    </row>
    <row r="4" spans="2:12">
      <c r="C4" s="4">
        <v>2016</v>
      </c>
      <c r="D4" s="4">
        <f>C4+1</f>
        <v>2017</v>
      </c>
      <c r="E4" s="4">
        <f t="shared" ref="E4:L4" si="0">D4+1</f>
        <v>2018</v>
      </c>
      <c r="F4" s="4">
        <f t="shared" si="0"/>
        <v>2019</v>
      </c>
      <c r="G4" s="4">
        <f t="shared" si="0"/>
        <v>2020</v>
      </c>
      <c r="H4" s="4">
        <f t="shared" si="0"/>
        <v>2021</v>
      </c>
      <c r="I4" s="4">
        <f t="shared" si="0"/>
        <v>2022</v>
      </c>
      <c r="J4" s="4">
        <f t="shared" si="0"/>
        <v>2023</v>
      </c>
      <c r="K4" s="4">
        <f t="shared" si="0"/>
        <v>2024</v>
      </c>
      <c r="L4" s="4">
        <f t="shared" si="0"/>
        <v>2025</v>
      </c>
    </row>
    <row r="5" spans="2:12">
      <c r="B5" t="s">
        <v>4</v>
      </c>
    </row>
    <row r="6" spans="2:12">
      <c r="B6" t="s">
        <v>5</v>
      </c>
      <c r="C6" s="13">
        <f>Assumption!E3</f>
        <v>112392654</v>
      </c>
      <c r="D6" s="13">
        <f>Assumption!F3</f>
        <v>122214698</v>
      </c>
      <c r="E6" s="13">
        <f>Assumption!G3</f>
        <v>124614785</v>
      </c>
      <c r="F6" s="13">
        <f>Assumption!H3</f>
        <v>115962473</v>
      </c>
      <c r="G6" s="13">
        <f>Assumption!I3</f>
        <v>118781274</v>
      </c>
      <c r="H6" s="13">
        <f>Assumption!J3</f>
        <v>131439802.81135282</v>
      </c>
      <c r="I6" s="13">
        <f>Assumption!K3</f>
        <v>132664863.57994843</v>
      </c>
      <c r="J6" s="13">
        <f>Assumption!L3</f>
        <v>131851951.48008099</v>
      </c>
      <c r="K6" s="13">
        <f>Assumption!M3</f>
        <v>130499044.83417965</v>
      </c>
      <c r="L6" s="13">
        <f>Assumption!N3</f>
        <v>129493523.17654589</v>
      </c>
    </row>
    <row r="7" spans="2:12">
      <c r="B7" t="s">
        <v>6</v>
      </c>
      <c r="C7" s="13">
        <f>Assumption!E4</f>
        <v>-72609392</v>
      </c>
      <c r="D7" s="13">
        <f>Assumption!F4</f>
        <v>-77458749</v>
      </c>
      <c r="E7" s="13">
        <f>Assumption!G4</f>
        <v>-83242655</v>
      </c>
      <c r="F7" s="13">
        <f>Assumption!H4</f>
        <v>-84016549</v>
      </c>
      <c r="G7" s="13">
        <f>Assumption!I4</f>
        <v>-82613501</v>
      </c>
      <c r="H7" s="13">
        <f>Assumption!J4</f>
        <v>-79717730.790893212</v>
      </c>
      <c r="I7" s="13">
        <f>Assumption!K4</f>
        <v>-80291713.068452463</v>
      </c>
      <c r="J7" s="13">
        <f>Assumption!L4</f>
        <v>-80643063.288024455</v>
      </c>
      <c r="K7" s="13">
        <f>Assumption!M4</f>
        <v>-80693834.337892339</v>
      </c>
      <c r="L7" s="13">
        <f>Assumption!N4</f>
        <v>-80455679.092274517</v>
      </c>
    </row>
    <row r="8" spans="2:12">
      <c r="B8" s="4" t="s">
        <v>0</v>
      </c>
      <c r="C8" s="5">
        <f>Assumption!E5</f>
        <v>39783262</v>
      </c>
      <c r="D8" s="5">
        <f>Assumption!F5</f>
        <v>44755949</v>
      </c>
      <c r="E8" s="5">
        <f>Assumption!G5</f>
        <v>41372130</v>
      </c>
      <c r="F8" s="5">
        <f>Assumption!H5</f>
        <v>31945924</v>
      </c>
      <c r="G8" s="5">
        <f>Assumption!I5</f>
        <v>36167773</v>
      </c>
      <c r="H8" s="5">
        <f>Assumption!J5</f>
        <v>51722072.020459607</v>
      </c>
      <c r="I8" s="5">
        <f>Assumption!K5</f>
        <v>52373150.511495963</v>
      </c>
      <c r="J8" s="5">
        <f>Assumption!L5</f>
        <v>51208888.192056537</v>
      </c>
      <c r="K8" s="5">
        <f>Assumption!M5</f>
        <v>49805210.496287316</v>
      </c>
      <c r="L8" s="5">
        <f>Assumption!N5</f>
        <v>49037844.084271371</v>
      </c>
    </row>
    <row r="9" spans="2:12"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2:12">
      <c r="B10" t="s">
        <v>7</v>
      </c>
      <c r="C10" s="13">
        <f>Assumption!E7</f>
        <v>-17875408</v>
      </c>
      <c r="D10" s="13">
        <f>Assumption!F7</f>
        <v>-18406725</v>
      </c>
      <c r="E10" s="13">
        <f>Assumption!G7</f>
        <v>-18470241</v>
      </c>
      <c r="F10" s="13">
        <f>Assumption!H7</f>
        <v>-14656501</v>
      </c>
      <c r="G10" s="13">
        <f>Assumption!I7</f>
        <v>-14256719</v>
      </c>
      <c r="H10" s="13">
        <f>Assumption!J7</f>
        <v>-16355906.038685162</v>
      </c>
      <c r="I10" s="13">
        <f>Assumption!K7</f>
        <v>-16584076.764184183</v>
      </c>
      <c r="J10" s="13">
        <f>Assumption!L7</f>
        <v>-16435068.888429351</v>
      </c>
      <c r="K10" s="13">
        <f>Assumption!M7</f>
        <v>-16210472.27424006</v>
      </c>
      <c r="L10" s="13">
        <f>Assumption!N7</f>
        <v>-16104753.908592593</v>
      </c>
    </row>
    <row r="11" spans="2:12">
      <c r="B11" t="s">
        <v>8</v>
      </c>
      <c r="C11" s="13">
        <f>Assumption!E8</f>
        <v>-2760186</v>
      </c>
      <c r="D11" s="13">
        <f>Assumption!F8</f>
        <v>-2741743</v>
      </c>
      <c r="E11" s="13">
        <f>Assumption!G8</f>
        <v>-2926471</v>
      </c>
      <c r="F11" s="13">
        <f>Assumption!H8</f>
        <v>-3667718</v>
      </c>
      <c r="G11" s="13">
        <f>Assumption!I8</f>
        <v>-4447506</v>
      </c>
      <c r="H11" s="13">
        <f>Assumption!J8</f>
        <v>-3012523.2692685826</v>
      </c>
      <c r="I11" s="13">
        <f>Assumption!K8</f>
        <v>-3128720.5567164975</v>
      </c>
      <c r="J11" s="13">
        <f>Assumption!L8</f>
        <v>-3258625.553015871</v>
      </c>
      <c r="K11" s="13">
        <f>Assumption!M8</f>
        <v>-3307679.0169691984</v>
      </c>
      <c r="L11" s="13">
        <f>Assumption!N8</f>
        <v>-3281216.941553358</v>
      </c>
    </row>
    <row r="12" spans="2:12">
      <c r="B12" s="4" t="s">
        <v>1</v>
      </c>
      <c r="C12" s="5">
        <f>Assumption!E9</f>
        <v>19147668</v>
      </c>
      <c r="D12" s="5">
        <f>Assumption!F9</f>
        <v>23607481</v>
      </c>
      <c r="E12" s="5">
        <f>Assumption!G9</f>
        <v>19975418</v>
      </c>
      <c r="F12" s="5">
        <f>Assumption!H9</f>
        <v>13621705</v>
      </c>
      <c r="G12" s="5">
        <f>Assumption!I9</f>
        <v>17463548</v>
      </c>
      <c r="H12" s="5">
        <f>Assumption!J9</f>
        <v>32353642.712505866</v>
      </c>
      <c r="I12" s="5">
        <f>Assumption!K9</f>
        <v>32660353.19059528</v>
      </c>
      <c r="J12" s="5">
        <f>Assumption!L9</f>
        <v>31515193.750611313</v>
      </c>
      <c r="K12" s="5">
        <f>Assumption!M9</f>
        <v>30287059.205078058</v>
      </c>
      <c r="L12" s="5">
        <f>Assumption!N9</f>
        <v>29651873.23412542</v>
      </c>
    </row>
    <row r="13" spans="2:12"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2:12">
      <c r="B14" t="s">
        <v>9</v>
      </c>
      <c r="C14" s="13">
        <f>Assumption!E11</f>
        <v>-959005</v>
      </c>
      <c r="D14" s="13">
        <f>Assumption!F11</f>
        <v>-1095630</v>
      </c>
      <c r="E14" s="13">
        <f>Assumption!G11</f>
        <v>-1818650</v>
      </c>
      <c r="F14" s="13">
        <f>Assumption!H11</f>
        <v>-3187695</v>
      </c>
      <c r="G14" s="13">
        <f>Assumption!I11</f>
        <v>-2805015</v>
      </c>
      <c r="H14" s="13">
        <f>Assumption!J11</f>
        <v>-1973199.0000000002</v>
      </c>
      <c r="I14" s="13">
        <f>Assumption!K11</f>
        <v>-2144578.3900857144</v>
      </c>
      <c r="J14" s="13">
        <f>Assumption!L11</f>
        <v>-2170521.6794601935</v>
      </c>
      <c r="K14" s="13">
        <f>Assumption!M11</f>
        <v>-2125826.4759782343</v>
      </c>
      <c r="L14" s="13">
        <f>Assumption!N11</f>
        <v>-2043227.6100100614</v>
      </c>
    </row>
    <row r="15" spans="2:12">
      <c r="B15" t="s">
        <v>10</v>
      </c>
      <c r="C15" s="13">
        <f>Assumption!E12</f>
        <v>-1509403</v>
      </c>
      <c r="D15" s="13">
        <f>Assumption!F12</f>
        <v>-1837203</v>
      </c>
      <c r="E15" s="13">
        <f>Assumption!G12</f>
        <v>-1512112</v>
      </c>
      <c r="F15" s="13">
        <f>Assumption!H12</f>
        <v>-1390138</v>
      </c>
      <c r="G15" s="13">
        <f>Assumption!I12</f>
        <v>-1019221</v>
      </c>
      <c r="H15" s="13">
        <f>Assumption!J12</f>
        <v>-1453615.4</v>
      </c>
      <c r="I15" s="13">
        <f>Assumption!K12</f>
        <v>-1442457.8800000001</v>
      </c>
      <c r="J15" s="13">
        <f>Assumption!L12</f>
        <v>-1363508.8560000001</v>
      </c>
      <c r="K15" s="13">
        <f>Assumption!M12</f>
        <v>-1333788.2272000001</v>
      </c>
      <c r="L15" s="13">
        <f>Assumption!N12</f>
        <v>-1322518.2726399999</v>
      </c>
    </row>
    <row r="16" spans="2:12"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2:12"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2:12">
      <c r="B18" t="s">
        <v>11</v>
      </c>
      <c r="C18" s="13">
        <f>Assumption!E15</f>
        <v>340660</v>
      </c>
      <c r="D18" s="13">
        <f>Assumption!F15</f>
        <v>313857</v>
      </c>
      <c r="E18" s="13">
        <f>Assumption!G15</f>
        <v>255308</v>
      </c>
      <c r="F18" s="13">
        <f>Assumption!H15</f>
        <v>268790</v>
      </c>
      <c r="G18" s="13">
        <f>Assumption!I15</f>
        <v>354830</v>
      </c>
      <c r="H18" s="13">
        <f>Assumption!J15</f>
        <v>306689</v>
      </c>
      <c r="I18" s="13">
        <f>Assumption!K15</f>
        <v>299894.8</v>
      </c>
      <c r="J18" s="13">
        <f>Assumption!L15</f>
        <v>297102.36</v>
      </c>
      <c r="K18" s="13">
        <f>Assumption!M15</f>
        <v>305461.23200000002</v>
      </c>
      <c r="L18" s="13">
        <f>Assumption!N15</f>
        <v>312795.47840000002</v>
      </c>
    </row>
    <row r="19" spans="2:12">
      <c r="B19" s="4" t="s">
        <v>2</v>
      </c>
      <c r="C19" s="5">
        <f>Assumption!E16</f>
        <v>17019920</v>
      </c>
      <c r="D19" s="5">
        <f>Assumption!F16</f>
        <v>20988505</v>
      </c>
      <c r="E19" s="5">
        <f>Assumption!G16</f>
        <v>16899964</v>
      </c>
      <c r="F19" s="5">
        <f>Assumption!H16</f>
        <v>9312662</v>
      </c>
      <c r="G19" s="5">
        <f>Assumption!I16</f>
        <v>13994142</v>
      </c>
      <c r="H19" s="5">
        <f>Assumption!J16</f>
        <v>29233517.312505864</v>
      </c>
      <c r="I19" s="5">
        <f>Assumption!K16</f>
        <v>29373211.720509566</v>
      </c>
      <c r="J19" s="5">
        <f>Assumption!L16</f>
        <v>28278265.575151119</v>
      </c>
      <c r="K19" s="5">
        <f>Assumption!M16</f>
        <v>27132905.733899824</v>
      </c>
      <c r="L19" s="5">
        <f>Assumption!N16</f>
        <v>26598922.829875357</v>
      </c>
    </row>
    <row r="20" spans="2:12"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2:12">
      <c r="B21" t="s">
        <v>12</v>
      </c>
      <c r="C21" s="13">
        <f>Assumption!E18</f>
        <v>-5172947</v>
      </c>
      <c r="D21" s="13">
        <f>Assumption!F18</f>
        <v>-6346723</v>
      </c>
      <c r="E21" s="13">
        <f>Assumption!G18</f>
        <v>-5355382</v>
      </c>
      <c r="F21" s="13">
        <f>Assumption!H18</f>
        <v>-3361243</v>
      </c>
      <c r="G21" s="13">
        <f>Assumption!I18</f>
        <v>-3706499</v>
      </c>
      <c r="H21" s="13">
        <f>Assumption!J18</f>
        <v>-8948799.5370510872</v>
      </c>
      <c r="I21" s="13">
        <f>Assumption!K18</f>
        <v>-8991562.0018037427</v>
      </c>
      <c r="J21" s="13">
        <f>Assumption!L18</f>
        <v>-8656383.2597476896</v>
      </c>
      <c r="K21" s="13">
        <f>Assumption!M18</f>
        <v>-8305772.1612753961</v>
      </c>
      <c r="L21" s="13">
        <f>Assumption!N18</f>
        <v>-8142312.3246349683</v>
      </c>
    </row>
    <row r="22" spans="2:12"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2:12">
      <c r="B23" s="4" t="s">
        <v>3</v>
      </c>
      <c r="C23" s="5">
        <f>Assumption!E20</f>
        <v>11846973</v>
      </c>
      <c r="D23" s="5">
        <f>Assumption!F20</f>
        <v>14641782</v>
      </c>
      <c r="E23" s="5">
        <f>Assumption!G20</f>
        <v>11544582</v>
      </c>
      <c r="F23" s="5">
        <f>Assumption!H20</f>
        <v>5951419</v>
      </c>
      <c r="G23" s="5">
        <f>Assumption!I20</f>
        <v>10287643</v>
      </c>
      <c r="H23" s="5">
        <f>Assumption!J20</f>
        <v>20284717.775454774</v>
      </c>
      <c r="I23" s="5">
        <f>Assumption!K20</f>
        <v>20381649.718705826</v>
      </c>
      <c r="J23" s="5">
        <f>Assumption!L20</f>
        <v>19621882.315403432</v>
      </c>
      <c r="K23" s="5">
        <f>Assumption!M20</f>
        <v>18827133.57262443</v>
      </c>
      <c r="L23" s="5">
        <f>Assumption!N20</f>
        <v>18456610.505240388</v>
      </c>
    </row>
    <row r="24" spans="2:12"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2:12">
      <c r="B25" t="s">
        <v>13</v>
      </c>
      <c r="C25" s="13">
        <f>Assumption!E22</f>
        <v>261.23</v>
      </c>
      <c r="D25" s="13">
        <f>Assumption!F22</f>
        <v>322.86</v>
      </c>
      <c r="E25" s="13">
        <f>Assumption!G22</f>
        <v>254.57</v>
      </c>
      <c r="F25" s="13">
        <f>Assumption!H22</f>
        <v>162.16999999999999</v>
      </c>
      <c r="G25" s="13">
        <f>Assumption!I22</f>
        <v>195.91</v>
      </c>
      <c r="H25" s="13">
        <f>Assumption!J22</f>
        <v>447.29650924053954</v>
      </c>
      <c r="I25" s="13">
        <f>Assumption!K22</f>
        <v>449.43394690814966</v>
      </c>
      <c r="J25" s="13">
        <f>Assumption!L22</f>
        <v>432.68038340808806</v>
      </c>
      <c r="K25" s="13">
        <f>Assumption!M22</f>
        <v>415.15544949954199</v>
      </c>
      <c r="L25" s="13">
        <f>Assumption!N22</f>
        <v>406.98507826398441</v>
      </c>
    </row>
  </sheetData>
  <mergeCells count="3">
    <mergeCell ref="C1:L2"/>
    <mergeCell ref="C3:G3"/>
    <mergeCell ref="H3:L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7"/>
  <sheetViews>
    <sheetView topLeftCell="C15" workbookViewId="0">
      <selection activeCell="D49" sqref="D49"/>
    </sheetView>
  </sheetViews>
  <sheetFormatPr defaultRowHeight="15"/>
  <cols>
    <col min="2" max="2" width="61.28515625" bestFit="1" customWidth="1"/>
    <col min="3" max="12" width="14.28515625" style="13" bestFit="1" customWidth="1"/>
    <col min="13" max="16384" width="9.140625" style="13"/>
  </cols>
  <sheetData>
    <row r="1" spans="2:12">
      <c r="C1" s="67" t="s">
        <v>183</v>
      </c>
      <c r="D1" s="67"/>
      <c r="E1" s="67"/>
      <c r="F1" s="67"/>
      <c r="G1" s="67"/>
      <c r="H1" s="67"/>
      <c r="I1" s="67"/>
      <c r="J1" s="67"/>
      <c r="K1" s="67"/>
      <c r="L1" s="67"/>
    </row>
    <row r="2" spans="2:12">
      <c r="C2" s="67"/>
      <c r="D2" s="67"/>
      <c r="E2" s="67"/>
      <c r="F2" s="67"/>
      <c r="G2" s="67"/>
      <c r="H2" s="67"/>
      <c r="I2" s="67"/>
      <c r="J2" s="67"/>
      <c r="K2" s="67"/>
      <c r="L2" s="67"/>
    </row>
    <row r="3" spans="2:12" customFormat="1">
      <c r="C3" s="68" t="s">
        <v>181</v>
      </c>
      <c r="D3" s="68"/>
      <c r="E3" s="68"/>
      <c r="F3" s="68"/>
      <c r="G3" s="68"/>
      <c r="H3" s="69" t="s">
        <v>182</v>
      </c>
      <c r="I3" s="69"/>
      <c r="J3" s="69"/>
      <c r="K3" s="69"/>
      <c r="L3" s="69"/>
    </row>
    <row r="4" spans="2:12" customFormat="1">
      <c r="C4" s="4">
        <v>2016</v>
      </c>
      <c r="D4" s="4">
        <f>C4+1</f>
        <v>2017</v>
      </c>
      <c r="E4" s="4">
        <f t="shared" ref="E4:L4" si="0">D4+1</f>
        <v>2018</v>
      </c>
      <c r="F4" s="4">
        <f t="shared" si="0"/>
        <v>2019</v>
      </c>
      <c r="G4" s="4">
        <f t="shared" si="0"/>
        <v>2020</v>
      </c>
      <c r="H4" s="4">
        <f t="shared" si="0"/>
        <v>2021</v>
      </c>
      <c r="I4" s="4">
        <f t="shared" si="0"/>
        <v>2022</v>
      </c>
      <c r="J4" s="4">
        <f t="shared" si="0"/>
        <v>2023</v>
      </c>
      <c r="K4" s="4">
        <f t="shared" si="0"/>
        <v>2024</v>
      </c>
      <c r="L4" s="4">
        <f t="shared" si="0"/>
        <v>2025</v>
      </c>
    </row>
    <row r="5" spans="2:12">
      <c r="B5" t="s">
        <v>35</v>
      </c>
    </row>
    <row r="6" spans="2:12">
      <c r="B6" s="4" t="s">
        <v>14</v>
      </c>
    </row>
    <row r="7" spans="2:12">
      <c r="B7" t="s">
        <v>15</v>
      </c>
    </row>
    <row r="8" spans="2:12">
      <c r="B8" t="s">
        <v>16</v>
      </c>
    </row>
    <row r="9" spans="2:12">
      <c r="B9" t="s">
        <v>17</v>
      </c>
      <c r="C9" s="13">
        <f>Assumption!E31</f>
        <v>750000</v>
      </c>
      <c r="D9" s="13">
        <f>Assumption!F31</f>
        <v>750000</v>
      </c>
      <c r="E9" s="13">
        <f>Assumption!G31</f>
        <v>750000</v>
      </c>
      <c r="F9" s="13">
        <f>Assumption!H31</f>
        <v>750000</v>
      </c>
      <c r="G9" s="13">
        <f>Assumption!I31</f>
        <v>750000</v>
      </c>
      <c r="H9" s="13">
        <f>Assumption!J31</f>
        <v>750000</v>
      </c>
      <c r="I9" s="13">
        <f>Assumption!K31</f>
        <v>750000</v>
      </c>
      <c r="J9" s="13">
        <f>Assumption!L31</f>
        <v>750000</v>
      </c>
      <c r="K9" s="13">
        <f>Assumption!M31</f>
        <v>750000</v>
      </c>
      <c r="L9" s="13">
        <f>Assumption!N31</f>
        <v>750000</v>
      </c>
    </row>
    <row r="11" spans="2:12">
      <c r="B11" t="s">
        <v>18</v>
      </c>
      <c r="C11" s="13">
        <f>Assumption!E33</f>
        <v>453496</v>
      </c>
      <c r="D11" s="13">
        <f>Assumption!F33</f>
        <v>453496</v>
      </c>
      <c r="E11" s="13">
        <f>Assumption!G33</f>
        <v>453496</v>
      </c>
      <c r="F11" s="13">
        <f>Assumption!H33</f>
        <v>453496</v>
      </c>
      <c r="G11" s="13">
        <f>Assumption!I33</f>
        <v>453496</v>
      </c>
      <c r="H11" s="13">
        <f>Assumption!J33</f>
        <v>453496</v>
      </c>
      <c r="I11" s="13">
        <f>Assumption!K33</f>
        <v>453496</v>
      </c>
      <c r="J11" s="13">
        <f>Assumption!L33</f>
        <v>453496</v>
      </c>
      <c r="K11" s="13">
        <f>Assumption!M33</f>
        <v>453496</v>
      </c>
      <c r="L11" s="13">
        <f>Assumption!N33</f>
        <v>453496</v>
      </c>
    </row>
    <row r="12" spans="2:12">
      <c r="B12" t="s">
        <v>19</v>
      </c>
      <c r="C12" s="13">
        <f>Assumption!E34</f>
        <v>249527</v>
      </c>
      <c r="D12" s="13">
        <f>Assumption!F34</f>
        <v>249527</v>
      </c>
      <c r="E12" s="13">
        <f>Assumption!G34</f>
        <v>249527</v>
      </c>
      <c r="F12" s="13">
        <f>Assumption!H34</f>
        <v>249527</v>
      </c>
      <c r="G12" s="13">
        <f>Assumption!I34</f>
        <v>249527</v>
      </c>
      <c r="H12" s="13">
        <f>Assumption!J34</f>
        <v>249527</v>
      </c>
      <c r="I12" s="13">
        <f>Assumption!K34</f>
        <v>249527</v>
      </c>
      <c r="J12" s="13">
        <f>Assumption!L34</f>
        <v>249527</v>
      </c>
      <c r="K12" s="13">
        <f>Assumption!M34</f>
        <v>249527</v>
      </c>
      <c r="L12" s="13">
        <f>Assumption!N34</f>
        <v>249527</v>
      </c>
    </row>
    <row r="13" spans="2:12">
      <c r="B13" t="s">
        <v>20</v>
      </c>
      <c r="C13" s="13">
        <f>Assumption!E35</f>
        <v>280000</v>
      </c>
      <c r="D13" s="13">
        <f>Assumption!F35</f>
        <v>280000</v>
      </c>
      <c r="E13" s="13">
        <f>Assumption!G35</f>
        <v>280000</v>
      </c>
      <c r="F13" s="13">
        <f>Assumption!H35</f>
        <v>280000</v>
      </c>
      <c r="G13" s="13">
        <f>Assumption!I35</f>
        <v>280000</v>
      </c>
      <c r="H13" s="13">
        <f>Assumption!J35</f>
        <v>280000</v>
      </c>
      <c r="I13" s="13">
        <f>Assumption!K35</f>
        <v>280000</v>
      </c>
      <c r="J13" s="13">
        <f>Assumption!L35</f>
        <v>280000</v>
      </c>
      <c r="K13" s="13">
        <f>Assumption!M35</f>
        <v>280000</v>
      </c>
      <c r="L13" s="13">
        <f>Assumption!N35</f>
        <v>280000</v>
      </c>
    </row>
    <row r="14" spans="2:12">
      <c r="B14" t="s">
        <v>21</v>
      </c>
      <c r="C14" s="13">
        <f>Assumption!E36</f>
        <v>-10092</v>
      </c>
      <c r="D14" s="13">
        <f>Assumption!F36</f>
        <v>8357</v>
      </c>
      <c r="E14" s="13">
        <f>Assumption!G36</f>
        <v>0</v>
      </c>
      <c r="F14" s="13">
        <f>Assumption!H36</f>
        <v>0</v>
      </c>
      <c r="G14" s="13">
        <f>Assumption!I36</f>
        <v>0</v>
      </c>
      <c r="H14" s="13">
        <f>Assumption!J36</f>
        <v>0</v>
      </c>
      <c r="I14" s="13">
        <f>Assumption!K36</f>
        <v>0</v>
      </c>
      <c r="J14" s="13">
        <f>Assumption!L36</f>
        <v>0</v>
      </c>
      <c r="K14" s="13">
        <f>Assumption!M36</f>
        <v>0</v>
      </c>
      <c r="L14" s="13">
        <f>Assumption!N36</f>
        <v>0</v>
      </c>
    </row>
    <row r="15" spans="2:12">
      <c r="B15" t="s">
        <v>22</v>
      </c>
      <c r="C15" s="13">
        <f>Assumption!E37</f>
        <v>7839121</v>
      </c>
      <c r="D15" s="13">
        <f>Assumption!F37</f>
        <v>3642960</v>
      </c>
      <c r="E15" s="13">
        <f>Assumption!G37</f>
        <v>2929222</v>
      </c>
      <c r="F15" s="13">
        <f>Assumption!H37</f>
        <v>2272943</v>
      </c>
      <c r="G15" s="13">
        <f>Assumption!I37</f>
        <v>3207419</v>
      </c>
      <c r="H15" s="13">
        <f>Assumption!J37</f>
        <v>13660343.495454773</v>
      </c>
      <c r="I15" s="13">
        <f>Assumption!K37</f>
        <v>23785727.6781606</v>
      </c>
      <c r="J15" s="13">
        <f>Assumption!L37</f>
        <v>34002465.750364035</v>
      </c>
      <c r="K15" s="13">
        <f>Assumption!M37</f>
        <v>43792766.391148463</v>
      </c>
      <c r="L15" s="13">
        <f>Assumption!N37</f>
        <v>52783805.21818085</v>
      </c>
    </row>
    <row r="16" spans="2:12">
      <c r="C16" s="5">
        <f>Assumption!E38</f>
        <v>8812052</v>
      </c>
      <c r="D16" s="5">
        <f>Assumption!F38</f>
        <v>4634340</v>
      </c>
      <c r="E16" s="5">
        <f>Assumption!G38</f>
        <v>3912245</v>
      </c>
      <c r="F16" s="5">
        <f>Assumption!H38</f>
        <v>3255966</v>
      </c>
      <c r="G16" s="5">
        <f>Assumption!I38</f>
        <v>4190442</v>
      </c>
      <c r="H16" s="5">
        <f>Assumption!J38</f>
        <v>14643366.495454773</v>
      </c>
      <c r="I16" s="5">
        <f>Assumption!K38</f>
        <v>24768750.6781606</v>
      </c>
      <c r="J16" s="5">
        <f>Assumption!L38</f>
        <v>34985488.750364035</v>
      </c>
      <c r="K16" s="5">
        <f>Assumption!M38</f>
        <v>44775789.391148463</v>
      </c>
      <c r="L16" s="5">
        <f>Assumption!N38</f>
        <v>53766828.21818085</v>
      </c>
    </row>
    <row r="17" spans="2:12">
      <c r="B17" s="4" t="s">
        <v>23</v>
      </c>
    </row>
    <row r="18" spans="2:12">
      <c r="B18" t="s">
        <v>24</v>
      </c>
      <c r="C18" s="13">
        <f>Assumption!E40</f>
        <v>5637473</v>
      </c>
      <c r="D18" s="13">
        <f>Assumption!F40</f>
        <v>9291755</v>
      </c>
      <c r="E18" s="13">
        <f>Assumption!G40</f>
        <v>9064730</v>
      </c>
      <c r="F18" s="13">
        <f>Assumption!H40</f>
        <v>3780294</v>
      </c>
      <c r="G18" s="13">
        <f>Assumption!I40</f>
        <v>12081975</v>
      </c>
      <c r="H18" s="13">
        <f>Assumption!J40</f>
        <v>7971245.4000000004</v>
      </c>
      <c r="I18" s="13">
        <f>Assumption!K40</f>
        <v>8437999.879999999</v>
      </c>
      <c r="J18" s="13">
        <f>Assumption!L40</f>
        <v>8267248.8560000006</v>
      </c>
      <c r="K18" s="13">
        <f>Assumption!M40</f>
        <v>8107752.6272</v>
      </c>
      <c r="L18" s="13">
        <f>Assumption!N40</f>
        <v>8973244.3526399992</v>
      </c>
    </row>
    <row r="19" spans="2:12">
      <c r="B19" t="s">
        <v>53</v>
      </c>
      <c r="C19" s="13">
        <f>Assumption!E41</f>
        <v>0</v>
      </c>
      <c r="D19" s="13">
        <f>Assumption!F41</f>
        <v>0</v>
      </c>
      <c r="E19" s="13">
        <f>Assumption!G41</f>
        <v>0</v>
      </c>
      <c r="F19" s="13">
        <f>Assumption!H41</f>
        <v>143004</v>
      </c>
      <c r="G19" s="13">
        <f>Assumption!I41</f>
        <v>34682</v>
      </c>
      <c r="H19" s="13">
        <f>Assumption!J41</f>
        <v>35537.199999999997</v>
      </c>
      <c r="I19" s="13">
        <f>Assumption!K41</f>
        <v>42644.639999999999</v>
      </c>
      <c r="J19" s="13">
        <f>Assumption!L41</f>
        <v>51173.568000000007</v>
      </c>
      <c r="K19" s="13">
        <f>Assumption!M41</f>
        <v>61408.281600000009</v>
      </c>
      <c r="L19" s="13">
        <f>Assumption!N41</f>
        <v>45089.137920000001</v>
      </c>
    </row>
    <row r="20" spans="2:12">
      <c r="B20" t="s">
        <v>25</v>
      </c>
      <c r="C20" s="13">
        <f>Assumption!E42</f>
        <v>1943343</v>
      </c>
      <c r="D20" s="13">
        <f>Assumption!F42</f>
        <v>2493067</v>
      </c>
      <c r="E20" s="13">
        <f>Assumption!G42</f>
        <v>2443197</v>
      </c>
      <c r="F20" s="13">
        <f>Assumption!H42</f>
        <v>1960850</v>
      </c>
      <c r="G20" s="13">
        <f>Assumption!I42</f>
        <v>1332919</v>
      </c>
      <c r="H20" s="13">
        <f>Assumption!J42</f>
        <v>2034675.2</v>
      </c>
      <c r="I20" s="13">
        <f>Assumption!K42</f>
        <v>2052941.64</v>
      </c>
      <c r="J20" s="13">
        <f>Assumption!L42</f>
        <v>1964916.568</v>
      </c>
      <c r="K20" s="13">
        <f>Assumption!M42</f>
        <v>1869260.4816000001</v>
      </c>
      <c r="L20" s="13">
        <f>Assumption!N42</f>
        <v>1850942.5779199998</v>
      </c>
    </row>
    <row r="21" spans="2:12">
      <c r="B21" t="s">
        <v>26</v>
      </c>
      <c r="C21" s="13">
        <f>Assumption!E43</f>
        <v>1361555</v>
      </c>
      <c r="D21" s="13">
        <f>Assumption!F43</f>
        <v>1660762</v>
      </c>
      <c r="E21" s="13">
        <f>Assumption!G43</f>
        <v>2098020</v>
      </c>
      <c r="F21" s="13">
        <f>Assumption!H43</f>
        <v>2777502</v>
      </c>
      <c r="G21" s="13">
        <f>Assumption!I43</f>
        <v>3117661</v>
      </c>
      <c r="H21" s="13">
        <f>Assumption!J43</f>
        <v>2203100</v>
      </c>
      <c r="I21" s="13">
        <f>Assumption!K43</f>
        <v>2371409</v>
      </c>
      <c r="J21" s="13">
        <f>Assumption!L43</f>
        <v>2513538.4</v>
      </c>
      <c r="K21" s="13">
        <f>Assumption!M43</f>
        <v>2596642.08</v>
      </c>
      <c r="L21" s="13">
        <f>Assumption!N43</f>
        <v>2560470.0959999999</v>
      </c>
    </row>
    <row r="22" spans="2:12">
      <c r="C22" s="5">
        <f>Assumption!E44</f>
        <v>8942371</v>
      </c>
      <c r="D22" s="5">
        <f>Assumption!F44</f>
        <v>13445584</v>
      </c>
      <c r="E22" s="5">
        <f>Assumption!G44</f>
        <v>13605947</v>
      </c>
      <c r="F22" s="5">
        <f>Assumption!H44</f>
        <v>8661650</v>
      </c>
      <c r="G22" s="5">
        <f>Assumption!I44</f>
        <v>16567237</v>
      </c>
      <c r="H22" s="5">
        <f>Assumption!J44</f>
        <v>12244557.800000001</v>
      </c>
      <c r="I22" s="5">
        <f>Assumption!K44</f>
        <v>12904995.16</v>
      </c>
      <c r="J22" s="5">
        <f>Assumption!L44</f>
        <v>12796877.392000001</v>
      </c>
      <c r="K22" s="5">
        <f>Assumption!M44</f>
        <v>12635063.4704</v>
      </c>
      <c r="L22" s="5">
        <f>Assumption!N44</f>
        <v>13429746.164479997</v>
      </c>
    </row>
    <row r="24" spans="2:12">
      <c r="B24" s="4" t="s">
        <v>27</v>
      </c>
    </row>
    <row r="25" spans="2:12">
      <c r="B25" t="s">
        <v>28</v>
      </c>
      <c r="C25" s="13">
        <f>Assumption!E47</f>
        <v>0</v>
      </c>
      <c r="D25" s="13">
        <f>Assumption!F47</f>
        <v>116343</v>
      </c>
      <c r="E25" s="13">
        <f>Assumption!G47</f>
        <v>227025</v>
      </c>
      <c r="F25" s="13">
        <f>Assumption!H47</f>
        <v>3395084</v>
      </c>
      <c r="G25" s="13">
        <f>Assumption!I47</f>
        <v>3734310</v>
      </c>
      <c r="H25" s="13">
        <f>Assumption!J47</f>
        <v>1494552.4</v>
      </c>
      <c r="I25" s="13">
        <f>Assumption!K47</f>
        <v>1793462.8800000001</v>
      </c>
      <c r="J25" s="13">
        <f>Assumption!L47</f>
        <v>2128886.8560000001</v>
      </c>
      <c r="K25" s="13">
        <f>Assumption!M47</f>
        <v>2509259.2272000005</v>
      </c>
      <c r="L25" s="13">
        <f>Assumption!N47</f>
        <v>2332094.2726400001</v>
      </c>
    </row>
    <row r="26" spans="2:12">
      <c r="B26" t="s">
        <v>29</v>
      </c>
      <c r="C26" s="13">
        <f>Assumption!E48</f>
        <v>4345157</v>
      </c>
      <c r="D26" s="13">
        <f>Assumption!F48</f>
        <v>11845986</v>
      </c>
      <c r="E26" s="13">
        <f>Assumption!G48</f>
        <v>15242800</v>
      </c>
      <c r="F26" s="13">
        <f>Assumption!H48</f>
        <v>17217473</v>
      </c>
      <c r="G26" s="13">
        <f>Assumption!I48</f>
        <v>6417473</v>
      </c>
      <c r="H26" s="13">
        <f>Assumption!J48</f>
        <v>11013777.800000001</v>
      </c>
      <c r="I26" s="13">
        <f>Assumption!K48</f>
        <v>12347501.959999999</v>
      </c>
      <c r="J26" s="13">
        <f>Assumption!L48</f>
        <v>12447805.151999999</v>
      </c>
      <c r="K26" s="13">
        <f>Assumption!M48</f>
        <v>11888806.182399999</v>
      </c>
      <c r="L26" s="13">
        <f>Assumption!N48</f>
        <v>10823072.818880001</v>
      </c>
    </row>
    <row r="27" spans="2:12">
      <c r="B27" t="s">
        <v>30</v>
      </c>
      <c r="C27" s="13">
        <f>Assumption!E49</f>
        <v>2013120</v>
      </c>
      <c r="D27" s="13">
        <f>Assumption!F49</f>
        <v>513908</v>
      </c>
      <c r="E27" s="13">
        <f>Assumption!G49</f>
        <v>1418301</v>
      </c>
      <c r="F27" s="13">
        <f>Assumption!H49</f>
        <v>6141325</v>
      </c>
      <c r="G27" s="13">
        <f>Assumption!I49</f>
        <v>830245</v>
      </c>
      <c r="H27" s="13">
        <f>Assumption!J49</f>
        <v>2183379.7999999998</v>
      </c>
      <c r="I27" s="13">
        <f>Assumption!K49</f>
        <v>2217431.7600000002</v>
      </c>
      <c r="J27" s="13">
        <f>Assumption!L49</f>
        <v>2558136.5120000001</v>
      </c>
      <c r="K27" s="13">
        <f>Assumption!M49</f>
        <v>2786103.6144000003</v>
      </c>
      <c r="L27" s="13">
        <f>Assumption!N49</f>
        <v>2115059.3372800001</v>
      </c>
    </row>
    <row r="28" spans="2:12">
      <c r="B28" t="s">
        <v>31</v>
      </c>
      <c r="C28" s="13">
        <f>Assumption!E50</f>
        <v>240843</v>
      </c>
      <c r="D28" s="13">
        <f>Assumption!F50</f>
        <v>260369</v>
      </c>
      <c r="E28" s="13">
        <f>Assumption!G50</f>
        <v>195431</v>
      </c>
      <c r="F28" s="13">
        <f>Assumption!H50</f>
        <v>192724</v>
      </c>
      <c r="G28" s="13">
        <f>Assumption!I50</f>
        <v>222166</v>
      </c>
      <c r="H28" s="13">
        <f>Assumption!J50</f>
        <v>222306.6</v>
      </c>
      <c r="I28" s="13">
        <f>Assumption!K50</f>
        <v>218599.32</v>
      </c>
      <c r="J28" s="13">
        <f>Assumption!L50</f>
        <v>210245.38399999999</v>
      </c>
      <c r="K28" s="13">
        <f>Assumption!M50</f>
        <v>213208.26079999999</v>
      </c>
      <c r="L28" s="13">
        <f>Assumption!N50</f>
        <v>217305.11295999997</v>
      </c>
    </row>
    <row r="29" spans="2:12">
      <c r="B29" t="s">
        <v>51</v>
      </c>
      <c r="C29" s="13">
        <f>Assumption!E51</f>
        <v>0</v>
      </c>
      <c r="D29" s="13">
        <f>Assumption!F51</f>
        <v>0</v>
      </c>
      <c r="E29" s="13">
        <f>Assumption!G51</f>
        <v>0</v>
      </c>
      <c r="F29" s="13">
        <f>Assumption!H51</f>
        <v>20608</v>
      </c>
      <c r="G29" s="13">
        <f>Assumption!I51</f>
        <v>72121</v>
      </c>
      <c r="H29" s="13">
        <f>Assumption!J51</f>
        <v>0</v>
      </c>
      <c r="I29" s="13">
        <f>Assumption!K51</f>
        <v>0</v>
      </c>
      <c r="J29" s="13">
        <f>Assumption!L51</f>
        <v>0</v>
      </c>
      <c r="K29" s="13">
        <f>Assumption!M51</f>
        <v>0</v>
      </c>
      <c r="L29" s="13">
        <f>Assumption!N51</f>
        <v>0</v>
      </c>
    </row>
    <row r="30" spans="2:12">
      <c r="B30" t="s">
        <v>32</v>
      </c>
      <c r="C30" s="13">
        <f>Assumption!E52</f>
        <v>1458740</v>
      </c>
      <c r="D30" s="13">
        <f>Assumption!F52</f>
        <v>1150297</v>
      </c>
      <c r="E30" s="13">
        <f>Assumption!G52</f>
        <v>20608</v>
      </c>
      <c r="F30" s="13">
        <f>Assumption!H52</f>
        <v>262436</v>
      </c>
      <c r="G30" s="13">
        <f>Assumption!I52</f>
        <v>26563482</v>
      </c>
      <c r="H30" s="13">
        <f>Assumption!J52</f>
        <v>5891112.5999999996</v>
      </c>
      <c r="I30" s="13">
        <f>Assumption!K52</f>
        <v>6777587.1200000001</v>
      </c>
      <c r="J30" s="13">
        <f>Assumption!L52</f>
        <v>7903045.1439999994</v>
      </c>
      <c r="K30" s="13">
        <f>Assumption!M52</f>
        <v>9479532.5727999993</v>
      </c>
      <c r="L30" s="13">
        <f>Assumption!N52</f>
        <v>11322951.887360001</v>
      </c>
    </row>
    <row r="31" spans="2:12">
      <c r="B31" t="s">
        <v>33</v>
      </c>
      <c r="C31" s="13">
        <f>Assumption!E53</f>
        <v>24920599</v>
      </c>
      <c r="D31" s="13">
        <f>Assumption!F53</f>
        <v>26231936</v>
      </c>
      <c r="E31" s="13">
        <f>Assumption!G53</f>
        <v>31745031</v>
      </c>
      <c r="F31" s="13">
        <f>Assumption!H53</f>
        <v>25138313</v>
      </c>
      <c r="G31" s="13">
        <f>Assumption!I53</f>
        <v>562263</v>
      </c>
      <c r="H31" s="13">
        <f>Assumption!J53</f>
        <v>21646194.768381301</v>
      </c>
      <c r="I31" s="13">
        <f>Assumption!K53</f>
        <v>21802051.33943997</v>
      </c>
      <c r="J31" s="13">
        <f>Assumption!L53</f>
        <v>21897455.400861621</v>
      </c>
      <c r="K31" s="13">
        <f>Assumption!M53</f>
        <v>21911241.543832976</v>
      </c>
      <c r="L31" s="13">
        <f>Assumption!N53</f>
        <v>21846573.937509894</v>
      </c>
    </row>
    <row r="32" spans="2:12">
      <c r="B32" t="s">
        <v>52</v>
      </c>
      <c r="C32" s="13">
        <f>Assumption!E54</f>
        <v>0</v>
      </c>
      <c r="D32" s="13">
        <f>Assumption!F54</f>
        <v>0</v>
      </c>
      <c r="E32" s="13">
        <f>Assumption!G54</f>
        <v>0</v>
      </c>
      <c r="F32" s="13">
        <f>Assumption!H54</f>
        <v>382146</v>
      </c>
      <c r="G32" s="13">
        <f>Assumption!I54</f>
        <v>1443443</v>
      </c>
      <c r="H32" s="13">
        <f>Assumption!J54</f>
        <v>365117.8</v>
      </c>
      <c r="I32" s="13">
        <f>Assumption!K54</f>
        <v>438141.36</v>
      </c>
      <c r="J32" s="13">
        <f>Assumption!L54</f>
        <v>525769.63199999998</v>
      </c>
      <c r="K32" s="13">
        <f>Assumption!M54</f>
        <v>630923.55839999986</v>
      </c>
      <c r="L32" s="13">
        <f>Assumption!N54</f>
        <v>680679.07008000009</v>
      </c>
    </row>
    <row r="33" spans="2:12">
      <c r="B33" t="s">
        <v>34</v>
      </c>
      <c r="C33" s="13">
        <f>Assumption!E55</f>
        <v>48888</v>
      </c>
      <c r="D33" s="13">
        <f>Assumption!F55</f>
        <v>146856</v>
      </c>
      <c r="E33" s="13">
        <f>Assumption!G55</f>
        <v>273854</v>
      </c>
      <c r="F33" s="13">
        <f>Assumption!H55</f>
        <v>444958</v>
      </c>
      <c r="G33" s="13">
        <f>Assumption!I55</f>
        <v>303183</v>
      </c>
      <c r="H33" s="13">
        <f>Assumption!J55</f>
        <v>243547.8</v>
      </c>
      <c r="I33" s="13">
        <f>Assumption!K55</f>
        <v>282479.76</v>
      </c>
      <c r="J33" s="13">
        <f>Assumption!L55</f>
        <v>309604.51199999999</v>
      </c>
      <c r="K33" s="13">
        <f>Assumption!M55</f>
        <v>316754.61440000002</v>
      </c>
      <c r="L33" s="13">
        <f>Assumption!N55</f>
        <v>291113.93728000007</v>
      </c>
    </row>
    <row r="34" spans="2:12">
      <c r="C34" s="5">
        <f>Assumption!E56</f>
        <v>33027347</v>
      </c>
      <c r="D34" s="5">
        <f>Assumption!F56</f>
        <v>40265695</v>
      </c>
      <c r="E34" s="5">
        <f>Assumption!G56</f>
        <v>49123050</v>
      </c>
      <c r="F34" s="5">
        <f>Assumption!H56</f>
        <v>53195067</v>
      </c>
      <c r="G34" s="5">
        <f>Assumption!I56</f>
        <v>40148686</v>
      </c>
      <c r="H34" s="5">
        <f>Assumption!J56</f>
        <v>43059989.568381295</v>
      </c>
      <c r="I34" s="5">
        <f>Assumption!K56</f>
        <v>45877255.499439962</v>
      </c>
      <c r="J34" s="5">
        <f>Assumption!L56</f>
        <v>47980948.592861623</v>
      </c>
      <c r="K34" s="5">
        <f>Assumption!M56</f>
        <v>49735829.574232973</v>
      </c>
      <c r="L34" s="5">
        <f>Assumption!N56</f>
        <v>49628850.373989895</v>
      </c>
    </row>
    <row r="38" spans="2:12">
      <c r="B38" s="4" t="s">
        <v>36</v>
      </c>
    </row>
    <row r="39" spans="2:12">
      <c r="B39" s="4" t="s">
        <v>37</v>
      </c>
    </row>
    <row r="40" spans="2:12">
      <c r="B40" t="s">
        <v>38</v>
      </c>
      <c r="C40" s="13">
        <f>Assumption!E62</f>
        <v>28046124</v>
      </c>
      <c r="D40" s="13">
        <f>Assumption!F62</f>
        <v>28734507</v>
      </c>
      <c r="E40" s="13">
        <f>Assumption!G62</f>
        <v>29982969</v>
      </c>
      <c r="F40" s="13">
        <f>Assumption!H62</f>
        <v>30333121</v>
      </c>
      <c r="G40" s="13">
        <f>Assumption!I62</f>
        <v>28679851</v>
      </c>
      <c r="H40" s="13">
        <f>Assumption!J62</f>
        <v>29155314.400000013</v>
      </c>
      <c r="I40" s="13">
        <f>Assumption!K62</f>
        <v>29252127.787526257</v>
      </c>
      <c r="J40" s="13">
        <f>Assumption!L62</f>
        <v>29219806.06621927</v>
      </c>
      <c r="K40" s="13">
        <f>Assumption!M62</f>
        <v>29144733.499946952</v>
      </c>
      <c r="L40" s="13">
        <f>Assumption!N62</f>
        <v>29185459.230738506</v>
      </c>
    </row>
    <row r="41" spans="2:12">
      <c r="B41" t="s">
        <v>39</v>
      </c>
      <c r="C41" s="13">
        <f>Assumption!E63</f>
        <v>2765730</v>
      </c>
      <c r="D41" s="13">
        <f>Assumption!F63</f>
        <v>4059585</v>
      </c>
      <c r="E41" s="13">
        <f>Assumption!G63</f>
        <v>3679302</v>
      </c>
      <c r="F41" s="13">
        <f>Assumption!H63</f>
        <v>3441066</v>
      </c>
      <c r="G41" s="13">
        <f>Assumption!I63</f>
        <v>4097316</v>
      </c>
      <c r="H41" s="13">
        <f>Assumption!J63</f>
        <v>3608599.8000000017</v>
      </c>
      <c r="I41" s="13">
        <f>Assumption!K63</f>
        <v>3620582.5475043305</v>
      </c>
      <c r="J41" s="13">
        <f>Assumption!L63</f>
        <v>3616582.0364673431</v>
      </c>
      <c r="K41" s="13">
        <f>Assumption!M63</f>
        <v>3607290.185111565</v>
      </c>
      <c r="L41" s="13">
        <f>Assumption!N63</f>
        <v>3612330.873816649</v>
      </c>
    </row>
    <row r="42" spans="2:12">
      <c r="B42" t="s">
        <v>40</v>
      </c>
      <c r="C42" s="13">
        <f>Assumption!E64</f>
        <v>31600</v>
      </c>
      <c r="D42" s="13">
        <f>Assumption!F64</f>
        <v>23532</v>
      </c>
      <c r="E42" s="13">
        <f>Assumption!G64</f>
        <v>15464</v>
      </c>
      <c r="F42" s="13">
        <f>Assumption!H64</f>
        <v>7396</v>
      </c>
      <c r="G42" s="13">
        <f>Assumption!I64</f>
        <v>0</v>
      </c>
      <c r="H42" s="13">
        <f>Assumption!J64</f>
        <v>0</v>
      </c>
      <c r="I42" s="13">
        <f>Assumption!K64</f>
        <v>0</v>
      </c>
      <c r="J42" s="13">
        <f>Assumption!L64</f>
        <v>0</v>
      </c>
      <c r="K42" s="13">
        <f>Assumption!M64</f>
        <v>0</v>
      </c>
      <c r="L42" s="13">
        <f>Assumption!N64</f>
        <v>0</v>
      </c>
    </row>
    <row r="43" spans="2:12">
      <c r="B43" t="s">
        <v>41</v>
      </c>
      <c r="C43" s="13">
        <f>Assumption!E65</f>
        <v>338449</v>
      </c>
      <c r="D43" s="13">
        <f>Assumption!F65</f>
        <v>367359</v>
      </c>
      <c r="E43" s="13">
        <f>Assumption!G65</f>
        <v>305333</v>
      </c>
      <c r="F43" s="13">
        <f>Assumption!H65</f>
        <v>239499</v>
      </c>
      <c r="G43" s="13">
        <f>Assumption!I65</f>
        <v>179191</v>
      </c>
      <c r="H43" s="13">
        <f>Assumption!J65</f>
        <v>285966.2</v>
      </c>
      <c r="I43" s="13">
        <f>Assumption!K65</f>
        <v>275469.64</v>
      </c>
      <c r="J43" s="13">
        <f>Assumption!L65</f>
        <v>257091.76799999998</v>
      </c>
      <c r="K43" s="13">
        <f>Assumption!M65</f>
        <v>247443.52160000001</v>
      </c>
      <c r="L43" s="13">
        <f>Assumption!N65</f>
        <v>249032.42592000001</v>
      </c>
    </row>
    <row r="44" spans="2:12">
      <c r="B44" t="s">
        <v>42</v>
      </c>
      <c r="C44" s="13">
        <f>Assumption!E66</f>
        <v>32046</v>
      </c>
      <c r="D44" s="13">
        <f>Assumption!F66</f>
        <v>36147</v>
      </c>
      <c r="E44" s="13">
        <f>Assumption!G66</f>
        <v>0</v>
      </c>
      <c r="F44" s="13">
        <f>Assumption!H66</f>
        <v>0</v>
      </c>
      <c r="G44" s="13">
        <f>Assumption!I66</f>
        <v>0</v>
      </c>
      <c r="H44" s="13">
        <f>Assumption!J66</f>
        <v>0</v>
      </c>
      <c r="I44" s="13">
        <f>Assumption!K66</f>
        <v>0</v>
      </c>
      <c r="J44" s="13">
        <f>Assumption!L66</f>
        <v>0</v>
      </c>
      <c r="K44" s="13">
        <f>Assumption!M66</f>
        <v>0</v>
      </c>
      <c r="L44" s="13">
        <f>Assumption!N66</f>
        <v>0</v>
      </c>
    </row>
    <row r="45" spans="2:12">
      <c r="C45" s="5">
        <f>Assumption!E67</f>
        <v>31213949</v>
      </c>
      <c r="D45" s="5">
        <f>Assumption!F67</f>
        <v>33221130</v>
      </c>
      <c r="E45" s="5">
        <f>Assumption!G67</f>
        <v>33983068</v>
      </c>
      <c r="F45" s="5">
        <f>Assumption!H67</f>
        <v>34021082</v>
      </c>
      <c r="G45" s="5">
        <f>Assumption!I67</f>
        <v>32956358</v>
      </c>
      <c r="H45" s="5">
        <f>Assumption!J67</f>
        <v>33049880.400000013</v>
      </c>
      <c r="I45" s="5">
        <f>Assumption!K67</f>
        <v>33148179.97503059</v>
      </c>
      <c r="J45" s="5">
        <f>Assumption!L67</f>
        <v>33093479.870686613</v>
      </c>
      <c r="K45" s="5">
        <f>Assumption!M67</f>
        <v>32999467.206658516</v>
      </c>
      <c r="L45" s="5">
        <f>Assumption!N67</f>
        <v>33046822.530475155</v>
      </c>
    </row>
    <row r="47" spans="2:12">
      <c r="B47" s="4" t="s">
        <v>43</v>
      </c>
    </row>
    <row r="48" spans="2:12">
      <c r="B48" t="s">
        <v>44</v>
      </c>
      <c r="C48" s="13">
        <f>Assumption!E70</f>
        <v>1308329</v>
      </c>
      <c r="D48" s="13">
        <f>Assumption!F70</f>
        <v>1769987</v>
      </c>
      <c r="E48" s="13">
        <f>Assumption!G70</f>
        <v>1951900</v>
      </c>
      <c r="F48" s="13">
        <f>Assumption!H70</f>
        <v>2376057</v>
      </c>
      <c r="G48" s="13">
        <f>Assumption!I70</f>
        <v>2670279</v>
      </c>
      <c r="H48" s="13">
        <f>Assumption!J70</f>
        <v>2015310.4</v>
      </c>
      <c r="I48" s="13">
        <f>Assumption!K70</f>
        <v>2156706.6800000002</v>
      </c>
      <c r="J48" s="13">
        <f>Assumption!L70</f>
        <v>2234050.6159999999</v>
      </c>
      <c r="K48" s="13">
        <f>Assumption!M70</f>
        <v>2290480.7392000002</v>
      </c>
      <c r="L48" s="13">
        <f>Assumption!N70</f>
        <v>2273365.48704</v>
      </c>
    </row>
    <row r="49" spans="2:12">
      <c r="B49" t="s">
        <v>45</v>
      </c>
      <c r="C49" s="13">
        <f>Assumption!E71</f>
        <v>11207230</v>
      </c>
      <c r="D49" s="13">
        <f>Assumption!F71</f>
        <v>15358288</v>
      </c>
      <c r="E49" s="13">
        <f>Assumption!G71</f>
        <v>19711784</v>
      </c>
      <c r="F49" s="13">
        <f>Assumption!H71</f>
        <v>18876441</v>
      </c>
      <c r="G49" s="13">
        <f>Assumption!I71</f>
        <v>16252021</v>
      </c>
      <c r="H49" s="13">
        <f>Assumption!J71</f>
        <v>17617381.682984456</v>
      </c>
      <c r="I49" s="13">
        <f>Assumption!K71</f>
        <v>17509430.094661672</v>
      </c>
      <c r="J49" s="13">
        <f>Assumption!L71</f>
        <v>17329769.315468796</v>
      </c>
      <c r="K49" s="13">
        <f>Assumption!M71</f>
        <v>17196239.921513129</v>
      </c>
      <c r="L49" s="13">
        <f>Assumption!N71</f>
        <v>17421503.871466205</v>
      </c>
    </row>
    <row r="50" spans="2:12">
      <c r="B50" t="s">
        <v>46</v>
      </c>
      <c r="C50" s="13">
        <f>Assumption!E72</f>
        <v>564460</v>
      </c>
      <c r="D50" s="13">
        <f>Assumption!F72</f>
        <v>781116</v>
      </c>
      <c r="E50" s="13">
        <f>Assumption!G72</f>
        <v>3116948</v>
      </c>
      <c r="F50" s="13">
        <f>Assumption!H72</f>
        <v>2164888</v>
      </c>
      <c r="G50" s="13">
        <f>Assumption!I72</f>
        <v>1930333</v>
      </c>
      <c r="H50" s="13">
        <f>Assumption!J72</f>
        <v>1893759.1292866922</v>
      </c>
      <c r="I50" s="13">
        <f>Assumption!K72</f>
        <v>1911409.5667100397</v>
      </c>
      <c r="J50" s="13">
        <f>Assumption!L72</f>
        <v>1899697.287191171</v>
      </c>
      <c r="K50" s="13">
        <f>Assumption!M72</f>
        <v>1880204.871218625</v>
      </c>
      <c r="L50" s="13">
        <f>Assumption!N72</f>
        <v>1865717.5106314181</v>
      </c>
    </row>
    <row r="51" spans="2:12">
      <c r="B51" t="s">
        <v>47</v>
      </c>
      <c r="C51" s="13">
        <f>Assumption!E73</f>
        <v>98565</v>
      </c>
      <c r="D51" s="13">
        <f>Assumption!F73</f>
        <v>135248</v>
      </c>
      <c r="E51" s="13">
        <f>Assumption!G73</f>
        <v>132729</v>
      </c>
      <c r="F51" s="13">
        <f>Assumption!H73</f>
        <v>132045</v>
      </c>
      <c r="G51" s="13">
        <f>Assumption!I73</f>
        <v>134078</v>
      </c>
      <c r="H51" s="13">
        <f>Assumption!J73</f>
        <v>126533</v>
      </c>
      <c r="I51" s="13">
        <f>Assumption!K73</f>
        <v>132126.6</v>
      </c>
      <c r="J51" s="13">
        <f>Assumption!L73</f>
        <v>131502.32</v>
      </c>
      <c r="K51" s="13">
        <f>Assumption!M73</f>
        <v>131256.984</v>
      </c>
      <c r="L51" s="13">
        <f>Assumption!N73</f>
        <v>131099.38079999998</v>
      </c>
    </row>
    <row r="52" spans="2:12">
      <c r="B52" t="s">
        <v>48</v>
      </c>
      <c r="C52" s="13">
        <f>Assumption!E74</f>
        <v>5374745</v>
      </c>
      <c r="D52" s="13">
        <f>Assumption!F74</f>
        <v>4477768</v>
      </c>
      <c r="E52" s="13">
        <f>Assumption!G74</f>
        <v>4552598</v>
      </c>
      <c r="F52" s="13">
        <f>Assumption!H74</f>
        <v>4599004</v>
      </c>
      <c r="G52" s="13">
        <f>Assumption!I74</f>
        <v>4324260</v>
      </c>
      <c r="H52" s="13">
        <f>Assumption!J74</f>
        <v>4665675</v>
      </c>
      <c r="I52" s="13">
        <f>Assumption!K74</f>
        <v>4523861</v>
      </c>
      <c r="J52" s="13">
        <f>Assumption!L74</f>
        <v>4533079.5999999996</v>
      </c>
      <c r="K52" s="13">
        <f>Assumption!M74</f>
        <v>4529175.92</v>
      </c>
      <c r="L52" s="13">
        <f>Assumption!N74</f>
        <v>4515210.3040000005</v>
      </c>
    </row>
    <row r="53" spans="2:12">
      <c r="B53" t="s">
        <v>49</v>
      </c>
      <c r="C53" s="13">
        <f>Assumption!E75</f>
        <v>661325</v>
      </c>
      <c r="D53" s="13">
        <f>Assumption!F75</f>
        <v>1268098</v>
      </c>
      <c r="E53" s="13">
        <f>Assumption!G75</f>
        <v>2446521</v>
      </c>
      <c r="F53" s="13">
        <f>Assumption!H75</f>
        <v>2624413</v>
      </c>
      <c r="G53" s="13">
        <f>Assumption!I75</f>
        <v>1849981</v>
      </c>
      <c r="H53" s="13">
        <f>Assumption!J75</f>
        <v>1770067.6</v>
      </c>
      <c r="I53" s="13">
        <f>Assumption!K75</f>
        <v>1991816.1199999999</v>
      </c>
      <c r="J53" s="13">
        <f>Assumption!L75</f>
        <v>2136559.7439999999</v>
      </c>
      <c r="K53" s="13">
        <f>Assumption!M75</f>
        <v>2074567.4927999999</v>
      </c>
      <c r="L53" s="13">
        <f>Assumption!N75</f>
        <v>1964598.3913599998</v>
      </c>
    </row>
    <row r="54" spans="2:12">
      <c r="B54" t="s">
        <v>50</v>
      </c>
      <c r="C54" s="13">
        <f>Assumption!E76</f>
        <v>353167</v>
      </c>
      <c r="D54" s="13">
        <f>Assumption!F76</f>
        <v>1333984</v>
      </c>
      <c r="E54" s="13">
        <f>Assumption!G76</f>
        <v>745694</v>
      </c>
      <c r="F54" s="13">
        <f>Assumption!H76</f>
        <v>318753</v>
      </c>
      <c r="G54" s="13">
        <f>Assumption!I76</f>
        <v>789055</v>
      </c>
      <c r="H54" s="13">
        <f>Assumption!J76</f>
        <v>9871411.4954547696</v>
      </c>
      <c r="I54" s="13">
        <f>Assumption!K76</f>
        <v>22167577.370634347</v>
      </c>
      <c r="J54" s="13">
        <f>Assumption!L76</f>
        <v>32599626.460144758</v>
      </c>
      <c r="K54" s="13">
        <f>Assumption!M76</f>
        <v>42209405.622401506</v>
      </c>
      <c r="L54" s="13">
        <f>Assumption!N76</f>
        <v>51139899.86488235</v>
      </c>
    </row>
    <row r="55" spans="2:12">
      <c r="C55" s="5">
        <f>Assumption!E77</f>
        <v>19567821</v>
      </c>
      <c r="D55" s="5">
        <f>Assumption!F77</f>
        <v>25124489</v>
      </c>
      <c r="E55" s="5">
        <f>Assumption!G77</f>
        <v>32658174</v>
      </c>
      <c r="F55" s="5">
        <f>Assumption!H77</f>
        <v>31091601</v>
      </c>
      <c r="G55" s="5">
        <f>Assumption!I77</f>
        <v>27950007</v>
      </c>
      <c r="H55" s="5">
        <f>Assumption!J77</f>
        <v>37960138.307725921</v>
      </c>
      <c r="I55" s="5">
        <f>Assumption!K77</f>
        <v>50392927.432006061</v>
      </c>
      <c r="J55" s="5">
        <f>Assumption!L77</f>
        <v>60864285.34280473</v>
      </c>
      <c r="K55" s="5">
        <f>Assumption!M77</f>
        <v>70311331.55113326</v>
      </c>
      <c r="L55" s="5">
        <f>Assumption!N77</f>
        <v>79311394.810179979</v>
      </c>
    </row>
    <row r="57" spans="2:12">
      <c r="C57" s="5">
        <f>Assumption!E79</f>
        <v>50781770</v>
      </c>
      <c r="D57" s="5">
        <f>Assumption!F79</f>
        <v>58345619</v>
      </c>
      <c r="E57" s="5">
        <f>Assumption!G79</f>
        <v>66641242</v>
      </c>
      <c r="F57" s="5">
        <f>Assumption!H79</f>
        <v>65112683</v>
      </c>
      <c r="G57" s="5">
        <f>Assumption!I79</f>
        <v>60906365</v>
      </c>
      <c r="H57" s="5">
        <f>Assumption!J79</f>
        <v>71010018.707725942</v>
      </c>
      <c r="I57" s="5">
        <f>Assumption!K79</f>
        <v>83541107.407036647</v>
      </c>
      <c r="J57" s="5">
        <f>Assumption!L79</f>
        <v>93957765.21349135</v>
      </c>
      <c r="K57" s="5">
        <f>Assumption!M79</f>
        <v>103310798.75779177</v>
      </c>
      <c r="L57" s="5">
        <f>Assumption!N79</f>
        <v>112358217.34065513</v>
      </c>
    </row>
  </sheetData>
  <mergeCells count="3">
    <mergeCell ref="C3:G3"/>
    <mergeCell ref="H3:L3"/>
    <mergeCell ref="C1:L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L34"/>
  <sheetViews>
    <sheetView topLeftCell="H1" workbookViewId="0">
      <selection activeCell="X3" sqref="X3"/>
    </sheetView>
  </sheetViews>
  <sheetFormatPr defaultRowHeight="15"/>
  <cols>
    <col min="2" max="2" width="60.28515625" bestFit="1" customWidth="1"/>
    <col min="3" max="12" width="15" style="13" bestFit="1" customWidth="1"/>
  </cols>
  <sheetData>
    <row r="1" spans="2:12">
      <c r="C1" s="67" t="s">
        <v>184</v>
      </c>
      <c r="D1" s="67"/>
      <c r="E1" s="67"/>
      <c r="F1" s="67"/>
      <c r="G1" s="67"/>
      <c r="H1" s="67"/>
      <c r="I1" s="67"/>
      <c r="J1" s="67"/>
      <c r="K1" s="67"/>
      <c r="L1" s="67"/>
    </row>
    <row r="2" spans="2:12">
      <c r="C2" s="67"/>
      <c r="D2" s="67"/>
      <c r="E2" s="67"/>
      <c r="F2" s="67"/>
      <c r="G2" s="67"/>
      <c r="H2" s="67"/>
      <c r="I2" s="67"/>
      <c r="J2" s="67"/>
      <c r="K2" s="67"/>
      <c r="L2" s="67"/>
    </row>
    <row r="3" spans="2:12">
      <c r="C3" s="68" t="s">
        <v>181</v>
      </c>
      <c r="D3" s="68"/>
      <c r="E3" s="68"/>
      <c r="F3" s="68"/>
      <c r="G3" s="68"/>
      <c r="H3" s="69" t="s">
        <v>182</v>
      </c>
      <c r="I3" s="69"/>
      <c r="J3" s="69"/>
      <c r="K3" s="69"/>
      <c r="L3" s="69"/>
    </row>
    <row r="4" spans="2:12">
      <c r="C4" s="4">
        <v>2016</v>
      </c>
      <c r="D4" s="4">
        <f>C4+1</f>
        <v>2017</v>
      </c>
      <c r="E4" s="4">
        <f t="shared" ref="E4:L4" si="0">D4+1</f>
        <v>2018</v>
      </c>
      <c r="F4" s="4">
        <f t="shared" si="0"/>
        <v>2019</v>
      </c>
      <c r="G4" s="4">
        <f t="shared" si="0"/>
        <v>2020</v>
      </c>
      <c r="H4" s="4">
        <f t="shared" si="0"/>
        <v>2021</v>
      </c>
      <c r="I4" s="4">
        <f t="shared" si="0"/>
        <v>2022</v>
      </c>
      <c r="J4" s="4">
        <f t="shared" si="0"/>
        <v>2023</v>
      </c>
      <c r="K4" s="4">
        <f t="shared" si="0"/>
        <v>2024</v>
      </c>
      <c r="L4" s="4">
        <f t="shared" si="0"/>
        <v>2025</v>
      </c>
    </row>
    <row r="5" spans="2:12">
      <c r="B5" s="4" t="s">
        <v>54</v>
      </c>
      <c r="C5"/>
      <c r="D5"/>
      <c r="E5"/>
      <c r="F5"/>
      <c r="G5"/>
      <c r="H5"/>
      <c r="I5"/>
      <c r="J5"/>
      <c r="K5"/>
      <c r="L5"/>
    </row>
    <row r="6" spans="2:12">
      <c r="B6" t="s">
        <v>73</v>
      </c>
      <c r="C6" s="13">
        <f>Assumption!E84</f>
        <v>29534835</v>
      </c>
      <c r="D6" s="13">
        <f>Assumption!F84</f>
        <v>21925820</v>
      </c>
      <c r="E6" s="13">
        <f>Assumption!G84</f>
        <v>22880081</v>
      </c>
      <c r="F6" s="13">
        <f>Assumption!H84</f>
        <v>13672288</v>
      </c>
      <c r="G6" s="13">
        <f>Assumption!I84</f>
        <v>26001732</v>
      </c>
      <c r="H6" s="13">
        <f>Assumption!J84</f>
        <v>32353642.712505866</v>
      </c>
      <c r="I6" s="13">
        <f>Assumption!K84</f>
        <v>32660353.19059528</v>
      </c>
      <c r="J6" s="13">
        <f>Assumption!L84</f>
        <v>31515193.750611313</v>
      </c>
      <c r="K6" s="13">
        <f>Assumption!M84</f>
        <v>30287059.205078058</v>
      </c>
      <c r="L6" s="13">
        <f>Assumption!N84</f>
        <v>29651873.23412542</v>
      </c>
    </row>
    <row r="7" spans="2:12">
      <c r="B7" t="s">
        <v>76</v>
      </c>
      <c r="C7" s="13">
        <f>Assumption!E85</f>
        <v>11628</v>
      </c>
      <c r="D7" s="13">
        <f>Assumption!F85</f>
        <v>-4101</v>
      </c>
      <c r="E7" s="13">
        <f>Assumption!G85</f>
        <v>36147</v>
      </c>
      <c r="F7" s="13">
        <f>Assumption!H85</f>
        <v>0</v>
      </c>
      <c r="G7" s="13">
        <f>Assumption!I85</f>
        <v>0</v>
      </c>
      <c r="H7" s="13">
        <f>Assumption!J85</f>
        <v>0</v>
      </c>
      <c r="I7" s="13">
        <f>Assumption!K85</f>
        <v>0</v>
      </c>
      <c r="J7" s="13">
        <f>Assumption!L85</f>
        <v>0</v>
      </c>
      <c r="K7" s="13">
        <f>Assumption!M85</f>
        <v>0</v>
      </c>
      <c r="L7" s="13">
        <f>Assumption!N85</f>
        <v>0</v>
      </c>
    </row>
    <row r="8" spans="2:12">
      <c r="B8" t="s">
        <v>55</v>
      </c>
      <c r="C8" s="13">
        <f>Assumption!E86</f>
        <v>-62040</v>
      </c>
      <c r="D8" s="13">
        <f>Assumption!F86</f>
        <v>-65593</v>
      </c>
      <c r="E8" s="13">
        <f>Assumption!G86</f>
        <v>64545</v>
      </c>
      <c r="F8" s="13">
        <f>Assumption!H86</f>
        <v>66518</v>
      </c>
      <c r="G8" s="13">
        <f>Assumption!I86</f>
        <v>58275</v>
      </c>
      <c r="H8" s="13">
        <f>Assumption!J86</f>
        <v>106775.20000000001</v>
      </c>
      <c r="I8" s="13">
        <f>Assumption!K86</f>
        <v>-10496.559999999998</v>
      </c>
      <c r="J8" s="13">
        <f>Assumption!L86</f>
        <v>-18377.872000000032</v>
      </c>
      <c r="K8" s="13">
        <f>Assumption!M86</f>
        <v>-9648.2463999999745</v>
      </c>
      <c r="L8" s="13">
        <f>Assumption!N86</f>
        <v>1588.9043200000015</v>
      </c>
    </row>
    <row r="9" spans="2:12">
      <c r="B9" t="s">
        <v>56</v>
      </c>
      <c r="C9" s="13">
        <f>Assumption!E87</f>
        <v>19538</v>
      </c>
      <c r="D9" s="13">
        <f>Assumption!F87</f>
        <v>19526</v>
      </c>
      <c r="E9" s="13">
        <f>Assumption!G87</f>
        <v>-64938</v>
      </c>
      <c r="F9" s="13">
        <f>Assumption!H87</f>
        <v>-2707</v>
      </c>
      <c r="G9" s="13">
        <f>Assumption!I87</f>
        <v>29442</v>
      </c>
      <c r="H9" s="13">
        <f>Assumption!J87</f>
        <v>140.60000000000582</v>
      </c>
      <c r="I9" s="13">
        <f>Assumption!K87</f>
        <v>-3707.2799999999988</v>
      </c>
      <c r="J9" s="13">
        <f>Assumption!L87</f>
        <v>-8353.9360000000161</v>
      </c>
      <c r="K9" s="13">
        <f>Assumption!M87</f>
        <v>2962.8767999999982</v>
      </c>
      <c r="L9" s="13">
        <f>Assumption!N87</f>
        <v>4096.8521599999804</v>
      </c>
    </row>
    <row r="10" spans="2:12">
      <c r="B10" t="s">
        <v>48</v>
      </c>
      <c r="C10" s="13">
        <f>Assumption!E88</f>
        <v>421867</v>
      </c>
      <c r="D10" s="13">
        <f>Assumption!F88</f>
        <v>896977</v>
      </c>
      <c r="E10" s="13">
        <f>Assumption!G88</f>
        <v>0</v>
      </c>
      <c r="F10" s="13">
        <f>Assumption!H88</f>
        <v>0</v>
      </c>
      <c r="G10" s="13">
        <f>Assumption!I88</f>
        <v>0</v>
      </c>
      <c r="H10" s="13">
        <f>Assumption!J88</f>
        <v>0</v>
      </c>
      <c r="I10" s="13">
        <f>Assumption!K88</f>
        <v>0</v>
      </c>
      <c r="J10" s="13">
        <f>Assumption!L88</f>
        <v>0</v>
      </c>
      <c r="K10" s="13">
        <f>Assumption!M88</f>
        <v>0</v>
      </c>
      <c r="L10" s="13">
        <f>Assumption!N88</f>
        <v>0</v>
      </c>
    </row>
    <row r="11" spans="2:12">
      <c r="B11" t="s">
        <v>77</v>
      </c>
      <c r="C11" s="13">
        <f>Assumption!E89</f>
        <v>-387921</v>
      </c>
      <c r="D11" s="13">
        <f>Assumption!F89</f>
        <v>-423487</v>
      </c>
      <c r="E11" s="13">
        <f>Assumption!G89</f>
        <v>-74830</v>
      </c>
      <c r="F11" s="13">
        <f>Assumption!H89</f>
        <v>0</v>
      </c>
      <c r="G11" s="13">
        <f>Assumption!I89</f>
        <v>0</v>
      </c>
      <c r="H11" s="13">
        <f>Assumption!J89</f>
        <v>0</v>
      </c>
      <c r="I11" s="13">
        <f>Assumption!K89</f>
        <v>0</v>
      </c>
      <c r="J11" s="13">
        <f>Assumption!L89</f>
        <v>0</v>
      </c>
      <c r="K11" s="13">
        <f>Assumption!M89</f>
        <v>0</v>
      </c>
      <c r="L11" s="13">
        <f>Assumption!N89</f>
        <v>0</v>
      </c>
    </row>
    <row r="12" spans="2:12">
      <c r="B12" t="s">
        <v>57</v>
      </c>
      <c r="C12" s="13">
        <f>Assumption!E90</f>
        <v>0</v>
      </c>
      <c r="D12" s="13">
        <f>Assumption!F90</f>
        <v>0</v>
      </c>
      <c r="E12" s="13">
        <f>Assumption!G90</f>
        <v>-485465</v>
      </c>
      <c r="F12" s="13">
        <f>Assumption!H90</f>
        <v>-485384</v>
      </c>
      <c r="G12" s="13">
        <f>Assumption!I90</f>
        <v>-477319</v>
      </c>
      <c r="H12" s="13">
        <f>Assumption!J90</f>
        <v>-914561</v>
      </c>
      <c r="I12" s="13">
        <f>Assumption!K90</f>
        <v>168309</v>
      </c>
      <c r="J12" s="13">
        <f>Assumption!L90</f>
        <v>142129.39999999991</v>
      </c>
      <c r="K12" s="13">
        <f>Assumption!M90</f>
        <v>83103.680000000168</v>
      </c>
      <c r="L12" s="13">
        <f>Assumption!N90</f>
        <v>-36171.984000000171</v>
      </c>
    </row>
    <row r="13" spans="2:12">
      <c r="B13" t="s">
        <v>58</v>
      </c>
      <c r="C13" s="13">
        <f>Assumption!E91</f>
        <v>-895145</v>
      </c>
      <c r="D13" s="13">
        <f>Assumption!F91</f>
        <v>-11916</v>
      </c>
      <c r="E13" s="13">
        <f>Assumption!G91</f>
        <v>-2012905</v>
      </c>
      <c r="F13" s="13">
        <f>Assumption!H91</f>
        <v>0</v>
      </c>
      <c r="G13" s="13">
        <f>Assumption!I91</f>
        <v>-596268</v>
      </c>
      <c r="H13" s="13">
        <f>Assumption!J91</f>
        <v>-703246.8</v>
      </c>
      <c r="I13" s="13">
        <f>Assumption!K91</f>
        <v>-664867.15999999992</v>
      </c>
      <c r="J13" s="13">
        <f>Assumption!L91</f>
        <v>-795457.39199999999</v>
      </c>
      <c r="K13" s="13">
        <f>Assumption!M91</f>
        <v>-551967.87040000001</v>
      </c>
      <c r="L13" s="13">
        <f>Assumption!N91</f>
        <v>-662361.44447999995</v>
      </c>
    </row>
    <row r="14" spans="2:12">
      <c r="B14" t="s">
        <v>78</v>
      </c>
      <c r="C14" s="13">
        <f>Assumption!E92</f>
        <v>-264986</v>
      </c>
      <c r="D14" s="13">
        <f>Assumption!F92</f>
        <v>-323560</v>
      </c>
      <c r="E14" s="13">
        <f>Assumption!G92</f>
        <v>-348076</v>
      </c>
      <c r="F14" s="13">
        <f>Assumption!H92</f>
        <v>0</v>
      </c>
      <c r="G14" s="13">
        <f>Assumption!I92</f>
        <v>0</v>
      </c>
      <c r="H14" s="13">
        <f>Assumption!J92</f>
        <v>-187324.4</v>
      </c>
      <c r="I14" s="13">
        <f>Assumption!K92</f>
        <v>-171792.08000000002</v>
      </c>
      <c r="J14" s="13">
        <f>Assumption!L92</f>
        <v>-141438.49599999998</v>
      </c>
      <c r="K14" s="13">
        <f>Assumption!M92</f>
        <v>-100110.99519999999</v>
      </c>
      <c r="L14" s="13">
        <f>Assumption!N92</f>
        <v>-120133.19423999998</v>
      </c>
    </row>
    <row r="15" spans="2:12">
      <c r="B15" t="s">
        <v>59</v>
      </c>
      <c r="C15" s="13">
        <f>Assumption!E93</f>
        <v>-5622752</v>
      </c>
      <c r="D15" s="13">
        <f>Assumption!F93</f>
        <v>-6012968</v>
      </c>
      <c r="E15" s="13">
        <f>Assumption!G93</f>
        <v>-6745942</v>
      </c>
      <c r="F15" s="13">
        <f>Assumption!H93</f>
        <v>-3172405</v>
      </c>
      <c r="G15" s="13">
        <f>Assumption!I93</f>
        <v>-3147715</v>
      </c>
      <c r="H15" s="13">
        <f>Assumption!J93</f>
        <v>-8948799.5370510872</v>
      </c>
      <c r="I15" s="13">
        <f>Assumption!K93</f>
        <v>-8991562.0018037427</v>
      </c>
      <c r="J15" s="13">
        <f>Assumption!L93</f>
        <v>-8656383.2597476896</v>
      </c>
      <c r="K15" s="13">
        <f>Assumption!M93</f>
        <v>-8305772.1612753961</v>
      </c>
      <c r="L15" s="13">
        <f>Assumption!N93</f>
        <v>-8142312.3246349683</v>
      </c>
    </row>
    <row r="16" spans="2:12">
      <c r="B16" s="4" t="s">
        <v>60</v>
      </c>
      <c r="C16" s="5">
        <f>Assumption!E94</f>
        <v>22755024</v>
      </c>
      <c r="D16" s="5">
        <f>Assumption!F94</f>
        <v>16000698</v>
      </c>
      <c r="E16" s="5">
        <f>Assumption!G94</f>
        <v>13248617</v>
      </c>
      <c r="F16" s="5">
        <f>Assumption!H94</f>
        <v>10078310</v>
      </c>
      <c r="G16" s="5">
        <f>Assumption!I94</f>
        <v>21868147</v>
      </c>
      <c r="H16" s="5">
        <f>Assumption!J94</f>
        <v>21706626.775454782</v>
      </c>
      <c r="I16" s="5">
        <f>Assumption!K94</f>
        <v>22986237.108791538</v>
      </c>
      <c r="J16" s="5">
        <f>Assumption!L94</f>
        <v>22037312.194863617</v>
      </c>
      <c r="K16" s="5">
        <f>Assumption!M94</f>
        <v>21405626.488602661</v>
      </c>
      <c r="L16" s="5">
        <f>Assumption!N94</f>
        <v>20696580.043250453</v>
      </c>
    </row>
    <row r="18" spans="2:12">
      <c r="B18" s="4" t="s">
        <v>61</v>
      </c>
    </row>
    <row r="19" spans="2:12">
      <c r="B19" t="s">
        <v>62</v>
      </c>
      <c r="C19" s="13">
        <f>Assumption!E97</f>
        <v>-4080255</v>
      </c>
      <c r="D19" s="13">
        <f>Assumption!F97</f>
        <v>-5457179</v>
      </c>
      <c r="E19" s="13">
        <f>Assumption!G97</f>
        <v>-4533175</v>
      </c>
      <c r="F19" s="13">
        <f>Assumption!H97</f>
        <v>-3803843</v>
      </c>
      <c r="G19" s="13">
        <f>Assumption!I97</f>
        <v>-3156982</v>
      </c>
      <c r="H19" s="13">
        <f>Assumption!J97</f>
        <v>-475463.40000001341</v>
      </c>
      <c r="I19" s="13">
        <f>Assumption!K97</f>
        <v>-96813.387526243925</v>
      </c>
      <c r="J19" s="13">
        <f>Assumption!L97</f>
        <v>0</v>
      </c>
      <c r="K19" s="13">
        <f>Assumption!M97</f>
        <v>0</v>
      </c>
      <c r="L19" s="13">
        <f>Assumption!N97</f>
        <v>-40725.730791553855</v>
      </c>
    </row>
    <row r="20" spans="2:12">
      <c r="B20" t="s">
        <v>74</v>
      </c>
      <c r="C20" s="13">
        <f>Assumption!E98</f>
        <v>560991</v>
      </c>
      <c r="D20" s="13">
        <f>Assumption!F98</f>
        <v>250451</v>
      </c>
      <c r="E20" s="13">
        <f>Assumption!G98</f>
        <v>226806</v>
      </c>
      <c r="F20" s="13">
        <f>Assumption!H98</f>
        <v>215250</v>
      </c>
      <c r="G20" s="13">
        <f>Assumption!I98</f>
        <v>171615</v>
      </c>
      <c r="H20" s="13">
        <f>Assumption!J98</f>
        <v>0</v>
      </c>
      <c r="I20" s="13">
        <f>Assumption!K98</f>
        <v>0</v>
      </c>
      <c r="J20" s="13">
        <f>Assumption!L98</f>
        <v>32321.721306987107</v>
      </c>
      <c r="K20" s="13">
        <f>Assumption!M98</f>
        <v>75072.566272318363</v>
      </c>
      <c r="L20" s="13">
        <f>Assumption!N98</f>
        <v>0</v>
      </c>
    </row>
    <row r="21" spans="2:12">
      <c r="B21" t="s">
        <v>63</v>
      </c>
      <c r="C21" s="5">
        <f>Assumption!E99</f>
        <v>-3519264</v>
      </c>
      <c r="D21" s="5">
        <f>Assumption!F99</f>
        <v>-5206728</v>
      </c>
      <c r="E21" s="5">
        <f>Assumption!G99</f>
        <v>-4306369</v>
      </c>
      <c r="F21" s="5">
        <f>Assumption!H99</f>
        <v>-3588593</v>
      </c>
      <c r="G21" s="5">
        <f>Assumption!I99</f>
        <v>-2985367</v>
      </c>
      <c r="H21" s="5">
        <f>Assumption!J99</f>
        <v>-475463.40000001341</v>
      </c>
      <c r="I21" s="5">
        <f>Assumption!K99</f>
        <v>-96813.387526243925</v>
      </c>
      <c r="J21" s="5">
        <f>Assumption!L99</f>
        <v>32321.721306987107</v>
      </c>
      <c r="K21" s="5">
        <f>Assumption!M99</f>
        <v>75072.566272318363</v>
      </c>
      <c r="L21" s="5">
        <f>Assumption!N99</f>
        <v>-40725.730791553855</v>
      </c>
    </row>
    <row r="23" spans="2:12">
      <c r="B23" s="4" t="s">
        <v>64</v>
      </c>
    </row>
    <row r="24" spans="2:12">
      <c r="B24" t="s">
        <v>65</v>
      </c>
      <c r="C24" s="13">
        <f>Assumption!E102</f>
        <v>-993638</v>
      </c>
      <c r="D24" s="13">
        <f>Assumption!F102</f>
        <v>-997662</v>
      </c>
      <c r="E24" s="13">
        <f>Assumption!G102</f>
        <v>-1691652</v>
      </c>
      <c r="F24" s="13">
        <f>Assumption!H102</f>
        <v>-3016591</v>
      </c>
      <c r="G24" s="13">
        <f>Assumption!I102</f>
        <v>-2946790</v>
      </c>
      <c r="H24" s="13">
        <f>Assumption!J102</f>
        <v>-1973199.0000000002</v>
      </c>
      <c r="I24" s="13">
        <f>Assumption!K102</f>
        <v>-2144578.3900857144</v>
      </c>
      <c r="J24" s="13">
        <f>Assumption!L102</f>
        <v>-2170521.6794601935</v>
      </c>
      <c r="K24" s="13">
        <f>Assumption!M102</f>
        <v>-2125826.4759782343</v>
      </c>
      <c r="L24" s="13">
        <f>Assumption!N102</f>
        <v>-2043227.6100100614</v>
      </c>
    </row>
    <row r="25" spans="2:12">
      <c r="B25" t="s">
        <v>66</v>
      </c>
      <c r="C25" s="13">
        <f>Assumption!E103</f>
        <v>-3410127</v>
      </c>
      <c r="D25" s="13">
        <f>Assumption!F103</f>
        <v>3770625</v>
      </c>
      <c r="E25" s="13">
        <f>Assumption!G103</f>
        <v>-116343</v>
      </c>
      <c r="F25" s="13">
        <f>Assumption!H103</f>
        <v>-2313142</v>
      </c>
      <c r="G25" s="13">
        <f>Assumption!I103</f>
        <v>8801681</v>
      </c>
      <c r="H25" s="13">
        <f>Assumption!J103</f>
        <v>-4110729.5999999996</v>
      </c>
      <c r="I25" s="13">
        <f>Assumption!K103</f>
        <v>466754.47999999858</v>
      </c>
      <c r="J25" s="13">
        <f>Assumption!L103</f>
        <v>-170751.02399999835</v>
      </c>
      <c r="K25" s="13">
        <f>Assumption!M103</f>
        <v>-159496.22880000062</v>
      </c>
      <c r="L25" s="13">
        <f>Assumption!N103</f>
        <v>865491.72543999925</v>
      </c>
    </row>
    <row r="26" spans="2:12">
      <c r="B26" t="s">
        <v>67</v>
      </c>
      <c r="C26" s="13">
        <f>Assumption!E104</f>
        <v>0</v>
      </c>
      <c r="D26" s="13">
        <f>Assumption!F104</f>
        <v>0</v>
      </c>
      <c r="E26" s="13">
        <f>Assumption!G104</f>
        <v>0</v>
      </c>
      <c r="F26" s="13">
        <f>Assumption!H104</f>
        <v>-439143</v>
      </c>
      <c r="G26" s="13">
        <f>Assumption!I104</f>
        <v>-271622</v>
      </c>
      <c r="H26" s="13">
        <f>Assumption!J104</f>
        <v>855.19999999999709</v>
      </c>
      <c r="I26" s="13">
        <f>Assumption!K104</f>
        <v>7107.4400000000023</v>
      </c>
      <c r="J26" s="13">
        <f>Assumption!L104</f>
        <v>8528.9280000000072</v>
      </c>
      <c r="K26" s="13">
        <f>Assumption!M104</f>
        <v>10234.713600000003</v>
      </c>
      <c r="L26" s="13">
        <f>Assumption!N104</f>
        <v>-16319.143680000008</v>
      </c>
    </row>
    <row r="27" spans="2:12">
      <c r="B27" t="s">
        <v>68</v>
      </c>
      <c r="C27" s="13">
        <f>Assumption!E105</f>
        <v>1345157</v>
      </c>
      <c r="D27" s="13">
        <f>Assumption!F105</f>
        <v>7500829</v>
      </c>
      <c r="E27" s="13">
        <f>Assumption!G105</f>
        <v>3396814</v>
      </c>
      <c r="F27" s="13">
        <f>Assumption!H105</f>
        <v>1974673</v>
      </c>
      <c r="G27" s="13">
        <f>Assumption!I105</f>
        <v>-10800000</v>
      </c>
      <c r="H27" s="13">
        <f>Assumption!J105</f>
        <v>4596304.8000000007</v>
      </c>
      <c r="I27" s="13">
        <f>Assumption!K105</f>
        <v>1333724.1599999983</v>
      </c>
      <c r="J27" s="13">
        <f>Assumption!L105</f>
        <v>100303.19199999981</v>
      </c>
      <c r="K27" s="13">
        <f>Assumption!M105</f>
        <v>-558998.96959999949</v>
      </c>
      <c r="L27" s="13">
        <f>Assumption!N105</f>
        <v>-1065733.3635199983</v>
      </c>
    </row>
    <row r="28" spans="2:12">
      <c r="B28" t="s">
        <v>69</v>
      </c>
      <c r="C28" s="13">
        <f>Assumption!E106</f>
        <v>-15628724</v>
      </c>
      <c r="D28" s="13">
        <f>Assumption!F106</f>
        <v>-18587733</v>
      </c>
      <c r="E28" s="13">
        <f>Assumption!G106</f>
        <v>-12023750</v>
      </c>
      <c r="F28" s="13">
        <f>Assumption!H106</f>
        <v>-7845479</v>
      </c>
      <c r="G28" s="13">
        <f>Assumption!I106</f>
        <v>-7884667</v>
      </c>
      <c r="H28" s="13">
        <f>Assumption!J106</f>
        <v>-9831793.2800000012</v>
      </c>
      <c r="I28" s="13">
        <f>Assumption!K106</f>
        <v>-10256265.536</v>
      </c>
      <c r="J28" s="13">
        <f>Assumption!L106</f>
        <v>-9405144.2432000004</v>
      </c>
      <c r="K28" s="13">
        <f>Assumption!M106</f>
        <v>-9036832.9318399988</v>
      </c>
      <c r="L28" s="13">
        <f>Assumption!N106</f>
        <v>-9465571.6782079991</v>
      </c>
    </row>
    <row r="29" spans="2:12">
      <c r="B29" t="s">
        <v>70</v>
      </c>
      <c r="C29" s="5">
        <f>Assumption!E107</f>
        <v>-18687332</v>
      </c>
      <c r="D29" s="5">
        <f>Assumption!F107</f>
        <v>-8313941</v>
      </c>
      <c r="E29" s="5">
        <f>Assumption!G107</f>
        <v>-10434931</v>
      </c>
      <c r="F29" s="5">
        <f>Assumption!H107</f>
        <v>-11639682</v>
      </c>
      <c r="G29" s="5">
        <f>Assumption!I107</f>
        <v>-13101398</v>
      </c>
      <c r="H29" s="5">
        <f>Assumption!J107</f>
        <v>-11318561.879999999</v>
      </c>
      <c r="I29" s="5">
        <f>Assumption!K107</f>
        <v>-10593257.846085718</v>
      </c>
      <c r="J29" s="5">
        <f>Assumption!L107</f>
        <v>-11637584.826660194</v>
      </c>
      <c r="K29" s="5">
        <f>Assumption!M107</f>
        <v>-11870919.892618233</v>
      </c>
      <c r="L29" s="5">
        <f>Assumption!N107</f>
        <v>-11725360.069978058</v>
      </c>
    </row>
    <row r="31" spans="2:12">
      <c r="B31" t="s">
        <v>71</v>
      </c>
      <c r="C31" s="13">
        <f>Assumption!E109</f>
        <v>548428</v>
      </c>
      <c r="D31" s="13">
        <f>Assumption!F109</f>
        <v>2480029</v>
      </c>
      <c r="E31" s="13">
        <f>Assumption!G109</f>
        <v>-1492683</v>
      </c>
      <c r="F31" s="13">
        <f>Assumption!H109</f>
        <v>-5149965</v>
      </c>
      <c r="G31" s="13">
        <f>Assumption!I109</f>
        <v>5781382</v>
      </c>
      <c r="H31" s="13">
        <f>Assumption!J109</f>
        <v>9912601.4954547696</v>
      </c>
      <c r="I31" s="13">
        <f>Assumption!K109</f>
        <v>12296165.875179576</v>
      </c>
      <c r="J31" s="13">
        <f>Assumption!L109</f>
        <v>10432049.089510411</v>
      </c>
      <c r="K31" s="13">
        <f>Assumption!M109</f>
        <v>9609779.1622567456</v>
      </c>
      <c r="L31" s="13">
        <f>Assumption!N109</f>
        <v>8930494.2424808405</v>
      </c>
    </row>
    <row r="32" spans="2:12">
      <c r="B32" t="s">
        <v>72</v>
      </c>
      <c r="C32" s="13">
        <f>Assumption!E110</f>
        <v>-2208381</v>
      </c>
      <c r="D32" s="13">
        <f>Assumption!F110</f>
        <v>-1659953</v>
      </c>
      <c r="E32" s="13">
        <f>Assumption!G110</f>
        <v>820076</v>
      </c>
      <c r="F32" s="13">
        <f>Assumption!H110</f>
        <v>-672607</v>
      </c>
      <c r="G32" s="13">
        <f>Assumption!I110</f>
        <v>-5822572</v>
      </c>
      <c r="H32" s="13">
        <f>Assumption!J110</f>
        <v>-41190</v>
      </c>
      <c r="I32" s="13">
        <f>Assumption!K110</f>
        <v>9871411.4954547696</v>
      </c>
      <c r="J32" s="13">
        <f>Assumption!L110</f>
        <v>22167577.370634347</v>
      </c>
      <c r="K32" s="13">
        <f>Assumption!M110</f>
        <v>32599626.460144758</v>
      </c>
      <c r="L32" s="13">
        <f>Assumption!N110</f>
        <v>42209405.622401506</v>
      </c>
    </row>
    <row r="34" spans="2:12">
      <c r="B34" s="4" t="s">
        <v>75</v>
      </c>
      <c r="C34" s="5">
        <f>Assumption!E112</f>
        <v>-1659953</v>
      </c>
      <c r="D34" s="5">
        <f>Assumption!F112</f>
        <v>820076</v>
      </c>
      <c r="E34" s="5">
        <f>Assumption!G112</f>
        <v>-672607</v>
      </c>
      <c r="F34" s="5">
        <f>Assumption!H112</f>
        <v>-5822572</v>
      </c>
      <c r="G34" s="5">
        <f>Assumption!I112</f>
        <v>-41190</v>
      </c>
      <c r="H34" s="5">
        <f>Assumption!J112</f>
        <v>9871411.4954547696</v>
      </c>
      <c r="I34" s="5">
        <f>Assumption!K112</f>
        <v>22167577.370634347</v>
      </c>
      <c r="J34" s="5">
        <f>Assumption!L112</f>
        <v>32599626.460144758</v>
      </c>
      <c r="K34" s="5">
        <f>Assumption!M112</f>
        <v>42209405.622401506</v>
      </c>
      <c r="L34" s="5">
        <f>Assumption!N112</f>
        <v>51139899.86488235</v>
      </c>
    </row>
  </sheetData>
  <mergeCells count="3">
    <mergeCell ref="C1:L2"/>
    <mergeCell ref="C3:G3"/>
    <mergeCell ref="H3:L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N51"/>
  <sheetViews>
    <sheetView topLeftCell="A11" zoomScale="79" zoomScaleNormal="79" workbookViewId="0">
      <selection activeCell="C33" sqref="C33"/>
    </sheetView>
  </sheetViews>
  <sheetFormatPr defaultRowHeight="15"/>
  <cols>
    <col min="1" max="1" width="9.140625" style="22"/>
    <col min="2" max="2" width="41.28515625" style="22" bestFit="1" customWidth="1"/>
    <col min="3" max="3" width="29.28515625" style="22" customWidth="1"/>
    <col min="4" max="4" width="15.28515625" style="22" bestFit="1" customWidth="1"/>
    <col min="5" max="5" width="15.140625" style="22" bestFit="1" customWidth="1"/>
    <col min="6" max="8" width="15.28515625" style="22" bestFit="1" customWidth="1"/>
    <col min="9" max="9" width="22.42578125" style="22" customWidth="1"/>
    <col min="10" max="10" width="22.5703125" style="22" customWidth="1"/>
    <col min="11" max="11" width="15.42578125" style="22" bestFit="1" customWidth="1"/>
    <col min="12" max="12" width="21.42578125" style="22" customWidth="1"/>
    <col min="13" max="13" width="29.7109375" style="22" customWidth="1"/>
    <col min="14" max="16384" width="9.140625" style="22"/>
  </cols>
  <sheetData>
    <row r="1" spans="2:12">
      <c r="C1" s="68" t="s">
        <v>181</v>
      </c>
      <c r="D1" s="68"/>
      <c r="E1" s="68"/>
      <c r="F1" s="68"/>
      <c r="G1" s="68"/>
      <c r="H1" s="69" t="s">
        <v>182</v>
      </c>
      <c r="I1" s="69"/>
      <c r="J1" s="69"/>
      <c r="K1" s="69"/>
      <c r="L1" s="69"/>
    </row>
    <row r="2" spans="2:12">
      <c r="G2" s="7">
        <v>0</v>
      </c>
      <c r="H2" s="7">
        <v>1</v>
      </c>
      <c r="I2" s="7">
        <v>2</v>
      </c>
      <c r="J2" s="7">
        <v>3</v>
      </c>
      <c r="K2" s="7">
        <v>4</v>
      </c>
      <c r="L2" s="7">
        <v>5</v>
      </c>
    </row>
    <row r="3" spans="2:12">
      <c r="C3" s="23">
        <v>2016</v>
      </c>
      <c r="D3" s="23">
        <f>C3+1</f>
        <v>2017</v>
      </c>
      <c r="E3" s="23">
        <f t="shared" ref="E3:L3" si="0">D3+1</f>
        <v>2018</v>
      </c>
      <c r="F3" s="23">
        <f t="shared" si="0"/>
        <v>2019</v>
      </c>
      <c r="G3" s="23">
        <f t="shared" si="0"/>
        <v>2020</v>
      </c>
      <c r="H3" s="23">
        <f t="shared" si="0"/>
        <v>2021</v>
      </c>
      <c r="I3" s="23">
        <f t="shared" si="0"/>
        <v>2022</v>
      </c>
      <c r="J3" s="23">
        <f t="shared" si="0"/>
        <v>2023</v>
      </c>
      <c r="K3" s="23">
        <f t="shared" si="0"/>
        <v>2024</v>
      </c>
      <c r="L3" s="23">
        <f t="shared" si="0"/>
        <v>2025</v>
      </c>
    </row>
    <row r="4" spans="2:12">
      <c r="B4" s="24" t="s">
        <v>86</v>
      </c>
      <c r="C4" s="42">
        <f>'Profit and Loss'!C23/('Statement of Financial Position'!C57-'Statement of Financial Position'!C34)</f>
        <v>0.66726882647777397</v>
      </c>
      <c r="D4" s="42">
        <f>'Profit and Loss'!D23/('Statement of Financial Position'!D57-'Statement of Financial Position'!D34)</f>
        <v>0.80983647940113024</v>
      </c>
      <c r="E4" s="42">
        <f>'Profit and Loss'!E23/('Statement of Financial Position'!E57-'Statement of Financial Position'!E34)</f>
        <v>0.65900533571044317</v>
      </c>
      <c r="F4" s="42">
        <f>'Profit and Loss'!F23/('Statement of Financial Position'!F57-'Statement of Financial Position'!F34)</f>
        <v>0.4993799934483541</v>
      </c>
      <c r="G4" s="42">
        <f>'Profit and Loss'!G23/('Statement of Financial Position'!G57-'Statement of Financial Position'!G34)</f>
        <v>0.49560661382228716</v>
      </c>
      <c r="H4" s="42">
        <f>'Profit and Loss'!H23/('Statement of Financial Position'!H57-'Statement of Financial Position'!H34)</f>
        <v>0.72574943211420195</v>
      </c>
      <c r="I4" s="42">
        <f>'Profit and Loss'!I23/('Statement of Financial Position'!I57-'Statement of Financial Position'!I34)</f>
        <v>0.54114618357967015</v>
      </c>
      <c r="J4" s="42">
        <f>'Profit and Loss'!J23/('Statement of Financial Position'!J57-'Statement of Financial Position'!J34)</f>
        <v>0.42677774925807116</v>
      </c>
      <c r="K4" s="42">
        <f>'Profit and Loss'!K23/('Statement of Financial Position'!K57-'Statement of Financial Position'!K34)</f>
        <v>0.35141660106455352</v>
      </c>
      <c r="L4" s="42">
        <f>'Profit and Loss'!L23/('Statement of Financial Position'!L57-'Statement of Financial Position'!L34)</f>
        <v>0.29422599649456599</v>
      </c>
    </row>
    <row r="6" spans="2:12">
      <c r="B6" s="26" t="s">
        <v>60</v>
      </c>
      <c r="C6" s="27">
        <f>Assumption!E94</f>
        <v>22755024</v>
      </c>
      <c r="D6" s="27">
        <f>Assumption!F94</f>
        <v>16000698</v>
      </c>
      <c r="E6" s="27">
        <f>Assumption!G94</f>
        <v>13248617</v>
      </c>
      <c r="F6" s="27">
        <f>Assumption!H94</f>
        <v>10078310</v>
      </c>
      <c r="G6" s="27">
        <f>Assumption!I94</f>
        <v>21868147</v>
      </c>
      <c r="H6" s="27">
        <f>Assumption!J94</f>
        <v>21706626.775454782</v>
      </c>
      <c r="I6" s="27">
        <f>Assumption!K94</f>
        <v>22986237.108791538</v>
      </c>
      <c r="J6" s="27">
        <f>Assumption!L94</f>
        <v>22037312.194863617</v>
      </c>
      <c r="K6" s="27">
        <f>Assumption!M94</f>
        <v>21405626.488602661</v>
      </c>
      <c r="L6" s="27">
        <f>Assumption!N94</f>
        <v>20696580.043250453</v>
      </c>
    </row>
    <row r="7" spans="2:12">
      <c r="B7" s="26" t="s">
        <v>62</v>
      </c>
      <c r="C7" s="27">
        <f>Assumption!E97</f>
        <v>-4080255</v>
      </c>
      <c r="D7" s="27">
        <f>Assumption!F97</f>
        <v>-5457179</v>
      </c>
      <c r="E7" s="27">
        <f>Assumption!G97</f>
        <v>-4533175</v>
      </c>
      <c r="F7" s="27">
        <f>Assumption!H97</f>
        <v>-3803843</v>
      </c>
      <c r="G7" s="27">
        <f>Assumption!I97</f>
        <v>-3156982</v>
      </c>
      <c r="H7" s="27">
        <f>Assumption!J97</f>
        <v>-475463.40000001341</v>
      </c>
      <c r="I7" s="27">
        <f>Assumption!K97</f>
        <v>-96813.387526243925</v>
      </c>
      <c r="J7" s="27">
        <f>Assumption!L98</f>
        <v>32321.721306987107</v>
      </c>
      <c r="K7" s="27">
        <f>Assumption!M98</f>
        <v>75072.566272318363</v>
      </c>
      <c r="L7" s="27">
        <f>Assumption!N97</f>
        <v>-40725.730791553855</v>
      </c>
    </row>
    <row r="8" spans="2:12" ht="23.25">
      <c r="B8" s="28" t="s">
        <v>87</v>
      </c>
      <c r="C8" s="29">
        <f>SUM(C6:C7)</f>
        <v>18674769</v>
      </c>
      <c r="D8" s="29">
        <f t="shared" ref="D8:L8" si="1">SUM(D6:D7)</f>
        <v>10543519</v>
      </c>
      <c r="E8" s="29">
        <f t="shared" si="1"/>
        <v>8715442</v>
      </c>
      <c r="F8" s="29">
        <f t="shared" si="1"/>
        <v>6274467</v>
      </c>
      <c r="G8" s="29">
        <f t="shared" si="1"/>
        <v>18711165</v>
      </c>
      <c r="H8" s="29">
        <f t="shared" si="1"/>
        <v>21231163.375454769</v>
      </c>
      <c r="I8" s="29">
        <f t="shared" si="1"/>
        <v>22889423.721265294</v>
      </c>
      <c r="J8" s="29">
        <f t="shared" si="1"/>
        <v>22069633.916170605</v>
      </c>
      <c r="K8" s="29">
        <f t="shared" si="1"/>
        <v>21480699.054874979</v>
      </c>
      <c r="L8" s="29">
        <f t="shared" si="1"/>
        <v>20655854.312458899</v>
      </c>
    </row>
    <row r="9" spans="2:12">
      <c r="B9" s="22" t="s">
        <v>88</v>
      </c>
      <c r="C9" s="27">
        <f>Assumption!E102*(1+Assumption!$D$18)</f>
        <v>-689471.13635022298</v>
      </c>
      <c r="D9" s="27">
        <f>Assumption!F102*(1+Assumption!$D$18)</f>
        <v>-692263.33215259097</v>
      </c>
      <c r="E9" s="27">
        <f>Assumption!G102*(1+Assumption!$D$18)</f>
        <v>-1173813.0252155487</v>
      </c>
      <c r="F9" s="27">
        <f>Assumption!H102*(1+Assumption!$D$18)</f>
        <v>-2093169.1669137608</v>
      </c>
      <c r="G9" s="27">
        <f>Assumption!I102*(1+Assumption!$D$18)</f>
        <v>-2044735.255581483</v>
      </c>
      <c r="H9" s="27">
        <f>Assumption!J102*(1+Assumption!$D$18)</f>
        <v>-1369174.4445916156</v>
      </c>
      <c r="I9" s="27">
        <f>Assumption!K102*(1+Assumption!$D$18)</f>
        <v>-1488092.1418107292</v>
      </c>
      <c r="J9" s="27">
        <f>Assumption!L102*(1+Assumption!$D$18)</f>
        <v>-1506093.8176782832</v>
      </c>
      <c r="K9" s="27">
        <f>Assumption!M102*(1+Assumption!$D$18)</f>
        <v>-1475080.4579495785</v>
      </c>
      <c r="L9" s="27">
        <f>Assumption!N102*(1+Assumption!$D$18)</f>
        <v>-1417766.2912406605</v>
      </c>
    </row>
    <row r="10" spans="2:12">
      <c r="B10" s="22" t="s">
        <v>89</v>
      </c>
      <c r="C10" s="27">
        <f>Assumption!E40+Assumption!E41+Assumption!E48+Assumption!E49</f>
        <v>11995750</v>
      </c>
      <c r="D10" s="27">
        <f>Assumption!F40+Assumption!F41+Assumption!F48+Assumption!F49</f>
        <v>21651649</v>
      </c>
      <c r="E10" s="27">
        <f>Assumption!G40+Assumption!G41+Assumption!G48+Assumption!G49</f>
        <v>25725831</v>
      </c>
      <c r="F10" s="27">
        <f>Assumption!H40+Assumption!H41+Assumption!H48+Assumption!H49</f>
        <v>27282096</v>
      </c>
      <c r="G10" s="27">
        <f>Assumption!I40+Assumption!I41+Assumption!I48+Assumption!I49</f>
        <v>19364375</v>
      </c>
      <c r="H10" s="27">
        <f>Assumption!J40+Assumption!J41+Assumption!J48+Assumption!J49</f>
        <v>21203940.200000003</v>
      </c>
      <c r="I10" s="27">
        <f>Assumption!K40+Assumption!K41+Assumption!K48+Assumption!K49</f>
        <v>23045578.239999998</v>
      </c>
      <c r="J10" s="27">
        <f>Assumption!L40+Assumption!L41+Assumption!L48+Assumption!L49</f>
        <v>23324364.088</v>
      </c>
      <c r="K10" s="27">
        <f>Assumption!M40+Assumption!M41+Assumption!M48+Assumption!M49</f>
        <v>22844070.705600001</v>
      </c>
      <c r="L10" s="27">
        <f>Assumption!N40+Assumption!N41+Assumption!N48+Assumption!N49</f>
        <v>21956465.646720003</v>
      </c>
    </row>
    <row r="11" spans="2:12" ht="23.25">
      <c r="B11" s="28" t="s">
        <v>90</v>
      </c>
      <c r="C11" s="49">
        <f>SUM(C8:C10)</f>
        <v>29981047.863649778</v>
      </c>
      <c r="D11" s="49">
        <f t="shared" ref="D11:K11" si="2">SUM(D8:D10)</f>
        <v>31502904.66784741</v>
      </c>
      <c r="E11" s="49">
        <f t="shared" si="2"/>
        <v>33267459.974784452</v>
      </c>
      <c r="F11" s="49">
        <f t="shared" si="2"/>
        <v>31463393.833086237</v>
      </c>
      <c r="G11" s="49">
        <f t="shared" si="2"/>
        <v>36030804.744418517</v>
      </c>
      <c r="H11" s="49">
        <f t="shared" si="2"/>
        <v>41065929.13086316</v>
      </c>
      <c r="I11" s="49">
        <f t="shared" si="2"/>
        <v>44446909.819454566</v>
      </c>
      <c r="J11" s="49">
        <f t="shared" si="2"/>
        <v>43887904.186492324</v>
      </c>
      <c r="K11" s="49">
        <f t="shared" si="2"/>
        <v>42849689.302525401</v>
      </c>
      <c r="L11" s="49">
        <f>SUM(L8:L10)</f>
        <v>41194553.667938247</v>
      </c>
    </row>
    <row r="12" spans="2:12">
      <c r="B12" s="22" t="s">
        <v>91</v>
      </c>
      <c r="C12" s="50"/>
      <c r="D12" s="50"/>
      <c r="E12" s="50"/>
      <c r="F12" s="50"/>
      <c r="G12" s="50"/>
      <c r="H12" s="50"/>
      <c r="I12" s="50"/>
      <c r="J12" s="50"/>
      <c r="K12" s="50"/>
      <c r="L12" s="50">
        <f>K11*(1+C37)/(C36-C37)</f>
        <v>268230912.2576907</v>
      </c>
    </row>
    <row r="13" spans="2:12">
      <c r="B13" s="22" t="s">
        <v>92</v>
      </c>
      <c r="C13" s="50"/>
      <c r="D13" s="50"/>
      <c r="E13" s="50"/>
      <c r="F13" s="50"/>
      <c r="G13" s="50">
        <f t="shared" ref="G13:L13" si="3">G11/(1+$C$36)^G2</f>
        <v>36030804.744418517</v>
      </c>
      <c r="H13" s="50">
        <f t="shared" si="3"/>
        <v>32195054.356260139</v>
      </c>
      <c r="I13" s="50">
        <f t="shared" si="3"/>
        <v>27318483.715058882</v>
      </c>
      <c r="J13" s="50">
        <f t="shared" si="3"/>
        <v>21147905.940259308</v>
      </c>
      <c r="K13" s="50">
        <f t="shared" si="3"/>
        <v>16187422.962225001</v>
      </c>
      <c r="L13" s="50">
        <f t="shared" si="3"/>
        <v>12200492.109713934</v>
      </c>
    </row>
    <row r="14" spans="2:12">
      <c r="K14" s="30"/>
      <c r="L14" s="27">
        <f>L12/(1+$C$36)^L2</f>
        <v>79441305.638622642</v>
      </c>
    </row>
    <row r="15" spans="2:12">
      <c r="B15" s="22" t="s">
        <v>92</v>
      </c>
      <c r="C15" s="30">
        <f>L14</f>
        <v>79441305.638622642</v>
      </c>
    </row>
    <row r="16" spans="2:12">
      <c r="B16" s="22" t="s">
        <v>93</v>
      </c>
      <c r="C16" s="30">
        <f>SUM(F13:L13)</f>
        <v>145080163.82793579</v>
      </c>
    </row>
    <row r="17" spans="2:14">
      <c r="C17" s="30">
        <f>SUM(C15:C16)</f>
        <v>224521469.46655843</v>
      </c>
    </row>
    <row r="18" spans="2:14">
      <c r="B18" s="22" t="s">
        <v>50</v>
      </c>
      <c r="C18" s="30">
        <f>Assumption!I76</f>
        <v>789055</v>
      </c>
    </row>
    <row r="19" spans="2:14" ht="23.25">
      <c r="B19" s="28" t="s">
        <v>94</v>
      </c>
      <c r="C19" s="30">
        <f>SUM(C17:C18)</f>
        <v>225310524.46655843</v>
      </c>
    </row>
    <row r="20" spans="2:14" ht="18.75">
      <c r="B20" s="31" t="s">
        <v>95</v>
      </c>
      <c r="C20" s="22">
        <f>C19/C35*1000</f>
        <v>4968.3023547409111</v>
      </c>
    </row>
    <row r="21" spans="2:14">
      <c r="B21" s="22" t="s">
        <v>96</v>
      </c>
      <c r="C21" s="25">
        <f>C20/'Share price'!J590-1</f>
        <v>-0.34199028478366844</v>
      </c>
    </row>
    <row r="22" spans="2:14" ht="21">
      <c r="B22" s="32" t="s">
        <v>97</v>
      </c>
      <c r="C22" s="33" t="str">
        <f>IF(C21&gt;0,"BUY","SELL")</f>
        <v>SELL</v>
      </c>
    </row>
    <row r="23" spans="2:14" ht="21">
      <c r="B23" s="32"/>
      <c r="C23" s="34"/>
    </row>
    <row r="24" spans="2:14" ht="15.75">
      <c r="B24" s="70" t="s">
        <v>98</v>
      </c>
      <c r="C24" s="70"/>
      <c r="D24" s="70"/>
    </row>
    <row r="25" spans="2:14">
      <c r="B25" s="24" t="s">
        <v>99</v>
      </c>
      <c r="C25" s="35">
        <v>9.665E-2</v>
      </c>
      <c r="D25" s="22" t="s">
        <v>100</v>
      </c>
      <c r="F25" s="71" t="s">
        <v>101</v>
      </c>
      <c r="G25" s="71"/>
      <c r="H25" s="71"/>
      <c r="I25" s="71"/>
      <c r="K25" s="71" t="s">
        <v>112</v>
      </c>
      <c r="L25" s="71"/>
      <c r="M25" s="71"/>
      <c r="N25" s="71"/>
    </row>
    <row r="26" spans="2:14">
      <c r="B26" s="24" t="s">
        <v>102</v>
      </c>
      <c r="C26" s="35" t="e">
        <f ca="1">_xlfn.COVARIANCE.S('Share price'!R6:R590,'Share price'!S6:S590)/_xlfn.VAR.S('Share price'!S6:S590)</f>
        <v>#NAME?</v>
      </c>
      <c r="F26" s="23" t="s">
        <v>80</v>
      </c>
      <c r="G26" s="23" t="s">
        <v>82</v>
      </c>
      <c r="H26" s="23" t="s">
        <v>103</v>
      </c>
      <c r="I26" s="23" t="s">
        <v>83</v>
      </c>
      <c r="K26" s="23" t="s">
        <v>114</v>
      </c>
      <c r="L26" s="23" t="s">
        <v>115</v>
      </c>
      <c r="M26" s="23" t="s">
        <v>116</v>
      </c>
      <c r="N26" s="23" t="s">
        <v>117</v>
      </c>
    </row>
    <row r="27" spans="2:14">
      <c r="B27" s="24" t="s">
        <v>104</v>
      </c>
      <c r="C27" s="36">
        <f>AVERAGE(I28:I31)</f>
        <v>1.9494496680202728E-2</v>
      </c>
      <c r="F27" s="37">
        <v>42185</v>
      </c>
      <c r="G27" s="38" t="s">
        <v>105</v>
      </c>
      <c r="H27" s="38">
        <v>34398.86</v>
      </c>
      <c r="I27" s="38"/>
      <c r="K27" s="38">
        <v>2016</v>
      </c>
      <c r="L27" s="43">
        <v>11846973</v>
      </c>
      <c r="M27" s="43">
        <v>15628724</v>
      </c>
      <c r="N27" s="44">
        <v>-0.31921664715535347</v>
      </c>
    </row>
    <row r="28" spans="2:14">
      <c r="B28" s="24" t="s">
        <v>106</v>
      </c>
      <c r="C28" s="36">
        <f>N37</f>
        <v>0.18250386494674575</v>
      </c>
      <c r="F28" s="39">
        <v>42916</v>
      </c>
      <c r="G28" s="38" t="s">
        <v>79</v>
      </c>
      <c r="H28" s="38">
        <f>VLOOKUP(F28,'Share price'!$C$5:$F$989,2,FALSE)</f>
        <v>46565.29</v>
      </c>
      <c r="I28" s="40">
        <f>H28/H27-1</f>
        <v>0.35368701172073735</v>
      </c>
      <c r="K28" s="38">
        <f>K27+1</f>
        <v>2017</v>
      </c>
      <c r="L28" s="43">
        <v>14641782</v>
      </c>
      <c r="M28" s="43">
        <v>18587733</v>
      </c>
      <c r="N28" s="44">
        <v>-0.26949936831459453</v>
      </c>
    </row>
    <row r="29" spans="2:14">
      <c r="B29" s="24" t="s">
        <v>107</v>
      </c>
      <c r="C29" s="36">
        <f>AVERAGE(C4:L4)</f>
        <v>0.54704132113710513</v>
      </c>
      <c r="F29" s="39">
        <v>43280</v>
      </c>
      <c r="G29" s="38" t="s">
        <v>79</v>
      </c>
      <c r="H29" s="38">
        <f>VLOOKUP(F29,'Share price'!$C$5:$F$989,2,FALSE)</f>
        <v>41910.9</v>
      </c>
      <c r="I29" s="40">
        <f t="shared" ref="I29:I31" si="4">H29/H28-1</f>
        <v>-9.9954064497397077E-2</v>
      </c>
      <c r="K29" s="38">
        <f t="shared" ref="K29:K36" si="5">K28+1</f>
        <v>2018</v>
      </c>
      <c r="L29" s="43">
        <v>11544582</v>
      </c>
      <c r="M29" s="43">
        <v>12023750</v>
      </c>
      <c r="N29" s="44">
        <v>-4.1505876955960863E-2</v>
      </c>
    </row>
    <row r="30" spans="2:14">
      <c r="B30" s="24" t="s">
        <v>108</v>
      </c>
      <c r="C30" s="41" t="e">
        <f ca="1">(C26*(C27-C25))+C25</f>
        <v>#NAME?</v>
      </c>
      <c r="F30" s="37">
        <v>43644</v>
      </c>
      <c r="G30" s="38" t="s">
        <v>79</v>
      </c>
      <c r="H30" s="38">
        <f>VLOOKUP(F30,'Share price'!$C$5:$F$989,2,FALSE)</f>
        <v>33901.58</v>
      </c>
      <c r="I30" s="40">
        <f t="shared" si="4"/>
        <v>-0.19110350767938644</v>
      </c>
      <c r="K30" s="38">
        <f t="shared" si="5"/>
        <v>2019</v>
      </c>
      <c r="L30" s="43">
        <v>5951419</v>
      </c>
      <c r="M30" s="43">
        <v>7845479</v>
      </c>
      <c r="N30" s="44">
        <v>-0.31825351231361787</v>
      </c>
    </row>
    <row r="31" spans="2:14">
      <c r="B31" s="24" t="s">
        <v>109</v>
      </c>
      <c r="C31" s="42">
        <f>-Assumption!D18</f>
        <v>0.30611436322863766</v>
      </c>
      <c r="F31" s="37">
        <v>44012</v>
      </c>
      <c r="G31" s="38" t="s">
        <v>79</v>
      </c>
      <c r="H31" s="38">
        <f>VLOOKUP(F31,'Share price'!$C$5:$F$989,2,FALSE)</f>
        <v>34421.919999999998</v>
      </c>
      <c r="I31" s="40">
        <f t="shared" si="4"/>
        <v>1.5348547176857075E-2</v>
      </c>
      <c r="K31" s="38">
        <f t="shared" si="5"/>
        <v>2020</v>
      </c>
      <c r="L31" s="43">
        <v>10287643</v>
      </c>
      <c r="M31" s="43">
        <v>7884667</v>
      </c>
      <c r="N31" s="44">
        <v>0.23357886738488109</v>
      </c>
    </row>
    <row r="32" spans="2:14">
      <c r="B32" s="24" t="s">
        <v>110</v>
      </c>
      <c r="C32" s="25">
        <f>-AVERAGE(Assumption!E117:N117)</f>
        <v>9.2822860807030366E-2</v>
      </c>
      <c r="K32" s="38">
        <f t="shared" si="5"/>
        <v>2021</v>
      </c>
      <c r="L32" s="43">
        <v>20284717.775454774</v>
      </c>
      <c r="M32" s="43">
        <v>9831793.2800000012</v>
      </c>
      <c r="N32" s="44">
        <v>0.51531032431238366</v>
      </c>
    </row>
    <row r="33" spans="2:14">
      <c r="B33" s="24" t="s">
        <v>111</v>
      </c>
      <c r="C33" s="36">
        <f>AVERAGE('Statement of Financial Position'!C16:L16)/AVERAGE('Statement of Financial Position'!C34:L34)</f>
        <v>0.43744818883896708</v>
      </c>
      <c r="K33" s="38">
        <f t="shared" si="5"/>
        <v>2022</v>
      </c>
      <c r="L33" s="43">
        <v>20381649.718705826</v>
      </c>
      <c r="M33" s="43">
        <v>10256265.536</v>
      </c>
      <c r="N33" s="44">
        <v>0.49678923553538323</v>
      </c>
    </row>
    <row r="34" spans="2:14">
      <c r="B34" s="24" t="s">
        <v>113</v>
      </c>
      <c r="C34" s="36">
        <f>1-C33</f>
        <v>0.56255181116103292</v>
      </c>
      <c r="K34" s="38">
        <f t="shared" si="5"/>
        <v>2023</v>
      </c>
      <c r="L34" s="43">
        <v>19621882.315403432</v>
      </c>
      <c r="M34" s="43">
        <v>9405144.2432000004</v>
      </c>
      <c r="N34" s="44">
        <v>0.52068083520117536</v>
      </c>
    </row>
    <row r="35" spans="2:14">
      <c r="B35" s="24" t="s">
        <v>118</v>
      </c>
      <c r="C35" s="27">
        <v>45349600</v>
      </c>
      <c r="K35" s="38">
        <f t="shared" si="5"/>
        <v>2024</v>
      </c>
      <c r="L35" s="43">
        <v>18827133.57262443</v>
      </c>
      <c r="M35" s="43">
        <v>9036832.9318399988</v>
      </c>
      <c r="N35" s="44">
        <v>0.5200101546536009</v>
      </c>
    </row>
    <row r="36" spans="2:14">
      <c r="B36" s="24" t="s">
        <v>119</v>
      </c>
      <c r="C36" s="36">
        <f>(C34*(1-C31)*C32)+(C33*C29)</f>
        <v>0.2755353252844604</v>
      </c>
      <c r="K36" s="38">
        <f t="shared" si="5"/>
        <v>2025</v>
      </c>
      <c r="L36" s="43">
        <v>18456610.505240388</v>
      </c>
      <c r="M36" s="43">
        <v>9465571.6782079991</v>
      </c>
      <c r="N36" s="44">
        <v>0.48714463711956002</v>
      </c>
    </row>
    <row r="37" spans="2:14">
      <c r="B37" s="24" t="s">
        <v>120</v>
      </c>
      <c r="C37" s="22">
        <f>C28*C29</f>
        <v>9.9837155393095608E-2</v>
      </c>
      <c r="L37" s="43"/>
      <c r="M37" s="43"/>
      <c r="N37" s="45">
        <f>AVERAGE(N27:N36)</f>
        <v>0.18250386494674575</v>
      </c>
    </row>
    <row r="38" spans="2:14">
      <c r="K38" s="30"/>
    </row>
    <row r="39" spans="2:14">
      <c r="K39" s="30"/>
    </row>
    <row r="40" spans="2:14">
      <c r="K40" s="30"/>
    </row>
    <row r="41" spans="2:14">
      <c r="K41" s="30"/>
    </row>
    <row r="42" spans="2:14">
      <c r="K42" s="30"/>
    </row>
    <row r="43" spans="2:14">
      <c r="K43" s="30"/>
    </row>
    <row r="44" spans="2:14">
      <c r="K44" s="30"/>
    </row>
    <row r="46" spans="2:14">
      <c r="G46" s="43"/>
      <c r="H46" s="43"/>
      <c r="I46" s="44"/>
    </row>
    <row r="47" spans="2:14">
      <c r="G47" s="43"/>
      <c r="H47" s="43"/>
      <c r="I47" s="44"/>
    </row>
    <row r="48" spans="2:14">
      <c r="G48" s="43"/>
      <c r="H48" s="43"/>
      <c r="I48" s="44"/>
    </row>
    <row r="49" spans="7:9">
      <c r="G49" s="43"/>
      <c r="H49" s="43"/>
      <c r="I49" s="44"/>
    </row>
    <row r="50" spans="7:9">
      <c r="I50" s="44"/>
    </row>
    <row r="51" spans="7:9">
      <c r="I51" s="44"/>
    </row>
  </sheetData>
  <mergeCells count="5">
    <mergeCell ref="B24:D24"/>
    <mergeCell ref="F25:I25"/>
    <mergeCell ref="K25:N25"/>
    <mergeCell ref="C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Information</vt:lpstr>
      <vt:lpstr>Assumption</vt:lpstr>
      <vt:lpstr>COGS</vt:lpstr>
      <vt:lpstr>Sales</vt:lpstr>
      <vt:lpstr>Regression</vt:lpstr>
      <vt:lpstr>Profit and Loss</vt:lpstr>
      <vt:lpstr>Statement of Financial Position</vt:lpstr>
      <vt:lpstr>Statement of cash flow</vt:lpstr>
      <vt:lpstr>Valuation</vt:lpstr>
      <vt:lpstr>Share price</vt:lpstr>
      <vt:lpstr>Ratios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Rashid Ali</cp:lastModifiedBy>
  <cp:lastPrinted>2023-08-01T23:06:30Z</cp:lastPrinted>
  <dcterms:created xsi:type="dcterms:W3CDTF">2021-05-29T16:51:19Z</dcterms:created>
  <dcterms:modified xsi:type="dcterms:W3CDTF">2023-08-01T23:06:33Z</dcterms:modified>
</cp:coreProperties>
</file>