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"/>
    </mc:Choice>
  </mc:AlternateContent>
  <bookViews>
    <workbookView xWindow="0" yWindow="0" windowWidth="23040" windowHeight="8520" firstSheet="1" activeTab="3"/>
  </bookViews>
  <sheets>
    <sheet name="Information" sheetId="1" r:id="rId1"/>
    <sheet name="Assumption Sheet" sheetId="14" r:id="rId2"/>
    <sheet name="Regression" sheetId="19" r:id="rId3"/>
    <sheet name="INCOME STATEMENT" sheetId="21" r:id="rId4"/>
    <sheet name="BALANCE SHEET" sheetId="22" r:id="rId5"/>
    <sheet name="CASHFLOW STATEMENT" sheetId="23" r:id="rId6"/>
    <sheet name="Valuation" sheetId="24" r:id="rId7"/>
    <sheet name="Ratios" sheetId="20" r:id="rId8"/>
    <sheet name="Additional Loan" sheetId="16" r:id="rId9"/>
    <sheet name="Finance Schedule" sheetId="17" r:id="rId10"/>
    <sheet name="Depreciation Schedule" sheetId="18" r:id="rId11"/>
    <sheet name="Stock Prices" sheetId="15" r:id="rId12"/>
    <sheet name="Market Prices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1" l="1"/>
  <c r="D51" i="23" l="1"/>
  <c r="E51" i="23"/>
  <c r="F51" i="23"/>
  <c r="G51" i="23"/>
  <c r="H51" i="23"/>
  <c r="I51" i="23"/>
  <c r="J51" i="23"/>
  <c r="K51" i="23"/>
  <c r="L51" i="23"/>
  <c r="D48" i="23"/>
  <c r="E48" i="23"/>
  <c r="F48" i="23"/>
  <c r="G48" i="23"/>
  <c r="H48" i="23"/>
  <c r="I48" i="23"/>
  <c r="J48" i="23"/>
  <c r="K48" i="23"/>
  <c r="L48" i="23"/>
  <c r="D47" i="23"/>
  <c r="E47" i="23"/>
  <c r="F47" i="23"/>
  <c r="G47" i="23"/>
  <c r="H47" i="23"/>
  <c r="I47" i="23"/>
  <c r="J47" i="23"/>
  <c r="K47" i="23"/>
  <c r="L47" i="23"/>
  <c r="C51" i="23"/>
  <c r="C48" i="23"/>
  <c r="C47" i="23"/>
  <c r="D35" i="23"/>
  <c r="E35" i="23"/>
  <c r="F35" i="23"/>
  <c r="G35" i="23"/>
  <c r="D36" i="23"/>
  <c r="E36" i="23"/>
  <c r="H36" i="23"/>
  <c r="D37" i="23"/>
  <c r="E37" i="23"/>
  <c r="E43" i="23" s="1"/>
  <c r="F37" i="23"/>
  <c r="G37" i="23"/>
  <c r="H37" i="23"/>
  <c r="I37" i="23"/>
  <c r="J37" i="23"/>
  <c r="K37" i="23"/>
  <c r="L37" i="23"/>
  <c r="D38" i="23"/>
  <c r="D43" i="23" s="1"/>
  <c r="E38" i="23"/>
  <c r="F38" i="23"/>
  <c r="G38" i="23"/>
  <c r="H38" i="23"/>
  <c r="I38" i="23"/>
  <c r="J38" i="23"/>
  <c r="K38" i="23"/>
  <c r="L38" i="23"/>
  <c r="D39" i="23"/>
  <c r="E39" i="23"/>
  <c r="F39" i="23"/>
  <c r="G39" i="23"/>
  <c r="H39" i="23"/>
  <c r="I39" i="23"/>
  <c r="J39" i="23"/>
  <c r="K39" i="23"/>
  <c r="L39" i="23"/>
  <c r="D40" i="23"/>
  <c r="E40" i="23"/>
  <c r="F40" i="23"/>
  <c r="G40" i="23"/>
  <c r="H40" i="23"/>
  <c r="I40" i="23"/>
  <c r="J40" i="23"/>
  <c r="K40" i="23"/>
  <c r="L40" i="23"/>
  <c r="D41" i="23"/>
  <c r="E41" i="23"/>
  <c r="F41" i="23"/>
  <c r="G41" i="23"/>
  <c r="H41" i="23"/>
  <c r="I41" i="23"/>
  <c r="J41" i="23"/>
  <c r="K41" i="23"/>
  <c r="L41" i="23"/>
  <c r="D42" i="23"/>
  <c r="E42" i="23"/>
  <c r="F42" i="23"/>
  <c r="G42" i="23"/>
  <c r="H42" i="23"/>
  <c r="I42" i="23"/>
  <c r="J42" i="23"/>
  <c r="K42" i="23"/>
  <c r="L42" i="23"/>
  <c r="C42" i="23"/>
  <c r="C41" i="23"/>
  <c r="C40" i="23"/>
  <c r="C39" i="23"/>
  <c r="C38" i="23"/>
  <c r="C37" i="23"/>
  <c r="C35" i="23"/>
  <c r="B37" i="24"/>
  <c r="B36" i="24"/>
  <c r="H8" i="24"/>
  <c r="H7" i="24"/>
  <c r="H6" i="24"/>
  <c r="C14" i="24"/>
  <c r="C11" i="24"/>
  <c r="C8" i="24"/>
  <c r="L28" i="23"/>
  <c r="K28" i="23"/>
  <c r="J28" i="23"/>
  <c r="I28" i="23"/>
  <c r="H28" i="23"/>
  <c r="G28" i="23"/>
  <c r="F28" i="23"/>
  <c r="E28" i="23"/>
  <c r="D28" i="23"/>
  <c r="L27" i="23"/>
  <c r="K27" i="23"/>
  <c r="J27" i="23"/>
  <c r="I27" i="23"/>
  <c r="H27" i="23"/>
  <c r="G27" i="23"/>
  <c r="F27" i="23"/>
  <c r="E27" i="23"/>
  <c r="D27" i="23"/>
  <c r="L26" i="23"/>
  <c r="K26" i="23"/>
  <c r="J26" i="23"/>
  <c r="I26" i="23"/>
  <c r="H26" i="23"/>
  <c r="G26" i="23"/>
  <c r="F26" i="23"/>
  <c r="E26" i="23"/>
  <c r="D26" i="23"/>
  <c r="C28" i="23"/>
  <c r="C27" i="23"/>
  <c r="C26" i="23"/>
  <c r="D25" i="23"/>
  <c r="E25" i="23"/>
  <c r="F25" i="23"/>
  <c r="G25" i="23"/>
  <c r="H25" i="23"/>
  <c r="I25" i="23"/>
  <c r="J25" i="23"/>
  <c r="K25" i="23"/>
  <c r="L25" i="23"/>
  <c r="C25" i="23"/>
  <c r="D24" i="23"/>
  <c r="E24" i="23"/>
  <c r="F24" i="23"/>
  <c r="G24" i="23"/>
  <c r="H24" i="23"/>
  <c r="I24" i="23"/>
  <c r="J24" i="23"/>
  <c r="K24" i="23"/>
  <c r="L24" i="23"/>
  <c r="C24" i="23"/>
  <c r="D23" i="23"/>
  <c r="E23" i="23"/>
  <c r="F23" i="23"/>
  <c r="G23" i="23"/>
  <c r="H23" i="23"/>
  <c r="I23" i="23"/>
  <c r="J23" i="23"/>
  <c r="K23" i="23"/>
  <c r="L23" i="23"/>
  <c r="C23" i="23"/>
  <c r="D22" i="23"/>
  <c r="E22" i="23"/>
  <c r="F22" i="23"/>
  <c r="G22" i="23"/>
  <c r="H22" i="23"/>
  <c r="I22" i="23"/>
  <c r="J22" i="23"/>
  <c r="K22" i="23"/>
  <c r="L22" i="23"/>
  <c r="C22" i="23"/>
  <c r="D19" i="23"/>
  <c r="E19" i="23"/>
  <c r="F19" i="23"/>
  <c r="G19" i="23"/>
  <c r="H19" i="23"/>
  <c r="I19" i="23"/>
  <c r="J19" i="23"/>
  <c r="K19" i="23"/>
  <c r="L19" i="23"/>
  <c r="C19" i="23"/>
  <c r="D17" i="23"/>
  <c r="E17" i="23"/>
  <c r="F17" i="23"/>
  <c r="G17" i="23"/>
  <c r="H17" i="23"/>
  <c r="I17" i="23"/>
  <c r="J17" i="23"/>
  <c r="K17" i="23"/>
  <c r="L17" i="23"/>
  <c r="C17" i="23"/>
  <c r="D16" i="23"/>
  <c r="E16" i="23"/>
  <c r="F16" i="23"/>
  <c r="G16" i="23"/>
  <c r="H16" i="23"/>
  <c r="I16" i="23"/>
  <c r="J16" i="23"/>
  <c r="K16" i="23"/>
  <c r="L16" i="23"/>
  <c r="C16" i="23"/>
  <c r="D15" i="23"/>
  <c r="E15" i="23"/>
  <c r="F15" i="23"/>
  <c r="G15" i="23"/>
  <c r="H15" i="23"/>
  <c r="I15" i="23"/>
  <c r="J15" i="23"/>
  <c r="K15" i="23"/>
  <c r="L15" i="23"/>
  <c r="C15" i="23"/>
  <c r="D14" i="23"/>
  <c r="E14" i="23"/>
  <c r="F14" i="23"/>
  <c r="G14" i="23"/>
  <c r="H14" i="23"/>
  <c r="I14" i="23"/>
  <c r="J14" i="23"/>
  <c r="K14" i="23"/>
  <c r="L14" i="23"/>
  <c r="C14" i="23"/>
  <c r="L10" i="23"/>
  <c r="K10" i="23"/>
  <c r="J10" i="23"/>
  <c r="I10" i="23"/>
  <c r="H10" i="23"/>
  <c r="G10" i="23"/>
  <c r="F10" i="23"/>
  <c r="E10" i="23"/>
  <c r="L9" i="23"/>
  <c r="K9" i="23"/>
  <c r="J9" i="23"/>
  <c r="I9" i="23"/>
  <c r="H9" i="23"/>
  <c r="G9" i="23"/>
  <c r="F9" i="23"/>
  <c r="E9" i="23"/>
  <c r="D9" i="23"/>
  <c r="L8" i="23"/>
  <c r="K8" i="23"/>
  <c r="J8" i="23"/>
  <c r="I8" i="23"/>
  <c r="H8" i="23"/>
  <c r="G8" i="23"/>
  <c r="F8" i="23"/>
  <c r="E8" i="23"/>
  <c r="D8" i="23"/>
  <c r="D7" i="23"/>
  <c r="E7" i="23"/>
  <c r="F7" i="23"/>
  <c r="G7" i="23"/>
  <c r="D6" i="23"/>
  <c r="E6" i="23"/>
  <c r="F6" i="23"/>
  <c r="G6" i="23"/>
  <c r="H6" i="23"/>
  <c r="I6" i="23"/>
  <c r="J6" i="23"/>
  <c r="K6" i="23"/>
  <c r="L6" i="23"/>
  <c r="D11" i="23"/>
  <c r="D10" i="23"/>
  <c r="C9" i="23"/>
  <c r="C8" i="23"/>
  <c r="C7" i="23"/>
  <c r="C6" i="23"/>
  <c r="H32" i="22"/>
  <c r="L44" i="22"/>
  <c r="K44" i="22"/>
  <c r="J44" i="22"/>
  <c r="I44" i="22"/>
  <c r="H44" i="22"/>
  <c r="G44" i="22"/>
  <c r="F44" i="22"/>
  <c r="E44" i="22"/>
  <c r="D44" i="22"/>
  <c r="L43" i="22"/>
  <c r="K43" i="22"/>
  <c r="J43" i="22"/>
  <c r="I43" i="22"/>
  <c r="H43" i="22"/>
  <c r="G43" i="22"/>
  <c r="F43" i="22"/>
  <c r="E43" i="22"/>
  <c r="D43" i="22"/>
  <c r="L42" i="22"/>
  <c r="K42" i="22"/>
  <c r="J42" i="22"/>
  <c r="I42" i="22"/>
  <c r="H42" i="22"/>
  <c r="G42" i="22"/>
  <c r="F42" i="22"/>
  <c r="E42" i="22"/>
  <c r="D42" i="22"/>
  <c r="L41" i="22"/>
  <c r="K41" i="22"/>
  <c r="J41" i="22"/>
  <c r="I41" i="22"/>
  <c r="H41" i="22"/>
  <c r="G41" i="22"/>
  <c r="F41" i="22"/>
  <c r="E41" i="22"/>
  <c r="D41" i="22"/>
  <c r="L40" i="22"/>
  <c r="K40" i="22"/>
  <c r="J40" i="22"/>
  <c r="I40" i="22"/>
  <c r="H40" i="22"/>
  <c r="G40" i="22"/>
  <c r="F40" i="22"/>
  <c r="E40" i="22"/>
  <c r="D40" i="22"/>
  <c r="L39" i="22"/>
  <c r="K39" i="22"/>
  <c r="J39" i="22"/>
  <c r="I39" i="22"/>
  <c r="H39" i="22"/>
  <c r="G39" i="22"/>
  <c r="F39" i="22"/>
  <c r="E39" i="22"/>
  <c r="D39" i="22"/>
  <c r="L38" i="22"/>
  <c r="K38" i="22"/>
  <c r="J38" i="22"/>
  <c r="I38" i="22"/>
  <c r="H38" i="22"/>
  <c r="G38" i="22"/>
  <c r="F38" i="22"/>
  <c r="E38" i="22"/>
  <c r="D38" i="22"/>
  <c r="L37" i="22"/>
  <c r="K37" i="22"/>
  <c r="J37" i="22"/>
  <c r="I37" i="22"/>
  <c r="H37" i="22"/>
  <c r="G37" i="22"/>
  <c r="F37" i="22"/>
  <c r="E37" i="22"/>
  <c r="D37" i="22"/>
  <c r="L34" i="22"/>
  <c r="K34" i="22"/>
  <c r="J34" i="22"/>
  <c r="I34" i="22"/>
  <c r="H34" i="22"/>
  <c r="G34" i="22"/>
  <c r="F34" i="22"/>
  <c r="E34" i="22"/>
  <c r="D34" i="22"/>
  <c r="L33" i="22"/>
  <c r="K33" i="22"/>
  <c r="J33" i="22"/>
  <c r="I33" i="22"/>
  <c r="H33" i="22"/>
  <c r="G33" i="22"/>
  <c r="F33" i="22"/>
  <c r="E33" i="22"/>
  <c r="D33" i="22"/>
  <c r="L32" i="22"/>
  <c r="K32" i="22"/>
  <c r="J32" i="22"/>
  <c r="I32" i="22"/>
  <c r="G32" i="22"/>
  <c r="F32" i="22"/>
  <c r="E32" i="22"/>
  <c r="D32" i="22"/>
  <c r="L30" i="22"/>
  <c r="K30" i="22"/>
  <c r="J30" i="22"/>
  <c r="I30" i="22"/>
  <c r="H30" i="22"/>
  <c r="G30" i="22"/>
  <c r="F30" i="22"/>
  <c r="E30" i="22"/>
  <c r="D30" i="22"/>
  <c r="L22" i="22"/>
  <c r="K22" i="22"/>
  <c r="J22" i="22"/>
  <c r="I22" i="22"/>
  <c r="H22" i="22"/>
  <c r="G22" i="22"/>
  <c r="F22" i="22"/>
  <c r="E22" i="22"/>
  <c r="D22" i="22"/>
  <c r="L21" i="22"/>
  <c r="K21" i="22"/>
  <c r="J21" i="22"/>
  <c r="I21" i="22"/>
  <c r="H21" i="22"/>
  <c r="G21" i="22"/>
  <c r="F21" i="22"/>
  <c r="E21" i="22"/>
  <c r="D21" i="22"/>
  <c r="L20" i="22"/>
  <c r="K20" i="22"/>
  <c r="J20" i="22"/>
  <c r="I20" i="22"/>
  <c r="H20" i="22"/>
  <c r="G20" i="22"/>
  <c r="F20" i="22"/>
  <c r="E20" i="22"/>
  <c r="D20" i="22"/>
  <c r="L19" i="22"/>
  <c r="L23" i="22" s="1"/>
  <c r="L24" i="22" s="1"/>
  <c r="K19" i="22"/>
  <c r="J19" i="22"/>
  <c r="I19" i="22"/>
  <c r="H19" i="22"/>
  <c r="H23" i="22" s="1"/>
  <c r="H24" i="22" s="1"/>
  <c r="G19" i="22"/>
  <c r="F19" i="22"/>
  <c r="E19" i="22"/>
  <c r="D19" i="22"/>
  <c r="D23" i="22" s="1"/>
  <c r="D24" i="22" s="1"/>
  <c r="L18" i="22"/>
  <c r="K18" i="22"/>
  <c r="J18" i="22"/>
  <c r="I18" i="22"/>
  <c r="I23" i="22" s="1"/>
  <c r="I24" i="22" s="1"/>
  <c r="I26" i="22" s="1"/>
  <c r="H18" i="22"/>
  <c r="G18" i="22"/>
  <c r="F18" i="22"/>
  <c r="E18" i="22"/>
  <c r="E23" i="22" s="1"/>
  <c r="E24" i="22" s="1"/>
  <c r="E26" i="22" s="1"/>
  <c r="D18" i="22"/>
  <c r="L16" i="22"/>
  <c r="K16" i="22"/>
  <c r="K23" i="22" s="1"/>
  <c r="K24" i="22" s="1"/>
  <c r="J16" i="22"/>
  <c r="J23" i="22" s="1"/>
  <c r="I16" i="22"/>
  <c r="H16" i="22"/>
  <c r="G16" i="22"/>
  <c r="G23" i="22" s="1"/>
  <c r="G24" i="22" s="1"/>
  <c r="F16" i="22"/>
  <c r="F23" i="22" s="1"/>
  <c r="E16" i="22"/>
  <c r="D16" i="22"/>
  <c r="K14" i="22"/>
  <c r="G14" i="22"/>
  <c r="L13" i="22"/>
  <c r="L14" i="22" s="1"/>
  <c r="K13" i="22"/>
  <c r="J13" i="22"/>
  <c r="I13" i="22"/>
  <c r="H13" i="22"/>
  <c r="H14" i="22" s="1"/>
  <c r="G13" i="22"/>
  <c r="F13" i="22"/>
  <c r="E13" i="22"/>
  <c r="D13" i="22"/>
  <c r="D14" i="22" s="1"/>
  <c r="L12" i="22"/>
  <c r="K12" i="22"/>
  <c r="J12" i="22"/>
  <c r="J14" i="22" s="1"/>
  <c r="I12" i="22"/>
  <c r="I14" i="22" s="1"/>
  <c r="H12" i="22"/>
  <c r="G12" i="22"/>
  <c r="F12" i="22"/>
  <c r="F14" i="22" s="1"/>
  <c r="E12" i="22"/>
  <c r="E14" i="22" s="1"/>
  <c r="D12" i="22"/>
  <c r="J8" i="22"/>
  <c r="F8" i="22"/>
  <c r="L7" i="22"/>
  <c r="K7" i="22"/>
  <c r="K8" i="22" s="1"/>
  <c r="J7" i="22"/>
  <c r="I7" i="22"/>
  <c r="H7" i="22"/>
  <c r="G7" i="22"/>
  <c r="G8" i="22" s="1"/>
  <c r="F7" i="22"/>
  <c r="E7" i="22"/>
  <c r="D7" i="22"/>
  <c r="L6" i="22"/>
  <c r="L8" i="22" s="1"/>
  <c r="K6" i="22"/>
  <c r="J6" i="22"/>
  <c r="I6" i="22"/>
  <c r="I8" i="22" s="1"/>
  <c r="H6" i="22"/>
  <c r="H8" i="22" s="1"/>
  <c r="G6" i="22"/>
  <c r="F6" i="22"/>
  <c r="E6" i="22"/>
  <c r="E8" i="22" s="1"/>
  <c r="D6" i="22"/>
  <c r="D8" i="22" s="1"/>
  <c r="C44" i="22"/>
  <c r="C43" i="22"/>
  <c r="C42" i="22"/>
  <c r="C41" i="22"/>
  <c r="C40" i="22"/>
  <c r="C39" i="22"/>
  <c r="C38" i="22"/>
  <c r="C37" i="22"/>
  <c r="C34" i="22"/>
  <c r="C33" i="22"/>
  <c r="C32" i="22"/>
  <c r="C30" i="22"/>
  <c r="C22" i="22"/>
  <c r="C21" i="22"/>
  <c r="C20" i="22"/>
  <c r="C19" i="22"/>
  <c r="C18" i="22"/>
  <c r="C16" i="22"/>
  <c r="C13" i="22"/>
  <c r="C12" i="22"/>
  <c r="C7" i="22"/>
  <c r="C6" i="22"/>
  <c r="D19" i="21"/>
  <c r="E19" i="21"/>
  <c r="F19" i="21"/>
  <c r="G19" i="21"/>
  <c r="C19" i="21"/>
  <c r="D16" i="21"/>
  <c r="E16" i="21"/>
  <c r="F16" i="21"/>
  <c r="G16" i="21"/>
  <c r="H16" i="21"/>
  <c r="I16" i="21"/>
  <c r="J16" i="21"/>
  <c r="K16" i="21"/>
  <c r="L16" i="21"/>
  <c r="C16" i="21"/>
  <c r="D13" i="21"/>
  <c r="E13" i="21"/>
  <c r="F13" i="21"/>
  <c r="G13" i="21"/>
  <c r="H13" i="21"/>
  <c r="I13" i="21"/>
  <c r="J13" i="21"/>
  <c r="K13" i="21"/>
  <c r="L13" i="21"/>
  <c r="C13" i="21"/>
  <c r="D10" i="21"/>
  <c r="E10" i="21"/>
  <c r="F10" i="21"/>
  <c r="G10" i="21"/>
  <c r="C10" i="21"/>
  <c r="D9" i="21"/>
  <c r="D11" i="21" s="1"/>
  <c r="E9" i="21"/>
  <c r="E11" i="21" s="1"/>
  <c r="F9" i="21"/>
  <c r="G9" i="21"/>
  <c r="C9" i="21"/>
  <c r="D8" i="21"/>
  <c r="E8" i="21"/>
  <c r="F8" i="21"/>
  <c r="G8" i="21"/>
  <c r="G11" i="21" s="1"/>
  <c r="C8" i="21"/>
  <c r="D5" i="21"/>
  <c r="E5" i="21"/>
  <c r="F5" i="21"/>
  <c r="G5" i="21"/>
  <c r="C5" i="21"/>
  <c r="C58" i="17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G56" i="17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I40" i="17"/>
  <c r="H40" i="17"/>
  <c r="I36" i="17" s="1"/>
  <c r="I37" i="17" s="1"/>
  <c r="I39" i="17" s="1"/>
  <c r="G40" i="17"/>
  <c r="H36" i="17" s="1"/>
  <c r="H37" i="17" s="1"/>
  <c r="F40" i="17"/>
  <c r="G36" i="17" s="1"/>
  <c r="G37" i="17" s="1"/>
  <c r="E40" i="17"/>
  <c r="F36" i="17" s="1"/>
  <c r="F37" i="17" s="1"/>
  <c r="D40" i="17"/>
  <c r="E36" i="17" s="1"/>
  <c r="E37" i="17" s="1"/>
  <c r="E39" i="17" s="1"/>
  <c r="I38" i="17"/>
  <c r="H38" i="17"/>
  <c r="G38" i="17"/>
  <c r="F38" i="17"/>
  <c r="E38" i="17"/>
  <c r="D38" i="17"/>
  <c r="D39" i="17" s="1"/>
  <c r="D37" i="17"/>
  <c r="I35" i="17"/>
  <c r="H35" i="17"/>
  <c r="G35" i="17"/>
  <c r="F35" i="17"/>
  <c r="E35" i="17"/>
  <c r="D35" i="17"/>
  <c r="H18" i="17"/>
  <c r="D18" i="17"/>
  <c r="D15" i="17"/>
  <c r="G18" i="17" s="1"/>
  <c r="I14" i="17"/>
  <c r="H14" i="17"/>
  <c r="G14" i="17"/>
  <c r="F14" i="17"/>
  <c r="E14" i="17"/>
  <c r="D14" i="17"/>
  <c r="D16" i="17" s="1"/>
  <c r="I8" i="16"/>
  <c r="G25" i="24"/>
  <c r="F25" i="24"/>
  <c r="E25" i="24"/>
  <c r="D25" i="24"/>
  <c r="C25" i="24"/>
  <c r="L50" i="23"/>
  <c r="K50" i="23"/>
  <c r="J50" i="23"/>
  <c r="I50" i="23"/>
  <c r="H50" i="23"/>
  <c r="G50" i="23"/>
  <c r="F50" i="23"/>
  <c r="E50" i="23"/>
  <c r="D50" i="23"/>
  <c r="L49" i="23"/>
  <c r="L52" i="23" s="1"/>
  <c r="K49" i="23"/>
  <c r="J49" i="23"/>
  <c r="I49" i="23"/>
  <c r="H49" i="23"/>
  <c r="H52" i="23" s="1"/>
  <c r="G49" i="23"/>
  <c r="F49" i="23"/>
  <c r="E49" i="23"/>
  <c r="D49" i="23"/>
  <c r="D52" i="23" s="1"/>
  <c r="C52" i="23"/>
  <c r="B37" i="23"/>
  <c r="B38" i="23" s="1"/>
  <c r="B39" i="23" s="1"/>
  <c r="B40" i="23" s="1"/>
  <c r="L21" i="23"/>
  <c r="K21" i="23"/>
  <c r="J21" i="23"/>
  <c r="I21" i="23"/>
  <c r="H21" i="23"/>
  <c r="G21" i="23"/>
  <c r="F21" i="23"/>
  <c r="E21" i="23"/>
  <c r="D21" i="23"/>
  <c r="C21" i="23"/>
  <c r="L20" i="23"/>
  <c r="K20" i="23"/>
  <c r="J20" i="23"/>
  <c r="I20" i="23"/>
  <c r="H20" i="23"/>
  <c r="G20" i="23"/>
  <c r="F20" i="23"/>
  <c r="E20" i="23"/>
  <c r="D20" i="23"/>
  <c r="C20" i="23"/>
  <c r="L18" i="23"/>
  <c r="K18" i="23"/>
  <c r="J18" i="23"/>
  <c r="I18" i="23"/>
  <c r="H18" i="23"/>
  <c r="G18" i="23"/>
  <c r="F18" i="23"/>
  <c r="E18" i="23"/>
  <c r="D18" i="23"/>
  <c r="C18" i="23"/>
  <c r="C11" i="23"/>
  <c r="C23" i="22"/>
  <c r="C14" i="22"/>
  <c r="C8" i="22"/>
  <c r="F11" i="21"/>
  <c r="C11" i="21"/>
  <c r="B15" i="19"/>
  <c r="E12" i="19"/>
  <c r="F12" i="19" s="1"/>
  <c r="D12" i="19"/>
  <c r="D13" i="19" s="1"/>
  <c r="E11" i="19"/>
  <c r="E13" i="19" s="1"/>
  <c r="F10" i="19"/>
  <c r="F9" i="19"/>
  <c r="F8" i="19"/>
  <c r="F7" i="19"/>
  <c r="F6" i="19"/>
  <c r="D277" i="18"/>
  <c r="C275" i="18"/>
  <c r="L272" i="18"/>
  <c r="K272" i="18"/>
  <c r="J272" i="18"/>
  <c r="I272" i="18"/>
  <c r="H272" i="18"/>
  <c r="G272" i="18"/>
  <c r="F272" i="18"/>
  <c r="E272" i="18"/>
  <c r="D272" i="18"/>
  <c r="D275" i="18" s="1"/>
  <c r="C272" i="18"/>
  <c r="C277" i="18" s="1"/>
  <c r="L258" i="18"/>
  <c r="K258" i="18"/>
  <c r="J258" i="18"/>
  <c r="I258" i="18"/>
  <c r="H258" i="18"/>
  <c r="G258" i="18"/>
  <c r="G264" i="18" s="1"/>
  <c r="F258" i="18"/>
  <c r="F264" i="18" s="1"/>
  <c r="E258" i="18"/>
  <c r="E264" i="18" s="1"/>
  <c r="D258" i="18"/>
  <c r="D264" i="18" s="1"/>
  <c r="C258" i="18"/>
  <c r="C264" i="18" s="1"/>
  <c r="C254" i="18"/>
  <c r="G251" i="18"/>
  <c r="F251" i="18"/>
  <c r="E251" i="18"/>
  <c r="D251" i="18"/>
  <c r="C251" i="18"/>
  <c r="G249" i="18"/>
  <c r="F249" i="18"/>
  <c r="E249" i="18"/>
  <c r="D249" i="18"/>
  <c r="C249" i="18"/>
  <c r="L244" i="18"/>
  <c r="K244" i="18"/>
  <c r="J244" i="18"/>
  <c r="I244" i="18"/>
  <c r="H244" i="18"/>
  <c r="G244" i="18"/>
  <c r="F244" i="18"/>
  <c r="E244" i="18"/>
  <c r="D244" i="18"/>
  <c r="C244" i="18"/>
  <c r="L240" i="18"/>
  <c r="K240" i="18"/>
  <c r="J240" i="18"/>
  <c r="I240" i="18"/>
  <c r="H240" i="18"/>
  <c r="G240" i="18"/>
  <c r="F240" i="18"/>
  <c r="E240" i="18"/>
  <c r="D240" i="18"/>
  <c r="C240" i="18"/>
  <c r="L236" i="18"/>
  <c r="K236" i="18"/>
  <c r="J236" i="18"/>
  <c r="I236" i="18"/>
  <c r="H236" i="18"/>
  <c r="G236" i="18"/>
  <c r="F236" i="18"/>
  <c r="E236" i="18"/>
  <c r="D236" i="18"/>
  <c r="C236" i="18"/>
  <c r="C246" i="18" s="1"/>
  <c r="D226" i="18" s="1"/>
  <c r="D246" i="18" s="1"/>
  <c r="E226" i="18" s="1"/>
  <c r="E246" i="18" s="1"/>
  <c r="F226" i="18" s="1"/>
  <c r="F246" i="18" s="1"/>
  <c r="G226" i="18" s="1"/>
  <c r="G246" i="18" s="1"/>
  <c r="L232" i="18"/>
  <c r="K232" i="18"/>
  <c r="J232" i="18"/>
  <c r="I232" i="18"/>
  <c r="H232" i="18"/>
  <c r="G232" i="18"/>
  <c r="F232" i="18"/>
  <c r="E232" i="18"/>
  <c r="D232" i="18"/>
  <c r="C232" i="18"/>
  <c r="H226" i="18"/>
  <c r="H246" i="18" s="1"/>
  <c r="I226" i="18" s="1"/>
  <c r="I246" i="18" s="1"/>
  <c r="J226" i="18" s="1"/>
  <c r="J246" i="18" s="1"/>
  <c r="K226" i="18" s="1"/>
  <c r="K246" i="18" s="1"/>
  <c r="L226" i="18" s="1"/>
  <c r="L246" i="18" s="1"/>
  <c r="G219" i="18"/>
  <c r="F219" i="18"/>
  <c r="E219" i="18"/>
  <c r="D219" i="18"/>
  <c r="C219" i="18"/>
  <c r="L215" i="18"/>
  <c r="K215" i="18"/>
  <c r="J215" i="18"/>
  <c r="I215" i="18"/>
  <c r="H215" i="18"/>
  <c r="G215" i="18"/>
  <c r="F215" i="18"/>
  <c r="E215" i="18"/>
  <c r="D215" i="18"/>
  <c r="C215" i="18"/>
  <c r="C222" i="18" s="1"/>
  <c r="L211" i="18"/>
  <c r="K211" i="18"/>
  <c r="J211" i="18"/>
  <c r="I211" i="18"/>
  <c r="H211" i="18"/>
  <c r="G211" i="18"/>
  <c r="F211" i="18"/>
  <c r="E211" i="18"/>
  <c r="D211" i="18"/>
  <c r="C211" i="18"/>
  <c r="C221" i="18" s="1"/>
  <c r="D201" i="18" s="1"/>
  <c r="L207" i="18"/>
  <c r="K207" i="18"/>
  <c r="J207" i="18"/>
  <c r="I207" i="18"/>
  <c r="H207" i="18"/>
  <c r="G207" i="18"/>
  <c r="F207" i="18"/>
  <c r="E207" i="18"/>
  <c r="D207" i="18"/>
  <c r="C207" i="18"/>
  <c r="G195" i="18"/>
  <c r="F195" i="18"/>
  <c r="E195" i="18"/>
  <c r="D195" i="18"/>
  <c r="C195" i="18"/>
  <c r="L191" i="18"/>
  <c r="K191" i="18"/>
  <c r="J191" i="18"/>
  <c r="I191" i="18"/>
  <c r="H191" i="18"/>
  <c r="G191" i="18"/>
  <c r="F191" i="18"/>
  <c r="E191" i="18"/>
  <c r="D191" i="18"/>
  <c r="C191" i="18"/>
  <c r="C198" i="18" s="1"/>
  <c r="L187" i="18"/>
  <c r="K187" i="18"/>
  <c r="J187" i="18"/>
  <c r="I187" i="18"/>
  <c r="H187" i="18"/>
  <c r="G187" i="18"/>
  <c r="F187" i="18"/>
  <c r="E187" i="18"/>
  <c r="D187" i="18"/>
  <c r="C187" i="18"/>
  <c r="C197" i="18" s="1"/>
  <c r="D177" i="18" s="1"/>
  <c r="L183" i="18"/>
  <c r="K183" i="18"/>
  <c r="J183" i="18"/>
  <c r="I183" i="18"/>
  <c r="H183" i="18"/>
  <c r="G183" i="18"/>
  <c r="F183" i="18"/>
  <c r="E183" i="18"/>
  <c r="D183" i="18"/>
  <c r="C183" i="18"/>
  <c r="G171" i="18"/>
  <c r="F171" i="18"/>
  <c r="E171" i="18"/>
  <c r="D171" i="18"/>
  <c r="C171" i="18"/>
  <c r="L167" i="18"/>
  <c r="K167" i="18"/>
  <c r="J167" i="18"/>
  <c r="I167" i="18"/>
  <c r="H167" i="18"/>
  <c r="G167" i="18"/>
  <c r="F167" i="18"/>
  <c r="E167" i="18"/>
  <c r="D167" i="18"/>
  <c r="C167" i="18"/>
  <c r="C174" i="18" s="1"/>
  <c r="L163" i="18"/>
  <c r="K163" i="18"/>
  <c r="J163" i="18"/>
  <c r="I163" i="18"/>
  <c r="H163" i="18"/>
  <c r="G163" i="18"/>
  <c r="F163" i="18"/>
  <c r="E163" i="18"/>
  <c r="D163" i="18"/>
  <c r="C163" i="18"/>
  <c r="C173" i="18" s="1"/>
  <c r="D153" i="18" s="1"/>
  <c r="L159" i="18"/>
  <c r="K159" i="18"/>
  <c r="J159" i="18"/>
  <c r="I159" i="18"/>
  <c r="H159" i="18"/>
  <c r="G159" i="18"/>
  <c r="F159" i="18"/>
  <c r="E159" i="18"/>
  <c r="D159" i="18"/>
  <c r="C159" i="18"/>
  <c r="G147" i="18"/>
  <c r="F147" i="18"/>
  <c r="E147" i="18"/>
  <c r="D147" i="18"/>
  <c r="C147" i="18"/>
  <c r="L143" i="18"/>
  <c r="K143" i="18"/>
  <c r="J143" i="18"/>
  <c r="I143" i="18"/>
  <c r="H143" i="18"/>
  <c r="G143" i="18"/>
  <c r="F143" i="18"/>
  <c r="E143" i="18"/>
  <c r="D143" i="18"/>
  <c r="C143" i="18"/>
  <c r="C150" i="18" s="1"/>
  <c r="L139" i="18"/>
  <c r="K139" i="18"/>
  <c r="J139" i="18"/>
  <c r="I139" i="18"/>
  <c r="H139" i="18"/>
  <c r="G139" i="18"/>
  <c r="F139" i="18"/>
  <c r="E139" i="18"/>
  <c r="D139" i="18"/>
  <c r="C139" i="18"/>
  <c r="C149" i="18" s="1"/>
  <c r="D129" i="18" s="1"/>
  <c r="L135" i="18"/>
  <c r="K135" i="18"/>
  <c r="J135" i="18"/>
  <c r="I135" i="18"/>
  <c r="H135" i="18"/>
  <c r="G135" i="18"/>
  <c r="F135" i="18"/>
  <c r="E135" i="18"/>
  <c r="D135" i="18"/>
  <c r="C135" i="18"/>
  <c r="G122" i="18"/>
  <c r="F122" i="18"/>
  <c r="E122" i="18"/>
  <c r="D122" i="18"/>
  <c r="C122" i="18"/>
  <c r="L118" i="18"/>
  <c r="K118" i="18"/>
  <c r="J118" i="18"/>
  <c r="I118" i="18"/>
  <c r="H118" i="18"/>
  <c r="G118" i="18"/>
  <c r="F118" i="18"/>
  <c r="E118" i="18"/>
  <c r="D118" i="18"/>
  <c r="C118" i="18"/>
  <c r="C126" i="18" s="1"/>
  <c r="L114" i="18"/>
  <c r="K114" i="18"/>
  <c r="J114" i="18"/>
  <c r="I114" i="18"/>
  <c r="H114" i="18"/>
  <c r="G114" i="18"/>
  <c r="F114" i="18"/>
  <c r="E114" i="18"/>
  <c r="D114" i="18"/>
  <c r="C114" i="18"/>
  <c r="C125" i="18" s="1"/>
  <c r="D104" i="18" s="1"/>
  <c r="L110" i="18"/>
  <c r="K110" i="18"/>
  <c r="J110" i="18"/>
  <c r="I110" i="18"/>
  <c r="H110" i="18"/>
  <c r="G110" i="18"/>
  <c r="F110" i="18"/>
  <c r="E110" i="18"/>
  <c r="D110" i="18"/>
  <c r="C110" i="18"/>
  <c r="L98" i="18"/>
  <c r="K98" i="18"/>
  <c r="J98" i="18"/>
  <c r="I98" i="18"/>
  <c r="H98" i="18"/>
  <c r="G98" i="18"/>
  <c r="F98" i="18"/>
  <c r="E98" i="18"/>
  <c r="D98" i="18"/>
  <c r="C98" i="18"/>
  <c r="L94" i="18"/>
  <c r="K94" i="18"/>
  <c r="J94" i="18"/>
  <c r="I94" i="18"/>
  <c r="H94" i="18"/>
  <c r="G94" i="18"/>
  <c r="F94" i="18"/>
  <c r="E94" i="18"/>
  <c r="D94" i="18"/>
  <c r="C94" i="18"/>
  <c r="C100" i="18" s="1"/>
  <c r="D80" i="18" s="1"/>
  <c r="D100" i="18" s="1"/>
  <c r="E80" i="18" s="1"/>
  <c r="E100" i="18" s="1"/>
  <c r="F80" i="18" s="1"/>
  <c r="F100" i="18" s="1"/>
  <c r="G80" i="18" s="1"/>
  <c r="G100" i="18" s="1"/>
  <c r="H80" i="18" s="1"/>
  <c r="H100" i="18" s="1"/>
  <c r="I80" i="18" s="1"/>
  <c r="I100" i="18" s="1"/>
  <c r="J80" i="18" s="1"/>
  <c r="J100" i="18" s="1"/>
  <c r="K80" i="18" s="1"/>
  <c r="K100" i="18" s="1"/>
  <c r="L80" i="18" s="1"/>
  <c r="L100" i="18" s="1"/>
  <c r="L90" i="18"/>
  <c r="K90" i="18"/>
  <c r="J90" i="18"/>
  <c r="I90" i="18"/>
  <c r="H90" i="18"/>
  <c r="G90" i="18"/>
  <c r="F90" i="18"/>
  <c r="E90" i="18"/>
  <c r="D90" i="18"/>
  <c r="C90" i="18"/>
  <c r="L86" i="18"/>
  <c r="K86" i="18"/>
  <c r="J86" i="18"/>
  <c r="I86" i="18"/>
  <c r="H86" i="18"/>
  <c r="G86" i="18"/>
  <c r="F86" i="18"/>
  <c r="E86" i="18"/>
  <c r="D86" i="18"/>
  <c r="C86" i="18"/>
  <c r="G74" i="18"/>
  <c r="F74" i="18"/>
  <c r="E74" i="18"/>
  <c r="D74" i="18"/>
  <c r="C74" i="18"/>
  <c r="C76" i="18" s="1"/>
  <c r="D52" i="18" s="1"/>
  <c r="L70" i="18"/>
  <c r="K70" i="18"/>
  <c r="J70" i="18"/>
  <c r="I70" i="18"/>
  <c r="H70" i="18"/>
  <c r="G70" i="18"/>
  <c r="G262" i="18" s="1"/>
  <c r="F70" i="18"/>
  <c r="E70" i="18"/>
  <c r="D70" i="18"/>
  <c r="C70" i="18"/>
  <c r="L66" i="18"/>
  <c r="K66" i="18"/>
  <c r="J66" i="18"/>
  <c r="I66" i="18"/>
  <c r="H66" i="18"/>
  <c r="G66" i="18"/>
  <c r="F66" i="18"/>
  <c r="E66" i="18"/>
  <c r="D66" i="18"/>
  <c r="C66" i="18"/>
  <c r="C77" i="18" s="1"/>
  <c r="L62" i="18"/>
  <c r="K62" i="18"/>
  <c r="J62" i="18"/>
  <c r="I62" i="18"/>
  <c r="H62" i="18"/>
  <c r="G62" i="18"/>
  <c r="F62" i="18"/>
  <c r="E62" i="18"/>
  <c r="D62" i="18"/>
  <c r="C62" i="18"/>
  <c r="L58" i="18"/>
  <c r="K58" i="18"/>
  <c r="J58" i="18"/>
  <c r="I58" i="18"/>
  <c r="H58" i="18"/>
  <c r="G58" i="18"/>
  <c r="F58" i="18"/>
  <c r="E58" i="18"/>
  <c r="D58" i="18"/>
  <c r="C58" i="18"/>
  <c r="G46" i="18"/>
  <c r="F46" i="18"/>
  <c r="E46" i="18"/>
  <c r="D46" i="18"/>
  <c r="D253" i="18" s="1"/>
  <c r="D255" i="18" s="1"/>
  <c r="C46" i="18"/>
  <c r="L42" i="18"/>
  <c r="K42" i="18"/>
  <c r="J42" i="18"/>
  <c r="I42" i="18"/>
  <c r="H42" i="18"/>
  <c r="G42" i="18"/>
  <c r="F42" i="18"/>
  <c r="E42" i="18"/>
  <c r="D42" i="18"/>
  <c r="C42" i="18"/>
  <c r="L38" i="18"/>
  <c r="K38" i="18"/>
  <c r="J38" i="18"/>
  <c r="I38" i="18"/>
  <c r="H38" i="18"/>
  <c r="G38" i="18"/>
  <c r="F38" i="18"/>
  <c r="E38" i="18"/>
  <c r="D38" i="18"/>
  <c r="C38" i="18"/>
  <c r="L34" i="18"/>
  <c r="K34" i="18"/>
  <c r="J34" i="18"/>
  <c r="I34" i="18"/>
  <c r="H34" i="18"/>
  <c r="G34" i="18"/>
  <c r="F34" i="18"/>
  <c r="E34" i="18"/>
  <c r="D34" i="18"/>
  <c r="C34" i="18"/>
  <c r="L22" i="18"/>
  <c r="K22" i="18"/>
  <c r="J22" i="18"/>
  <c r="I22" i="18"/>
  <c r="H22" i="18"/>
  <c r="G22" i="18"/>
  <c r="F22" i="18"/>
  <c r="F253" i="18" s="1"/>
  <c r="F255" i="18" s="1"/>
  <c r="E22" i="18"/>
  <c r="E253" i="18" s="1"/>
  <c r="E255" i="18" s="1"/>
  <c r="D22" i="18"/>
  <c r="C22" i="18"/>
  <c r="L18" i="18"/>
  <c r="K18" i="18"/>
  <c r="J18" i="18"/>
  <c r="I18" i="18"/>
  <c r="H18" i="18"/>
  <c r="G18" i="18"/>
  <c r="F18" i="18"/>
  <c r="E18" i="18"/>
  <c r="D18" i="18"/>
  <c r="C18" i="18"/>
  <c r="L14" i="18"/>
  <c r="K14" i="18"/>
  <c r="J14" i="18"/>
  <c r="I14" i="18"/>
  <c r="H14" i="18"/>
  <c r="G14" i="18"/>
  <c r="F14" i="18"/>
  <c r="E14" i="18"/>
  <c r="D14" i="18"/>
  <c r="C14" i="18"/>
  <c r="L9" i="18"/>
  <c r="K9" i="18"/>
  <c r="J9" i="18"/>
  <c r="I9" i="18"/>
  <c r="H9" i="18"/>
  <c r="G9" i="18"/>
  <c r="F9" i="18"/>
  <c r="E9" i="18"/>
  <c r="D9" i="18"/>
  <c r="C9" i="18"/>
  <c r="C24" i="18" s="1"/>
  <c r="D3" i="18" s="1"/>
  <c r="D24" i="18" s="1"/>
  <c r="E3" i="18" s="1"/>
  <c r="E24" i="18" s="1"/>
  <c r="F3" i="18" s="1"/>
  <c r="F24" i="18" s="1"/>
  <c r="G3" i="18" s="1"/>
  <c r="G24" i="18" s="1"/>
  <c r="H3" i="18" s="1"/>
  <c r="H24" i="18" s="1"/>
  <c r="I3" i="18" s="1"/>
  <c r="I24" i="18" s="1"/>
  <c r="J3" i="18" s="1"/>
  <c r="J24" i="18" s="1"/>
  <c r="K3" i="18" s="1"/>
  <c r="K24" i="18" s="1"/>
  <c r="L3" i="18" s="1"/>
  <c r="L24" i="18" s="1"/>
  <c r="D139" i="16"/>
  <c r="D138" i="16"/>
  <c r="F135" i="16"/>
  <c r="G164" i="16" s="1"/>
  <c r="H130" i="16"/>
  <c r="G130" i="16"/>
  <c r="G129" i="16"/>
  <c r="H129" i="16"/>
  <c r="H128" i="16"/>
  <c r="G128" i="16"/>
  <c r="G127" i="16"/>
  <c r="H127" i="16"/>
  <c r="H126" i="16"/>
  <c r="G126" i="16"/>
  <c r="G125" i="16"/>
  <c r="H125" i="16"/>
  <c r="H124" i="16"/>
  <c r="G124" i="16"/>
  <c r="G123" i="16"/>
  <c r="H123" i="16"/>
  <c r="H122" i="16"/>
  <c r="G122" i="16"/>
  <c r="G121" i="16"/>
  <c r="H121" i="16"/>
  <c r="H120" i="16"/>
  <c r="G120" i="16"/>
  <c r="G119" i="16"/>
  <c r="H119" i="16"/>
  <c r="H118" i="16"/>
  <c r="G118" i="16"/>
  <c r="K117" i="16"/>
  <c r="G117" i="16"/>
  <c r="H117" i="16"/>
  <c r="L116" i="16"/>
  <c r="K116" i="16"/>
  <c r="G112" i="16"/>
  <c r="H112" i="16" s="1"/>
  <c r="G111" i="16"/>
  <c r="G110" i="16"/>
  <c r="H110" i="16"/>
  <c r="H109" i="16"/>
  <c r="G109" i="16"/>
  <c r="G108" i="16"/>
  <c r="H108" i="16" s="1"/>
  <c r="G107" i="16"/>
  <c r="G106" i="16"/>
  <c r="H106" i="16"/>
  <c r="H105" i="16"/>
  <c r="G105" i="16"/>
  <c r="G104" i="16"/>
  <c r="H104" i="16" s="1"/>
  <c r="G103" i="16"/>
  <c r="G102" i="16"/>
  <c r="H102" i="16"/>
  <c r="H101" i="16"/>
  <c r="G101" i="16"/>
  <c r="G100" i="16"/>
  <c r="H100" i="16" s="1"/>
  <c r="G99" i="16"/>
  <c r="G98" i="16"/>
  <c r="H98" i="16"/>
  <c r="H97" i="16"/>
  <c r="G97" i="16"/>
  <c r="G96" i="16"/>
  <c r="H96" i="16" s="1"/>
  <c r="G95" i="16"/>
  <c r="G94" i="16"/>
  <c r="H94" i="16"/>
  <c r="H93" i="16"/>
  <c r="G93" i="16"/>
  <c r="G92" i="16"/>
  <c r="H92" i="16" s="1"/>
  <c r="G91" i="16"/>
  <c r="G90" i="16"/>
  <c r="H90" i="16"/>
  <c r="H89" i="16"/>
  <c r="G89" i="16"/>
  <c r="G88" i="16"/>
  <c r="H88" i="16" s="1"/>
  <c r="G87" i="16"/>
  <c r="G86" i="16"/>
  <c r="H86" i="16"/>
  <c r="H85" i="16"/>
  <c r="G85" i="16"/>
  <c r="L84" i="16"/>
  <c r="K84" i="16"/>
  <c r="F79" i="16"/>
  <c r="F78" i="16"/>
  <c r="F77" i="16"/>
  <c r="F76" i="16"/>
  <c r="F75" i="16"/>
  <c r="F74" i="16"/>
  <c r="G73" i="16"/>
  <c r="G149" i="16" s="1"/>
  <c r="F73" i="16"/>
  <c r="I72" i="16"/>
  <c r="G43" i="16"/>
  <c r="G42" i="16"/>
  <c r="H42" i="16" s="1"/>
  <c r="G41" i="16"/>
  <c r="G40" i="16"/>
  <c r="H40" i="16" s="1"/>
  <c r="G39" i="16"/>
  <c r="G38" i="16"/>
  <c r="H38" i="16" s="1"/>
  <c r="G37" i="16"/>
  <c r="J36" i="16"/>
  <c r="G36" i="16"/>
  <c r="H36" i="16" s="1"/>
  <c r="L35" i="16"/>
  <c r="K35" i="16"/>
  <c r="G30" i="16"/>
  <c r="H30" i="16"/>
  <c r="G29" i="16"/>
  <c r="H29" i="16" s="1"/>
  <c r="H28" i="16"/>
  <c r="G28" i="16"/>
  <c r="G27" i="16"/>
  <c r="G26" i="16"/>
  <c r="H26" i="16"/>
  <c r="G25" i="16"/>
  <c r="H25" i="16" s="1"/>
  <c r="H24" i="16"/>
  <c r="G24" i="16"/>
  <c r="G23" i="16"/>
  <c r="H23" i="16"/>
  <c r="G22" i="16"/>
  <c r="H22" i="16"/>
  <c r="G21" i="16"/>
  <c r="H21" i="16" s="1"/>
  <c r="H20" i="16"/>
  <c r="G20" i="16"/>
  <c r="G19" i="16"/>
  <c r="G18" i="16"/>
  <c r="H18" i="16"/>
  <c r="G17" i="16"/>
  <c r="H17" i="16" s="1"/>
  <c r="H16" i="16"/>
  <c r="G16" i="16"/>
  <c r="K15" i="16"/>
  <c r="G15" i="16"/>
  <c r="H15" i="16"/>
  <c r="L14" i="16"/>
  <c r="K14" i="16"/>
  <c r="I6" i="16"/>
  <c r="J348" i="14"/>
  <c r="H344" i="14"/>
  <c r="I344" i="14" s="1"/>
  <c r="H341" i="14"/>
  <c r="H338" i="14"/>
  <c r="I336" i="14"/>
  <c r="H336" i="14"/>
  <c r="H334" i="14"/>
  <c r="I334" i="14" s="1"/>
  <c r="G332" i="14"/>
  <c r="F332" i="14"/>
  <c r="E332" i="14"/>
  <c r="D332" i="14"/>
  <c r="C332" i="14"/>
  <c r="H329" i="14"/>
  <c r="L324" i="14"/>
  <c r="K324" i="14"/>
  <c r="J324" i="14"/>
  <c r="I324" i="14"/>
  <c r="H324" i="14"/>
  <c r="G324" i="14"/>
  <c r="F324" i="14"/>
  <c r="E324" i="14"/>
  <c r="D324" i="14"/>
  <c r="C324" i="14"/>
  <c r="L321" i="14"/>
  <c r="L36" i="23" s="1"/>
  <c r="K321" i="14"/>
  <c r="K36" i="23" s="1"/>
  <c r="J321" i="14"/>
  <c r="J36" i="23" s="1"/>
  <c r="I321" i="14"/>
  <c r="I36" i="23" s="1"/>
  <c r="H321" i="14"/>
  <c r="G321" i="14"/>
  <c r="G36" i="23" s="1"/>
  <c r="F321" i="14"/>
  <c r="F36" i="23" s="1"/>
  <c r="F43" i="23" s="1"/>
  <c r="C321" i="14"/>
  <c r="C36" i="23" s="1"/>
  <c r="C43" i="23" s="1"/>
  <c r="H315" i="14"/>
  <c r="H313" i="14"/>
  <c r="I311" i="14"/>
  <c r="J311" i="14" s="1"/>
  <c r="H311" i="14"/>
  <c r="G309" i="14"/>
  <c r="F309" i="14"/>
  <c r="K308" i="14" s="1"/>
  <c r="K7" i="23" s="1"/>
  <c r="E309" i="14"/>
  <c r="D309" i="14"/>
  <c r="C309" i="14"/>
  <c r="L308" i="14"/>
  <c r="L7" i="23" s="1"/>
  <c r="C304" i="14"/>
  <c r="C306" i="14" s="1"/>
  <c r="G302" i="14"/>
  <c r="G304" i="14" s="1"/>
  <c r="G306" i="14" s="1"/>
  <c r="F302" i="14"/>
  <c r="H301" i="14"/>
  <c r="L291" i="14"/>
  <c r="K291" i="14"/>
  <c r="J291" i="14"/>
  <c r="I291" i="14"/>
  <c r="H291" i="14"/>
  <c r="G291" i="14"/>
  <c r="F291" i="14"/>
  <c r="E291" i="14"/>
  <c r="D291" i="14"/>
  <c r="C291" i="14"/>
  <c r="L288" i="14"/>
  <c r="L45" i="22" s="1"/>
  <c r="K288" i="14"/>
  <c r="K45" i="22" s="1"/>
  <c r="J288" i="14"/>
  <c r="J45" i="22" s="1"/>
  <c r="I288" i="14"/>
  <c r="I45" i="22" s="1"/>
  <c r="H288" i="14"/>
  <c r="H45" i="22" s="1"/>
  <c r="G288" i="14"/>
  <c r="G45" i="22" s="1"/>
  <c r="F288" i="14"/>
  <c r="F45" i="22" s="1"/>
  <c r="E288" i="14"/>
  <c r="E45" i="22" s="1"/>
  <c r="D288" i="14"/>
  <c r="D45" i="22" s="1"/>
  <c r="C288" i="14"/>
  <c r="C45" i="22" s="1"/>
  <c r="C46" i="22" s="1"/>
  <c r="G286" i="14"/>
  <c r="F286" i="14"/>
  <c r="E286" i="14"/>
  <c r="D286" i="14"/>
  <c r="C286" i="14"/>
  <c r="H276" i="14"/>
  <c r="G274" i="14"/>
  <c r="F274" i="14"/>
  <c r="E274" i="14"/>
  <c r="D274" i="14"/>
  <c r="C274" i="14"/>
  <c r="J273" i="14"/>
  <c r="K273" i="14" s="1"/>
  <c r="I273" i="14"/>
  <c r="H273" i="14"/>
  <c r="H272" i="14"/>
  <c r="H271" i="14"/>
  <c r="I270" i="14"/>
  <c r="H270" i="14"/>
  <c r="J269" i="14"/>
  <c r="I269" i="14"/>
  <c r="H269" i="14"/>
  <c r="G265" i="14"/>
  <c r="F265" i="14"/>
  <c r="E265" i="14"/>
  <c r="C265" i="14"/>
  <c r="I264" i="14"/>
  <c r="J264" i="14" s="1"/>
  <c r="H264" i="14"/>
  <c r="D263" i="14"/>
  <c r="I260" i="14"/>
  <c r="H260" i="14"/>
  <c r="G260" i="14"/>
  <c r="F260" i="14"/>
  <c r="E260" i="14"/>
  <c r="D260" i="14"/>
  <c r="C260" i="14"/>
  <c r="K258" i="14"/>
  <c r="K260" i="14" s="1"/>
  <c r="J258" i="14"/>
  <c r="J260" i="14" s="1"/>
  <c r="I258" i="14"/>
  <c r="H258" i="14"/>
  <c r="L258" i="14" s="1"/>
  <c r="L260" i="14" s="1"/>
  <c r="L254" i="14"/>
  <c r="K254" i="14"/>
  <c r="J254" i="14"/>
  <c r="I254" i="14"/>
  <c r="H254" i="14"/>
  <c r="G254" i="14"/>
  <c r="F254" i="14"/>
  <c r="C254" i="14"/>
  <c r="E253" i="14"/>
  <c r="E254" i="14" s="1"/>
  <c r="D253" i="14"/>
  <c r="D252" i="14"/>
  <c r="G250" i="14"/>
  <c r="G255" i="14" s="1"/>
  <c r="F250" i="14"/>
  <c r="E250" i="14"/>
  <c r="D250" i="14"/>
  <c r="C250" i="14"/>
  <c r="C255" i="14" s="1"/>
  <c r="H249" i="14"/>
  <c r="J248" i="14"/>
  <c r="I248" i="14"/>
  <c r="H248" i="14"/>
  <c r="J246" i="14"/>
  <c r="K246" i="14" s="1"/>
  <c r="I246" i="14"/>
  <c r="H246" i="14"/>
  <c r="G242" i="14"/>
  <c r="F242" i="14"/>
  <c r="F299" i="14" s="1"/>
  <c r="F304" i="14" s="1"/>
  <c r="F306" i="14" s="1"/>
  <c r="E242" i="14"/>
  <c r="D242" i="14"/>
  <c r="E299" i="14" s="1"/>
  <c r="C242" i="14"/>
  <c r="J241" i="14"/>
  <c r="I241" i="14"/>
  <c r="H241" i="14"/>
  <c r="J240" i="14"/>
  <c r="K240" i="14" s="1"/>
  <c r="I240" i="14"/>
  <c r="H240" i="14"/>
  <c r="H239" i="14"/>
  <c r="H236" i="14"/>
  <c r="H298" i="14" s="1"/>
  <c r="E236" i="14"/>
  <c r="J235" i="14"/>
  <c r="K235" i="14" s="1"/>
  <c r="L235" i="14" s="1"/>
  <c r="I235" i="14"/>
  <c r="H235" i="14"/>
  <c r="H234" i="14"/>
  <c r="G234" i="14"/>
  <c r="G236" i="14" s="1"/>
  <c r="F234" i="14"/>
  <c r="F236" i="14" s="1"/>
  <c r="E234" i="14"/>
  <c r="D234" i="14"/>
  <c r="D236" i="14" s="1"/>
  <c r="C234" i="14"/>
  <c r="C236" i="14" s="1"/>
  <c r="I233" i="14"/>
  <c r="J233" i="14" s="1"/>
  <c r="H233" i="14"/>
  <c r="J232" i="14"/>
  <c r="K232" i="14" s="1"/>
  <c r="I232" i="14"/>
  <c r="H232" i="14"/>
  <c r="L232" i="14" s="1"/>
  <c r="H231" i="14"/>
  <c r="H228" i="14"/>
  <c r="G225" i="14"/>
  <c r="F225" i="14"/>
  <c r="E225" i="14"/>
  <c r="D225" i="14"/>
  <c r="C225" i="14"/>
  <c r="H224" i="14"/>
  <c r="H223" i="14"/>
  <c r="J220" i="14"/>
  <c r="I220" i="14"/>
  <c r="H220" i="14"/>
  <c r="C218" i="14"/>
  <c r="C31" i="22" s="1"/>
  <c r="C35" i="22" s="1"/>
  <c r="L217" i="14"/>
  <c r="K217" i="14"/>
  <c r="J217" i="14"/>
  <c r="I217" i="14"/>
  <c r="H217" i="14"/>
  <c r="L215" i="14"/>
  <c r="K215" i="14"/>
  <c r="J215" i="14"/>
  <c r="I215" i="14"/>
  <c r="H215" i="14"/>
  <c r="G215" i="14"/>
  <c r="F215" i="14"/>
  <c r="E215" i="14"/>
  <c r="E218" i="14" s="1"/>
  <c r="F210" i="14" s="1"/>
  <c r="F218" i="14" s="1"/>
  <c r="G210" i="14" s="1"/>
  <c r="G218" i="14" s="1"/>
  <c r="H210" i="14" s="1"/>
  <c r="H218" i="14" s="1"/>
  <c r="I210" i="14" s="1"/>
  <c r="D215" i="14"/>
  <c r="D218" i="14" s="1"/>
  <c r="D31" i="22" s="1"/>
  <c r="D35" i="22" s="1"/>
  <c r="C215" i="14"/>
  <c r="G207" i="14"/>
  <c r="F207" i="14"/>
  <c r="E207" i="14"/>
  <c r="D207" i="14"/>
  <c r="C207" i="14"/>
  <c r="I206" i="14"/>
  <c r="H206" i="14"/>
  <c r="J204" i="14"/>
  <c r="I204" i="14"/>
  <c r="H204" i="14"/>
  <c r="K198" i="14"/>
  <c r="J198" i="14"/>
  <c r="I198" i="14"/>
  <c r="H198" i="14"/>
  <c r="L198" i="14" s="1"/>
  <c r="H196" i="14"/>
  <c r="G193" i="14"/>
  <c r="F193" i="14"/>
  <c r="E193" i="14"/>
  <c r="D193" i="14"/>
  <c r="C193" i="14"/>
  <c r="J192" i="14"/>
  <c r="K192" i="14" s="1"/>
  <c r="I192" i="14"/>
  <c r="H192" i="14"/>
  <c r="H191" i="14"/>
  <c r="H190" i="14"/>
  <c r="I187" i="14"/>
  <c r="H187" i="14"/>
  <c r="G187" i="14"/>
  <c r="F187" i="14"/>
  <c r="E187" i="14"/>
  <c r="D187" i="14"/>
  <c r="C187" i="14"/>
  <c r="J186" i="14"/>
  <c r="K186" i="14" s="1"/>
  <c r="H186" i="14"/>
  <c r="I186" i="14" s="1"/>
  <c r="I185" i="14"/>
  <c r="H185" i="14"/>
  <c r="G182" i="14"/>
  <c r="F182" i="14"/>
  <c r="E182" i="14"/>
  <c r="D182" i="14"/>
  <c r="C182" i="14"/>
  <c r="H179" i="14"/>
  <c r="H178" i="14"/>
  <c r="I175" i="14"/>
  <c r="J175" i="14" s="1"/>
  <c r="H175" i="14"/>
  <c r="K174" i="14"/>
  <c r="J174" i="14"/>
  <c r="I174" i="14"/>
  <c r="H174" i="14"/>
  <c r="H173" i="14"/>
  <c r="I172" i="14"/>
  <c r="H172" i="14"/>
  <c r="I171" i="14"/>
  <c r="H171" i="14"/>
  <c r="J170" i="14"/>
  <c r="K170" i="14" s="1"/>
  <c r="I170" i="14"/>
  <c r="H170" i="14"/>
  <c r="H182" i="14" s="1"/>
  <c r="H305" i="14" s="1"/>
  <c r="H167" i="14"/>
  <c r="L165" i="14"/>
  <c r="L348" i="14" s="1"/>
  <c r="K165" i="14"/>
  <c r="K348" i="14" s="1"/>
  <c r="J165" i="14"/>
  <c r="I165" i="14"/>
  <c r="I348" i="14" s="1"/>
  <c r="H165" i="14"/>
  <c r="H348" i="14" s="1"/>
  <c r="G165" i="14"/>
  <c r="F165" i="14"/>
  <c r="E165" i="14"/>
  <c r="D165" i="14"/>
  <c r="C165" i="14"/>
  <c r="L163" i="14"/>
  <c r="K163" i="14"/>
  <c r="J163" i="14"/>
  <c r="I163" i="14"/>
  <c r="H163" i="14"/>
  <c r="G163" i="14"/>
  <c r="F163" i="14"/>
  <c r="E163" i="14"/>
  <c r="D163" i="14"/>
  <c r="C163" i="14"/>
  <c r="E158" i="14"/>
  <c r="D158" i="14"/>
  <c r="G157" i="14"/>
  <c r="F157" i="14"/>
  <c r="E157" i="14"/>
  <c r="D157" i="14"/>
  <c r="C157" i="14"/>
  <c r="H156" i="14"/>
  <c r="I155" i="14"/>
  <c r="H155" i="14"/>
  <c r="D153" i="14"/>
  <c r="C153" i="14"/>
  <c r="H152" i="14"/>
  <c r="E151" i="14"/>
  <c r="E153" i="14" s="1"/>
  <c r="E147" i="14"/>
  <c r="F147" i="14" s="1"/>
  <c r="G147" i="14" s="1"/>
  <c r="H147" i="14" s="1"/>
  <c r="I147" i="14" s="1"/>
  <c r="J147" i="14" s="1"/>
  <c r="K147" i="14" s="1"/>
  <c r="L147" i="14" s="1"/>
  <c r="D142" i="14"/>
  <c r="E142" i="14" s="1"/>
  <c r="F142" i="14" s="1"/>
  <c r="L141" i="14"/>
  <c r="K141" i="14"/>
  <c r="J141" i="14"/>
  <c r="I141" i="14"/>
  <c r="H141" i="14"/>
  <c r="G141" i="14"/>
  <c r="F141" i="14"/>
  <c r="E141" i="14"/>
  <c r="E143" i="14" s="1"/>
  <c r="E25" i="21" s="1"/>
  <c r="D141" i="14"/>
  <c r="D143" i="14" s="1"/>
  <c r="D25" i="21" s="1"/>
  <c r="C141" i="14"/>
  <c r="C143" i="14" s="1"/>
  <c r="C25" i="21" s="1"/>
  <c r="G134" i="14"/>
  <c r="F134" i="14"/>
  <c r="E134" i="14"/>
  <c r="D134" i="14"/>
  <c r="C134" i="14"/>
  <c r="J133" i="14"/>
  <c r="I133" i="14"/>
  <c r="H133" i="14"/>
  <c r="J132" i="14"/>
  <c r="K132" i="14" s="1"/>
  <c r="I132" i="14"/>
  <c r="H132" i="14"/>
  <c r="H130" i="14"/>
  <c r="G123" i="14"/>
  <c r="F123" i="14"/>
  <c r="E123" i="14"/>
  <c r="E124" i="14" s="1"/>
  <c r="D123" i="14"/>
  <c r="D124" i="14" s="1"/>
  <c r="C123" i="14"/>
  <c r="H122" i="14"/>
  <c r="I122" i="14" s="1"/>
  <c r="H120" i="14"/>
  <c r="H119" i="14"/>
  <c r="I118" i="14"/>
  <c r="H118" i="14"/>
  <c r="G115" i="14"/>
  <c r="F115" i="14"/>
  <c r="E115" i="14"/>
  <c r="D115" i="14"/>
  <c r="C115" i="14"/>
  <c r="C124" i="14" s="1"/>
  <c r="H114" i="14"/>
  <c r="I112" i="14"/>
  <c r="J112" i="14" s="1"/>
  <c r="H112" i="14"/>
  <c r="H110" i="14"/>
  <c r="I110" i="14" s="1"/>
  <c r="H109" i="14"/>
  <c r="G105" i="14"/>
  <c r="F105" i="14"/>
  <c r="E105" i="14"/>
  <c r="D105" i="14"/>
  <c r="C105" i="14"/>
  <c r="J104" i="14"/>
  <c r="H104" i="14"/>
  <c r="I104" i="14" s="1"/>
  <c r="H102" i="14"/>
  <c r="L101" i="14"/>
  <c r="K101" i="14"/>
  <c r="J101" i="14"/>
  <c r="I101" i="14"/>
  <c r="H101" i="14"/>
  <c r="H105" i="14" s="1"/>
  <c r="H10" i="21" s="1"/>
  <c r="I100" i="14"/>
  <c r="H100" i="14"/>
  <c r="J99" i="14"/>
  <c r="I99" i="14"/>
  <c r="H99" i="14"/>
  <c r="G95" i="14"/>
  <c r="F95" i="14"/>
  <c r="E95" i="14"/>
  <c r="D95" i="14"/>
  <c r="C95" i="14"/>
  <c r="I94" i="14"/>
  <c r="J94" i="14" s="1"/>
  <c r="K94" i="14" s="1"/>
  <c r="L94" i="14" s="1"/>
  <c r="H94" i="14"/>
  <c r="J93" i="14"/>
  <c r="K93" i="14" s="1"/>
  <c r="I93" i="14"/>
  <c r="H93" i="14"/>
  <c r="L93" i="14" s="1"/>
  <c r="H92" i="14"/>
  <c r="I92" i="14" s="1"/>
  <c r="J92" i="14" s="1"/>
  <c r="K92" i="14" s="1"/>
  <c r="L92" i="14" s="1"/>
  <c r="H91" i="14"/>
  <c r="F88" i="14"/>
  <c r="E88" i="14"/>
  <c r="H87" i="14"/>
  <c r="L86" i="14"/>
  <c r="K86" i="14"/>
  <c r="J86" i="14"/>
  <c r="I86" i="14"/>
  <c r="H86" i="14"/>
  <c r="I85" i="14"/>
  <c r="J85" i="14" s="1"/>
  <c r="H85" i="14"/>
  <c r="H84" i="14"/>
  <c r="I84" i="14" s="1"/>
  <c r="H83" i="14"/>
  <c r="H82" i="14"/>
  <c r="I81" i="14"/>
  <c r="J81" i="14" s="1"/>
  <c r="H81" i="14"/>
  <c r="G79" i="14"/>
  <c r="G88" i="14" s="1"/>
  <c r="F79" i="14"/>
  <c r="E79" i="14"/>
  <c r="D79" i="14"/>
  <c r="D88" i="14" s="1"/>
  <c r="C79" i="14"/>
  <c r="C88" i="14" s="1"/>
  <c r="J78" i="14"/>
  <c r="I78" i="14"/>
  <c r="H78" i="14"/>
  <c r="J77" i="14"/>
  <c r="H77" i="14"/>
  <c r="I77" i="14" s="1"/>
  <c r="K77" i="14" s="1"/>
  <c r="H76" i="14"/>
  <c r="I75" i="14"/>
  <c r="H75" i="14"/>
  <c r="J74" i="14"/>
  <c r="I74" i="14"/>
  <c r="H74" i="14"/>
  <c r="J73" i="14"/>
  <c r="H73" i="14"/>
  <c r="I73" i="14" s="1"/>
  <c r="K73" i="14" s="1"/>
  <c r="G69" i="14"/>
  <c r="F69" i="14"/>
  <c r="E69" i="14"/>
  <c r="D69" i="14"/>
  <c r="C69" i="14"/>
  <c r="L68" i="14"/>
  <c r="K68" i="14"/>
  <c r="J68" i="14"/>
  <c r="I68" i="14"/>
  <c r="H68" i="14"/>
  <c r="I67" i="14"/>
  <c r="H67" i="14"/>
  <c r="I66" i="14"/>
  <c r="J66" i="14" s="1"/>
  <c r="H66" i="14"/>
  <c r="H65" i="14"/>
  <c r="I65" i="14" s="1"/>
  <c r="H62" i="14"/>
  <c r="I61" i="14"/>
  <c r="J61" i="14" s="1"/>
  <c r="K61" i="14" s="1"/>
  <c r="H61" i="14"/>
  <c r="L61" i="14" s="1"/>
  <c r="H60" i="14"/>
  <c r="I60" i="14" s="1"/>
  <c r="I59" i="14"/>
  <c r="K59" i="14" s="1"/>
  <c r="H59" i="14"/>
  <c r="J59" i="14" s="1"/>
  <c r="H58" i="14"/>
  <c r="I57" i="14"/>
  <c r="J57" i="14" s="1"/>
  <c r="K57" i="14" s="1"/>
  <c r="H57" i="14"/>
  <c r="L57" i="14" s="1"/>
  <c r="H56" i="14"/>
  <c r="I56" i="14" s="1"/>
  <c r="I55" i="14"/>
  <c r="H55" i="14"/>
  <c r="J55" i="14" s="1"/>
  <c r="G48" i="14"/>
  <c r="C48" i="14"/>
  <c r="H46" i="14"/>
  <c r="F46" i="14"/>
  <c r="F48" i="14" s="1"/>
  <c r="E46" i="14"/>
  <c r="E48" i="14" s="1"/>
  <c r="D46" i="14"/>
  <c r="D48" i="14" s="1"/>
  <c r="F42" i="14"/>
  <c r="D42" i="14"/>
  <c r="C42" i="14"/>
  <c r="H40" i="14"/>
  <c r="G40" i="14"/>
  <c r="G42" i="14" s="1"/>
  <c r="F40" i="14"/>
  <c r="E40" i="14"/>
  <c r="E42" i="14" s="1"/>
  <c r="D40" i="14"/>
  <c r="L37" i="14"/>
  <c r="K37" i="14"/>
  <c r="J37" i="14"/>
  <c r="I37" i="14"/>
  <c r="H37" i="14"/>
  <c r="I36" i="14"/>
  <c r="H36" i="14"/>
  <c r="H35" i="14"/>
  <c r="I35" i="14" s="1"/>
  <c r="J35" i="14" s="1"/>
  <c r="I34" i="14"/>
  <c r="J34" i="14" s="1"/>
  <c r="K34" i="14" s="1"/>
  <c r="H34" i="14"/>
  <c r="L34" i="14" s="1"/>
  <c r="H33" i="14"/>
  <c r="I32" i="14"/>
  <c r="H32" i="14"/>
  <c r="G27" i="14"/>
  <c r="F27" i="14"/>
  <c r="E27" i="14"/>
  <c r="D27" i="14"/>
  <c r="H29" i="14" s="1"/>
  <c r="I29" i="14" s="1"/>
  <c r="J29" i="14" s="1"/>
  <c r="K29" i="14" s="1"/>
  <c r="L29" i="14" s="1"/>
  <c r="C27" i="14"/>
  <c r="C26" i="14"/>
  <c r="C24" i="14"/>
  <c r="C38" i="14" s="1"/>
  <c r="C43" i="14" s="1"/>
  <c r="C49" i="14" s="1"/>
  <c r="J23" i="14"/>
  <c r="K21" i="14" s="1"/>
  <c r="I23" i="14"/>
  <c r="J21" i="14" s="1"/>
  <c r="H23" i="14"/>
  <c r="I21" i="14"/>
  <c r="H21" i="14"/>
  <c r="G21" i="14"/>
  <c r="G24" i="14" s="1"/>
  <c r="G38" i="14" s="1"/>
  <c r="G43" i="14" s="1"/>
  <c r="G49" i="14" s="1"/>
  <c r="F21" i="14"/>
  <c r="F24" i="14" s="1"/>
  <c r="F38" i="14" s="1"/>
  <c r="F43" i="14" s="1"/>
  <c r="F49" i="14" s="1"/>
  <c r="E21" i="14"/>
  <c r="E24" i="14" s="1"/>
  <c r="E38" i="14" s="1"/>
  <c r="D21" i="14"/>
  <c r="D24" i="14" s="1"/>
  <c r="D38" i="14" s="1"/>
  <c r="D43" i="14" s="1"/>
  <c r="D49" i="14" s="1"/>
  <c r="G17" i="14"/>
  <c r="G4" i="21" s="1"/>
  <c r="F17" i="14"/>
  <c r="F4" i="21" s="1"/>
  <c r="F6" i="21" s="1"/>
  <c r="F12" i="21" s="1"/>
  <c r="F14" i="21" s="1"/>
  <c r="F17" i="21" s="1"/>
  <c r="E17" i="14"/>
  <c r="E26" i="14" s="1"/>
  <c r="D17" i="14"/>
  <c r="D26" i="14" s="1"/>
  <c r="C17" i="14"/>
  <c r="G16" i="14"/>
  <c r="F16" i="14"/>
  <c r="E16" i="14"/>
  <c r="D16" i="14"/>
  <c r="C16" i="14"/>
  <c r="I15" i="14"/>
  <c r="H15" i="14"/>
  <c r="G14" i="14"/>
  <c r="F14" i="14"/>
  <c r="E14" i="14"/>
  <c r="D14" i="14"/>
  <c r="C14" i="14"/>
  <c r="G12" i="14"/>
  <c r="F12" i="14"/>
  <c r="E12" i="14"/>
  <c r="D12" i="14"/>
  <c r="C12" i="14"/>
  <c r="J11" i="14"/>
  <c r="J12" i="14" s="1"/>
  <c r="I11" i="14"/>
  <c r="H11" i="14"/>
  <c r="G10" i="14"/>
  <c r="F10" i="14"/>
  <c r="E10" i="14"/>
  <c r="D10" i="14"/>
  <c r="C10" i="14"/>
  <c r="L8" i="14"/>
  <c r="L14" i="14" s="1"/>
  <c r="K8" i="14"/>
  <c r="J8" i="14"/>
  <c r="I8" i="14"/>
  <c r="I14" i="14" s="1"/>
  <c r="H8" i="14"/>
  <c r="H14" i="14" s="1"/>
  <c r="H6" i="14"/>
  <c r="I6" i="14" s="1"/>
  <c r="H5" i="14"/>
  <c r="L46" i="22" l="1"/>
  <c r="G26" i="14"/>
  <c r="D46" i="22"/>
  <c r="H46" i="22"/>
  <c r="H47" i="22" s="1"/>
  <c r="H49" i="22" s="1"/>
  <c r="F143" i="14"/>
  <c r="F25" i="21" s="1"/>
  <c r="I218" i="14"/>
  <c r="J210" i="14" s="1"/>
  <c r="J218" i="14" s="1"/>
  <c r="K210" i="14" s="1"/>
  <c r="K218" i="14" s="1"/>
  <c r="L210" i="14" s="1"/>
  <c r="L218" i="14" s="1"/>
  <c r="L31" i="22" s="1"/>
  <c r="L35" i="22" s="1"/>
  <c r="F20" i="21"/>
  <c r="F22" i="21" s="1"/>
  <c r="F13" i="23"/>
  <c r="F29" i="23" s="1"/>
  <c r="F31" i="23" s="1"/>
  <c r="H9" i="14"/>
  <c r="H10" i="14" s="1"/>
  <c r="I9" i="14" s="1"/>
  <c r="I10" i="14" s="1"/>
  <c r="I16" i="14"/>
  <c r="H12" i="14"/>
  <c r="G31" i="22"/>
  <c r="G35" i="22" s="1"/>
  <c r="G47" i="22" s="1"/>
  <c r="I12" i="14"/>
  <c r="H30" i="14"/>
  <c r="F26" i="14"/>
  <c r="H263" i="18"/>
  <c r="H39" i="17"/>
  <c r="H31" i="22"/>
  <c r="H35" i="22" s="1"/>
  <c r="E46" i="22"/>
  <c r="I46" i="22"/>
  <c r="I52" i="23"/>
  <c r="E52" i="23"/>
  <c r="C4" i="21"/>
  <c r="C6" i="21" s="1"/>
  <c r="C12" i="21" s="1"/>
  <c r="C14" i="21" s="1"/>
  <c r="C17" i="21" s="1"/>
  <c r="E4" i="21"/>
  <c r="E6" i="21" s="1"/>
  <c r="E12" i="21" s="1"/>
  <c r="E14" i="21" s="1"/>
  <c r="E17" i="21" s="1"/>
  <c r="G6" i="21"/>
  <c r="G12" i="21" s="1"/>
  <c r="G14" i="21" s="1"/>
  <c r="G17" i="21" s="1"/>
  <c r="E31" i="22"/>
  <c r="E35" i="22" s="1"/>
  <c r="G43" i="23"/>
  <c r="D4" i="21"/>
  <c r="D6" i="21" s="1"/>
  <c r="F31" i="22"/>
  <c r="F35" i="22" s="1"/>
  <c r="G46" i="22"/>
  <c r="K46" i="22"/>
  <c r="F14" i="20" s="1"/>
  <c r="F46" i="22"/>
  <c r="F47" i="22" s="1"/>
  <c r="F49" i="22" s="1"/>
  <c r="J46" i="22"/>
  <c r="L11" i="23"/>
  <c r="J52" i="23"/>
  <c r="F52" i="23"/>
  <c r="K52" i="23"/>
  <c r="G52" i="23"/>
  <c r="C7" i="24"/>
  <c r="C9" i="24" s="1"/>
  <c r="E11" i="23"/>
  <c r="F11" i="23"/>
  <c r="K11" i="23"/>
  <c r="G11" i="23"/>
  <c r="F24" i="22"/>
  <c r="F26" i="22" s="1"/>
  <c r="J24" i="22"/>
  <c r="J26" i="22" s="1"/>
  <c r="D26" i="22"/>
  <c r="H26" i="22"/>
  <c r="L26" i="22"/>
  <c r="G26" i="22"/>
  <c r="K26" i="22"/>
  <c r="D47" i="22"/>
  <c r="D49" i="22" s="1"/>
  <c r="L47" i="22"/>
  <c r="G14" i="20"/>
  <c r="G13" i="20"/>
  <c r="E13" i="20"/>
  <c r="E14" i="20"/>
  <c r="D14" i="20"/>
  <c r="C47" i="22"/>
  <c r="D12" i="21"/>
  <c r="D14" i="21" s="1"/>
  <c r="D17" i="21" s="1"/>
  <c r="D23" i="17"/>
  <c r="E16" i="17"/>
  <c r="F39" i="17"/>
  <c r="G39" i="17"/>
  <c r="D20" i="17"/>
  <c r="E15" i="17" s="1"/>
  <c r="E18" i="17"/>
  <c r="I18" i="17"/>
  <c r="D17" i="17"/>
  <c r="D19" i="17" s="1"/>
  <c r="F18" i="17"/>
  <c r="D22" i="17"/>
  <c r="B38" i="24"/>
  <c r="C37" i="24" s="1"/>
  <c r="C13" i="24" s="1"/>
  <c r="C24" i="22"/>
  <c r="C26" i="22" s="1"/>
  <c r="C49" i="22" s="1"/>
  <c r="F13" i="19"/>
  <c r="D14" i="19"/>
  <c r="F14" i="19" s="1"/>
  <c r="D15" i="19"/>
  <c r="F15" i="19" s="1"/>
  <c r="F11" i="19"/>
  <c r="E14" i="19"/>
  <c r="E15" i="19"/>
  <c r="D77" i="18"/>
  <c r="D76" i="18"/>
  <c r="D173" i="18"/>
  <c r="E153" i="18" s="1"/>
  <c r="D174" i="18"/>
  <c r="E76" i="18"/>
  <c r="F52" i="18" s="1"/>
  <c r="D125" i="18"/>
  <c r="E104" i="18" s="1"/>
  <c r="D126" i="18"/>
  <c r="D197" i="18"/>
  <c r="E177" i="18" s="1"/>
  <c r="D198" i="18"/>
  <c r="C48" i="18"/>
  <c r="D28" i="18" s="1"/>
  <c r="C49" i="18"/>
  <c r="D221" i="18"/>
  <c r="E201" i="18" s="1"/>
  <c r="D222" i="18"/>
  <c r="E77" i="18"/>
  <c r="D149" i="18"/>
  <c r="E129" i="18" s="1"/>
  <c r="D150" i="18"/>
  <c r="C253" i="18"/>
  <c r="C255" i="18" s="1"/>
  <c r="C256" i="18" s="1"/>
  <c r="G253" i="18"/>
  <c r="G255" i="18" s="1"/>
  <c r="E275" i="18"/>
  <c r="F267" i="18" s="1"/>
  <c r="E277" i="18"/>
  <c r="J15" i="16"/>
  <c r="H27" i="16"/>
  <c r="H39" i="16"/>
  <c r="H43" i="16"/>
  <c r="H73" i="16"/>
  <c r="G150" i="16" s="1"/>
  <c r="G7" i="16"/>
  <c r="F50" i="16" s="1"/>
  <c r="F10" i="16"/>
  <c r="F9" i="16"/>
  <c r="F8" i="16"/>
  <c r="F7" i="16"/>
  <c r="H7" i="16" s="1"/>
  <c r="H19" i="16"/>
  <c r="K36" i="16"/>
  <c r="H37" i="16"/>
  <c r="H41" i="16"/>
  <c r="L15" i="16"/>
  <c r="H87" i="16"/>
  <c r="H95" i="16"/>
  <c r="H103" i="16"/>
  <c r="H111" i="16"/>
  <c r="I73" i="16"/>
  <c r="K85" i="16"/>
  <c r="J85" i="16"/>
  <c r="H91" i="16"/>
  <c r="H99" i="16"/>
  <c r="H107" i="16"/>
  <c r="J117" i="16"/>
  <c r="L117" i="16"/>
  <c r="F138" i="16"/>
  <c r="F140" i="16" s="1"/>
  <c r="F136" i="16"/>
  <c r="G165" i="16" s="1"/>
  <c r="F137" i="16"/>
  <c r="J5" i="14"/>
  <c r="J9" i="14"/>
  <c r="J10" i="14" s="1"/>
  <c r="L32" i="14"/>
  <c r="K55" i="14"/>
  <c r="K84" i="14"/>
  <c r="L84" i="14" s="1"/>
  <c r="E43" i="14"/>
  <c r="E49" i="14" s="1"/>
  <c r="J6" i="14"/>
  <c r="K6" i="14"/>
  <c r="K32" i="14"/>
  <c r="K5" i="14"/>
  <c r="J56" i="14"/>
  <c r="K56" i="14" s="1"/>
  <c r="L56" i="14" s="1"/>
  <c r="J60" i="14"/>
  <c r="K60" i="14" s="1"/>
  <c r="L60" i="14" s="1"/>
  <c r="J65" i="14"/>
  <c r="I76" i="14"/>
  <c r="J76" i="14" s="1"/>
  <c r="J91" i="14"/>
  <c r="J95" i="14" s="1"/>
  <c r="J79" i="14" s="1"/>
  <c r="H95" i="14"/>
  <c r="H79" i="14" s="1"/>
  <c r="I91" i="14"/>
  <c r="I95" i="14" s="1"/>
  <c r="I79" i="14" s="1"/>
  <c r="I119" i="14"/>
  <c r="K122" i="14"/>
  <c r="J32" i="14"/>
  <c r="I33" i="14"/>
  <c r="K33" i="14" s="1"/>
  <c r="K35" i="14"/>
  <c r="J36" i="14"/>
  <c r="K36" i="14" s="1"/>
  <c r="L55" i="14"/>
  <c r="I58" i="14"/>
  <c r="J58" i="14" s="1"/>
  <c r="L59" i="14"/>
  <c r="I62" i="14"/>
  <c r="J62" i="14" s="1"/>
  <c r="K75" i="14"/>
  <c r="L75" i="14" s="1"/>
  <c r="J75" i="14"/>
  <c r="I83" i="14"/>
  <c r="J84" i="14"/>
  <c r="K99" i="14"/>
  <c r="J122" i="14"/>
  <c r="F124" i="14"/>
  <c r="L5" i="14"/>
  <c r="I5" i="14"/>
  <c r="K14" i="14"/>
  <c r="H16" i="14"/>
  <c r="K23" i="14"/>
  <c r="L21" i="14" s="1"/>
  <c r="H31" i="14"/>
  <c r="J33" i="14"/>
  <c r="L33" i="14" s="1"/>
  <c r="L35" i="14"/>
  <c r="J82" i="14"/>
  <c r="K82" i="14" s="1"/>
  <c r="I114" i="14"/>
  <c r="J14" i="14"/>
  <c r="L6" i="14"/>
  <c r="K11" i="14"/>
  <c r="K12" i="14" s="1"/>
  <c r="J15" i="14"/>
  <c r="J16" i="14" s="1"/>
  <c r="K66" i="14"/>
  <c r="L66" i="14" s="1"/>
  <c r="J67" i="14"/>
  <c r="I82" i="14"/>
  <c r="I87" i="14"/>
  <c r="J100" i="14"/>
  <c r="K104" i="14"/>
  <c r="J110" i="14"/>
  <c r="K110" i="14" s="1"/>
  <c r="L110" i="14" s="1"/>
  <c r="I123" i="14"/>
  <c r="J118" i="14"/>
  <c r="H123" i="14"/>
  <c r="L301" i="14"/>
  <c r="J178" i="14"/>
  <c r="I224" i="14"/>
  <c r="H263" i="14"/>
  <c r="D265" i="14"/>
  <c r="D302" i="14" s="1"/>
  <c r="K269" i="14"/>
  <c r="I276" i="14"/>
  <c r="J276" i="14" s="1"/>
  <c r="J308" i="14"/>
  <c r="J7" i="23" s="1"/>
  <c r="J11" i="23" s="1"/>
  <c r="I308" i="14"/>
  <c r="I7" i="23" s="1"/>
  <c r="I11" i="23" s="1"/>
  <c r="H308" i="14"/>
  <c r="H7" i="23" s="1"/>
  <c r="H11" i="23" s="1"/>
  <c r="J315" i="14"/>
  <c r="I315" i="14"/>
  <c r="K336" i="14"/>
  <c r="L336" i="14" s="1"/>
  <c r="I341" i="14"/>
  <c r="J341" i="14" s="1"/>
  <c r="J155" i="14"/>
  <c r="C158" i="14"/>
  <c r="I167" i="14"/>
  <c r="L174" i="14"/>
  <c r="I178" i="14"/>
  <c r="K178" i="14" s="1"/>
  <c r="I239" i="14"/>
  <c r="I242" i="14" s="1"/>
  <c r="H242" i="14"/>
  <c r="H299" i="14" s="1"/>
  <c r="E302" i="14"/>
  <c r="J336" i="14"/>
  <c r="L73" i="14"/>
  <c r="K74" i="14"/>
  <c r="L74" i="14" s="1"/>
  <c r="L77" i="14"/>
  <c r="K78" i="14"/>
  <c r="L78" i="14" s="1"/>
  <c r="K81" i="14"/>
  <c r="L81" i="14" s="1"/>
  <c r="K85" i="14"/>
  <c r="L85" i="14" s="1"/>
  <c r="I102" i="14"/>
  <c r="L104" i="14"/>
  <c r="I109" i="14"/>
  <c r="J109" i="14" s="1"/>
  <c r="K112" i="14"/>
  <c r="L112" i="14" s="1"/>
  <c r="H115" i="14"/>
  <c r="K118" i="14"/>
  <c r="I120" i="14"/>
  <c r="L122" i="14"/>
  <c r="H128" i="14"/>
  <c r="H134" i="14" s="1"/>
  <c r="L132" i="14"/>
  <c r="G142" i="14"/>
  <c r="H142" i="14" s="1"/>
  <c r="I142" i="14" s="1"/>
  <c r="J171" i="14"/>
  <c r="I173" i="14"/>
  <c r="H193" i="14"/>
  <c r="E304" i="14"/>
  <c r="E306" i="14" s="1"/>
  <c r="I331" i="14"/>
  <c r="I272" i="14"/>
  <c r="J334" i="14"/>
  <c r="K334" i="14" s="1"/>
  <c r="L334" i="14" s="1"/>
  <c r="J344" i="14"/>
  <c r="K344" i="14" s="1"/>
  <c r="L344" i="14" s="1"/>
  <c r="G124" i="14"/>
  <c r="J130" i="14"/>
  <c r="J134" i="14" s="1"/>
  <c r="I130" i="14"/>
  <c r="F151" i="14"/>
  <c r="I152" i="14"/>
  <c r="I156" i="14"/>
  <c r="J172" i="14"/>
  <c r="J179" i="14"/>
  <c r="I179" i="14"/>
  <c r="I190" i="14"/>
  <c r="K206" i="14"/>
  <c r="J206" i="14"/>
  <c r="J207" i="14" s="1"/>
  <c r="H225" i="14"/>
  <c r="I223" i="14"/>
  <c r="I225" i="14" s="1"/>
  <c r="J231" i="14"/>
  <c r="J234" i="14" s="1"/>
  <c r="J236" i="14" s="1"/>
  <c r="J298" i="14" s="1"/>
  <c r="I231" i="14"/>
  <c r="I234" i="14" s="1"/>
  <c r="I236" i="14" s="1"/>
  <c r="I298" i="14" s="1"/>
  <c r="L233" i="14"/>
  <c r="I249" i="14"/>
  <c r="K301" i="14"/>
  <c r="J270" i="14"/>
  <c r="L273" i="14"/>
  <c r="H274" i="14"/>
  <c r="H303" i="14" s="1"/>
  <c r="K133" i="14"/>
  <c r="L133" i="14" s="1"/>
  <c r="H157" i="14"/>
  <c r="L170" i="14"/>
  <c r="K171" i="14"/>
  <c r="K175" i="14"/>
  <c r="L175" i="14" s="1"/>
  <c r="L186" i="14"/>
  <c r="L192" i="14"/>
  <c r="J196" i="14"/>
  <c r="I196" i="14"/>
  <c r="I207" i="14"/>
  <c r="K228" i="14"/>
  <c r="J228" i="14"/>
  <c r="H250" i="14"/>
  <c r="H255" i="14" s="1"/>
  <c r="H300" i="14" s="1"/>
  <c r="E255" i="14"/>
  <c r="H331" i="14"/>
  <c r="H330" i="14"/>
  <c r="D299" i="14"/>
  <c r="D304" i="14" s="1"/>
  <c r="D306" i="14" s="1"/>
  <c r="H328" i="14"/>
  <c r="H332" i="14" s="1"/>
  <c r="J185" i="14"/>
  <c r="J187" i="14" s="1"/>
  <c r="J191" i="14"/>
  <c r="I191" i="14"/>
  <c r="I228" i="14"/>
  <c r="L240" i="14"/>
  <c r="L241" i="14"/>
  <c r="F255" i="14"/>
  <c r="D254" i="14"/>
  <c r="D255" i="14" s="1"/>
  <c r="J301" i="14"/>
  <c r="I330" i="14"/>
  <c r="I329" i="14"/>
  <c r="I301" i="14"/>
  <c r="L269" i="14"/>
  <c r="I271" i="14"/>
  <c r="I313" i="14"/>
  <c r="J313" i="14" s="1"/>
  <c r="J331" i="14"/>
  <c r="I338" i="14"/>
  <c r="K204" i="14"/>
  <c r="H207" i="14"/>
  <c r="K220" i="14"/>
  <c r="L220" i="14" s="1"/>
  <c r="K233" i="14"/>
  <c r="K241" i="14"/>
  <c r="L246" i="14"/>
  <c r="K248" i="14"/>
  <c r="K264" i="14"/>
  <c r="L264" i="14" s="1"/>
  <c r="K270" i="14"/>
  <c r="L270" i="14" s="1"/>
  <c r="K311" i="14"/>
  <c r="L311" i="14" s="1"/>
  <c r="F54" i="23" l="1"/>
  <c r="C13" i="20"/>
  <c r="F23" i="21"/>
  <c r="C14" i="20"/>
  <c r="J31" i="22"/>
  <c r="J35" i="22" s="1"/>
  <c r="J47" i="22" s="1"/>
  <c r="I31" i="22"/>
  <c r="I35" i="22" s="1"/>
  <c r="I47" i="22" s="1"/>
  <c r="I49" i="22" s="1"/>
  <c r="I51" i="22" s="1"/>
  <c r="K31" i="22"/>
  <c r="K35" i="22" s="1"/>
  <c r="G20" i="21"/>
  <c r="G13" i="23"/>
  <c r="G29" i="23" s="1"/>
  <c r="G31" i="23" s="1"/>
  <c r="G54" i="23" s="1"/>
  <c r="E20" i="21"/>
  <c r="E13" i="23"/>
  <c r="E29" i="23" s="1"/>
  <c r="E31" i="23" s="1"/>
  <c r="E54" i="23" s="1"/>
  <c r="K47" i="22"/>
  <c r="K49" i="22" s="1"/>
  <c r="D20" i="21"/>
  <c r="D13" i="23"/>
  <c r="D29" i="23" s="1"/>
  <c r="D31" i="23" s="1"/>
  <c r="D54" i="23" s="1"/>
  <c r="H17" i="14"/>
  <c r="K9" i="14"/>
  <c r="K10" i="14" s="1"/>
  <c r="L9" i="14" s="1"/>
  <c r="L10" i="14" s="1"/>
  <c r="L49" i="22"/>
  <c r="L51" i="22" s="1"/>
  <c r="F13" i="20"/>
  <c r="C20" i="21"/>
  <c r="C13" i="23"/>
  <c r="C29" i="23" s="1"/>
  <c r="C31" i="23" s="1"/>
  <c r="C54" i="23" s="1"/>
  <c r="C56" i="23" s="1"/>
  <c r="D55" i="23" s="1"/>
  <c r="E47" i="22"/>
  <c r="E49" i="22" s="1"/>
  <c r="I31" i="14"/>
  <c r="I17" i="14"/>
  <c r="I4" i="21" s="1"/>
  <c r="D13" i="20"/>
  <c r="H264" i="18"/>
  <c r="I263" i="18" s="1"/>
  <c r="H35" i="23"/>
  <c r="G49" i="22"/>
  <c r="J49" i="22"/>
  <c r="E22" i="17"/>
  <c r="E17" i="17"/>
  <c r="E20" i="17"/>
  <c r="F15" i="17" s="1"/>
  <c r="F16" i="17"/>
  <c r="E23" i="17"/>
  <c r="E19" i="17"/>
  <c r="C36" i="24"/>
  <c r="F277" i="18"/>
  <c r="F275" i="18"/>
  <c r="G267" i="18" s="1"/>
  <c r="E173" i="18"/>
  <c r="F153" i="18" s="1"/>
  <c r="E174" i="18"/>
  <c r="F76" i="18"/>
  <c r="G52" i="18" s="1"/>
  <c r="F77" i="18"/>
  <c r="E125" i="18"/>
  <c r="F104" i="18" s="1"/>
  <c r="E126" i="18"/>
  <c r="E149" i="18"/>
  <c r="F129" i="18" s="1"/>
  <c r="E150" i="18"/>
  <c r="D49" i="18"/>
  <c r="D48" i="18"/>
  <c r="E28" i="18" s="1"/>
  <c r="E197" i="18"/>
  <c r="F177" i="18" s="1"/>
  <c r="E198" i="18"/>
  <c r="E221" i="18"/>
  <c r="F201" i="18" s="1"/>
  <c r="E222" i="18"/>
  <c r="F139" i="16"/>
  <c r="G135" i="16"/>
  <c r="H164" i="16" s="1"/>
  <c r="I85" i="16"/>
  <c r="L85" i="16"/>
  <c r="F51" i="16"/>
  <c r="I7" i="16"/>
  <c r="I15" i="16"/>
  <c r="G151" i="16"/>
  <c r="G74" i="16"/>
  <c r="K118" i="16"/>
  <c r="G160" i="16" s="1"/>
  <c r="J118" i="16"/>
  <c r="G159" i="16" s="1"/>
  <c r="K16" i="16"/>
  <c r="J16" i="16"/>
  <c r="L36" i="16"/>
  <c r="K276" i="14"/>
  <c r="L276" i="14" s="1"/>
  <c r="K341" i="14"/>
  <c r="L341" i="14" s="1"/>
  <c r="L178" i="14"/>
  <c r="H304" i="14"/>
  <c r="H306" i="14" s="1"/>
  <c r="K76" i="14"/>
  <c r="L76" i="14" s="1"/>
  <c r="L271" i="14"/>
  <c r="J329" i="14"/>
  <c r="J271" i="14"/>
  <c r="J156" i="14"/>
  <c r="J142" i="14"/>
  <c r="I143" i="14"/>
  <c r="I25" i="21" s="1"/>
  <c r="D9" i="20" s="1"/>
  <c r="J157" i="14"/>
  <c r="I157" i="14"/>
  <c r="I124" i="14"/>
  <c r="K17" i="14"/>
  <c r="K4" i="21" s="1"/>
  <c r="F11" i="20" s="1"/>
  <c r="J17" i="14"/>
  <c r="J4" i="21" s="1"/>
  <c r="K207" i="14"/>
  <c r="I328" i="14"/>
  <c r="I332" i="14" s="1"/>
  <c r="K271" i="14"/>
  <c r="L248" i="14"/>
  <c r="K329" i="14"/>
  <c r="L329" i="14" s="1"/>
  <c r="K231" i="14"/>
  <c r="K234" i="14" s="1"/>
  <c r="K236" i="14" s="1"/>
  <c r="K298" i="14" s="1"/>
  <c r="I193" i="14"/>
  <c r="L155" i="14"/>
  <c r="G143" i="14"/>
  <c r="G25" i="21" s="1"/>
  <c r="J190" i="14"/>
  <c r="J193" i="14" s="1"/>
  <c r="J173" i="14"/>
  <c r="K173" i="14" s="1"/>
  <c r="K156" i="14"/>
  <c r="L156" i="14" s="1"/>
  <c r="K100" i="14"/>
  <c r="I299" i="14"/>
  <c r="J167" i="14"/>
  <c r="K167" i="14" s="1"/>
  <c r="K315" i="14"/>
  <c r="L315" i="14" s="1"/>
  <c r="I182" i="14"/>
  <c r="I305" i="14" s="1"/>
  <c r="I105" i="14"/>
  <c r="I10" i="21" s="1"/>
  <c r="J87" i="14"/>
  <c r="K87" i="14" s="1"/>
  <c r="L87" i="14" s="1"/>
  <c r="J114" i="14"/>
  <c r="K114" i="14" s="1"/>
  <c r="L114" i="14" s="1"/>
  <c r="K185" i="14"/>
  <c r="J83" i="14"/>
  <c r="K65" i="14"/>
  <c r="L65" i="14" s="1"/>
  <c r="K91" i="14"/>
  <c r="K95" i="14" s="1"/>
  <c r="K79" i="14" s="1"/>
  <c r="K62" i="14"/>
  <c r="L62" i="14" s="1"/>
  <c r="K58" i="14"/>
  <c r="L23" i="14"/>
  <c r="K15" i="14"/>
  <c r="K16" i="14" s="1"/>
  <c r="L338" i="14"/>
  <c r="L313" i="14"/>
  <c r="L228" i="14"/>
  <c r="J338" i="14"/>
  <c r="K338" i="14" s="1"/>
  <c r="K313" i="14"/>
  <c r="J330" i="14"/>
  <c r="K330" i="14" s="1"/>
  <c r="K331" i="14"/>
  <c r="L331" i="14" s="1"/>
  <c r="J249" i="14"/>
  <c r="J250" i="14" s="1"/>
  <c r="J255" i="14" s="1"/>
  <c r="L231" i="14"/>
  <c r="L234" i="14" s="1"/>
  <c r="L236" i="14" s="1"/>
  <c r="L298" i="14" s="1"/>
  <c r="L206" i="14"/>
  <c r="K179" i="14"/>
  <c r="L179" i="14" s="1"/>
  <c r="K172" i="14"/>
  <c r="L172" i="14" s="1"/>
  <c r="I134" i="14"/>
  <c r="K130" i="14"/>
  <c r="K134" i="14" s="1"/>
  <c r="J272" i="14"/>
  <c r="K272" i="14" s="1"/>
  <c r="K274" i="14" s="1"/>
  <c r="K190" i="14"/>
  <c r="J182" i="14"/>
  <c r="J305" i="14" s="1"/>
  <c r="J152" i="14"/>
  <c r="I115" i="14"/>
  <c r="K109" i="14"/>
  <c r="J239" i="14"/>
  <c r="J263" i="14"/>
  <c r="J265" i="14" s="1"/>
  <c r="J302" i="14" s="1"/>
  <c r="H265" i="14"/>
  <c r="H302" i="14" s="1"/>
  <c r="J224" i="14"/>
  <c r="L171" i="14"/>
  <c r="H143" i="14"/>
  <c r="H25" i="21" s="1"/>
  <c r="C9" i="20" s="1"/>
  <c r="L330" i="14"/>
  <c r="H124" i="14"/>
  <c r="L99" i="14"/>
  <c r="J120" i="14"/>
  <c r="K120" i="14" s="1"/>
  <c r="L91" i="14"/>
  <c r="L95" i="14" s="1"/>
  <c r="L79" i="14" s="1"/>
  <c r="J119" i="14"/>
  <c r="H137" i="14"/>
  <c r="H80" i="14"/>
  <c r="H53" i="14"/>
  <c r="I53" i="14" s="1"/>
  <c r="H52" i="14"/>
  <c r="H22" i="14"/>
  <c r="H24" i="14" s="1"/>
  <c r="H38" i="14" s="1"/>
  <c r="H63" i="14"/>
  <c r="H47" i="14"/>
  <c r="I47" i="14" s="1"/>
  <c r="J46" i="14" s="1"/>
  <c r="H72" i="14"/>
  <c r="H54" i="14"/>
  <c r="H41" i="14"/>
  <c r="L11" i="14"/>
  <c r="L12" i="14" s="1"/>
  <c r="K67" i="14"/>
  <c r="L67" i="14" s="1"/>
  <c r="I250" i="14"/>
  <c r="I255" i="14" s="1"/>
  <c r="I300" i="14" s="1"/>
  <c r="K191" i="14"/>
  <c r="L191" i="14" s="1"/>
  <c r="K196" i="14"/>
  <c r="L196" i="14" s="1"/>
  <c r="K155" i="14"/>
  <c r="I304" i="14"/>
  <c r="I306" i="14" s="1"/>
  <c r="J223" i="14"/>
  <c r="G151" i="14"/>
  <c r="F153" i="14"/>
  <c r="F158" i="14" s="1"/>
  <c r="I274" i="14"/>
  <c r="I303" i="14" s="1"/>
  <c r="L190" i="14"/>
  <c r="I263" i="14"/>
  <c r="I265" i="14" s="1"/>
  <c r="I302" i="14" s="1"/>
  <c r="L204" i="14"/>
  <c r="L207" i="14" s="1"/>
  <c r="L82" i="14"/>
  <c r="L118" i="14"/>
  <c r="I72" i="14"/>
  <c r="I54" i="14"/>
  <c r="J102" i="14"/>
  <c r="K102" i="14" s="1"/>
  <c r="L58" i="14"/>
  <c r="L15" i="14"/>
  <c r="L16" i="14" s="1"/>
  <c r="L36" i="14"/>
  <c r="J51" i="22" l="1"/>
  <c r="D56" i="23"/>
  <c r="E55" i="23" s="1"/>
  <c r="E56" i="23" s="1"/>
  <c r="F55" i="23" s="1"/>
  <c r="F56" i="23" s="1"/>
  <c r="G55" i="23" s="1"/>
  <c r="G56" i="23" s="1"/>
  <c r="H55" i="23" s="1"/>
  <c r="I52" i="14"/>
  <c r="K52" i="14" s="1"/>
  <c r="D11" i="20"/>
  <c r="C23" i="21"/>
  <c r="D22" i="21"/>
  <c r="D23" i="21" s="1"/>
  <c r="E23" i="21"/>
  <c r="E22" i="21"/>
  <c r="H19" i="21"/>
  <c r="L17" i="14"/>
  <c r="L4" i="21" s="1"/>
  <c r="C21" i="24"/>
  <c r="H43" i="23"/>
  <c r="J31" i="14"/>
  <c r="K31" i="14" s="1"/>
  <c r="L31" i="14" s="1"/>
  <c r="H4" i="21"/>
  <c r="I30" i="14"/>
  <c r="J30" i="14" s="1"/>
  <c r="K30" i="14" s="1"/>
  <c r="L30" i="14" s="1"/>
  <c r="I63" i="14"/>
  <c r="I80" i="14"/>
  <c r="I22" i="14"/>
  <c r="I24" i="14" s="1"/>
  <c r="I137" i="14"/>
  <c r="I19" i="21" s="1"/>
  <c r="H88" i="14"/>
  <c r="H9" i="21" s="1"/>
  <c r="E11" i="20"/>
  <c r="I264" i="18"/>
  <c r="J263" i="18" s="1"/>
  <c r="I35" i="23"/>
  <c r="G22" i="21"/>
  <c r="G23" i="21" s="1"/>
  <c r="K51" i="22"/>
  <c r="G16" i="17"/>
  <c r="F23" i="17"/>
  <c r="F20" i="17"/>
  <c r="G15" i="17" s="1"/>
  <c r="F22" i="17"/>
  <c r="F17" i="17"/>
  <c r="F19" i="17" s="1"/>
  <c r="C38" i="24"/>
  <c r="C12" i="24"/>
  <c r="F150" i="18"/>
  <c r="F149" i="18"/>
  <c r="G129" i="18" s="1"/>
  <c r="F198" i="18"/>
  <c r="F197" i="18"/>
  <c r="G177" i="18" s="1"/>
  <c r="G277" i="18"/>
  <c r="G275" i="18"/>
  <c r="H267" i="18" s="1"/>
  <c r="E49" i="18"/>
  <c r="E48" i="18"/>
  <c r="F28" i="18" s="1"/>
  <c r="G77" i="18"/>
  <c r="G76" i="18"/>
  <c r="H52" i="18" s="1"/>
  <c r="F222" i="18"/>
  <c r="F221" i="18"/>
  <c r="G201" i="18" s="1"/>
  <c r="F126" i="18"/>
  <c r="F125" i="18"/>
  <c r="G104" i="18" s="1"/>
  <c r="F174" i="18"/>
  <c r="F173" i="18"/>
  <c r="G153" i="18" s="1"/>
  <c r="K37" i="16"/>
  <c r="F61" i="16" s="1"/>
  <c r="J37" i="16"/>
  <c r="F60" i="16" s="1"/>
  <c r="G8" i="16"/>
  <c r="F52" i="16"/>
  <c r="G166" i="16"/>
  <c r="G136" i="16"/>
  <c r="L16" i="16"/>
  <c r="I16" i="16"/>
  <c r="L118" i="16"/>
  <c r="H149" i="16"/>
  <c r="H74" i="16"/>
  <c r="K86" i="16"/>
  <c r="J86" i="16"/>
  <c r="K105" i="14"/>
  <c r="K10" i="21" s="1"/>
  <c r="L83" i="14"/>
  <c r="J47" i="14"/>
  <c r="K46" i="14" s="1"/>
  <c r="K119" i="14"/>
  <c r="K123" i="14" s="1"/>
  <c r="K124" i="14" s="1"/>
  <c r="K182" i="14"/>
  <c r="K305" i="14" s="1"/>
  <c r="K152" i="14"/>
  <c r="L152" i="14" s="1"/>
  <c r="H151" i="14"/>
  <c r="G153" i="14"/>
  <c r="G158" i="14" s="1"/>
  <c r="K328" i="14"/>
  <c r="K332" i="14" s="1"/>
  <c r="K263" i="14"/>
  <c r="K265" i="14" s="1"/>
  <c r="K302" i="14" s="1"/>
  <c r="K115" i="14"/>
  <c r="L130" i="14"/>
  <c r="L134" i="14" s="1"/>
  <c r="J328" i="14"/>
  <c r="J332" i="14" s="1"/>
  <c r="K83" i="14"/>
  <c r="J143" i="14"/>
  <c r="J25" i="21" s="1"/>
  <c r="E9" i="20" s="1"/>
  <c r="K142" i="14"/>
  <c r="J115" i="14"/>
  <c r="I46" i="14"/>
  <c r="I48" i="14" s="1"/>
  <c r="H48" i="14"/>
  <c r="J242" i="14"/>
  <c r="J299" i="14" s="1"/>
  <c r="K239" i="14"/>
  <c r="K187" i="14"/>
  <c r="L185" i="14"/>
  <c r="L187" i="14" s="1"/>
  <c r="L157" i="14"/>
  <c r="J123" i="14"/>
  <c r="J124" i="14" s="1"/>
  <c r="L193" i="14"/>
  <c r="L167" i="14"/>
  <c r="K157" i="14"/>
  <c r="H42" i="14"/>
  <c r="H43" i="14" s="1"/>
  <c r="H49" i="14" s="1"/>
  <c r="H5" i="21" s="1"/>
  <c r="I40" i="14"/>
  <c r="H69" i="14"/>
  <c r="H8" i="21" s="1"/>
  <c r="H11" i="21" s="1"/>
  <c r="L263" i="14"/>
  <c r="L265" i="14" s="1"/>
  <c r="L302" i="14" s="1"/>
  <c r="K193" i="14"/>
  <c r="J300" i="14"/>
  <c r="J72" i="14"/>
  <c r="J63" i="14"/>
  <c r="K63" i="14" s="1"/>
  <c r="J54" i="14"/>
  <c r="K54" i="14" s="1"/>
  <c r="J80" i="14"/>
  <c r="J53" i="14"/>
  <c r="K53" i="14" s="1"/>
  <c r="J52" i="14"/>
  <c r="L100" i="14"/>
  <c r="L105" i="14" s="1"/>
  <c r="L10" i="21" s="1"/>
  <c r="J274" i="14"/>
  <c r="J303" i="14" s="1"/>
  <c r="J105" i="14"/>
  <c r="J10" i="21" s="1"/>
  <c r="I88" i="14"/>
  <c r="I9" i="21" s="1"/>
  <c r="L328" i="14"/>
  <c r="L332" i="14" s="1"/>
  <c r="L102" i="14"/>
  <c r="J225" i="14"/>
  <c r="K223" i="14"/>
  <c r="I41" i="14"/>
  <c r="L109" i="14"/>
  <c r="L115" i="14" s="1"/>
  <c r="L272" i="14"/>
  <c r="L274" i="14" s="1"/>
  <c r="L303" i="14" s="1"/>
  <c r="L120" i="14"/>
  <c r="L173" i="14"/>
  <c r="L182" i="14" s="1"/>
  <c r="L305" i="14" s="1"/>
  <c r="K249" i="14"/>
  <c r="K250" i="14" s="1"/>
  <c r="K255" i="14" s="1"/>
  <c r="K300" i="14" s="1"/>
  <c r="K224" i="14"/>
  <c r="L224" i="14" s="1"/>
  <c r="J137" i="14" l="1"/>
  <c r="I69" i="14"/>
  <c r="I8" i="21" s="1"/>
  <c r="I38" i="14"/>
  <c r="H6" i="21"/>
  <c r="C11" i="20"/>
  <c r="I11" i="21"/>
  <c r="G11" i="20"/>
  <c r="J69" i="14"/>
  <c r="J8" i="21" s="1"/>
  <c r="D21" i="24"/>
  <c r="I43" i="23"/>
  <c r="J22" i="14"/>
  <c r="J24" i="14" s="1"/>
  <c r="J38" i="14" s="1"/>
  <c r="L63" i="14"/>
  <c r="L53" i="14"/>
  <c r="J48" i="14"/>
  <c r="J264" i="18"/>
  <c r="K263" i="18" s="1"/>
  <c r="J35" i="23"/>
  <c r="G20" i="17"/>
  <c r="H15" i="17" s="1"/>
  <c r="G22" i="17"/>
  <c r="G17" i="17"/>
  <c r="G19" i="17" s="1"/>
  <c r="G23" i="17"/>
  <c r="H16" i="17"/>
  <c r="H72" i="18"/>
  <c r="H53" i="18"/>
  <c r="H75" i="18" s="1"/>
  <c r="G174" i="18"/>
  <c r="G173" i="18"/>
  <c r="H153" i="18" s="1"/>
  <c r="G222" i="18"/>
  <c r="G221" i="18"/>
  <c r="H201" i="18" s="1"/>
  <c r="F48" i="18"/>
  <c r="G28" i="18" s="1"/>
  <c r="F49" i="18"/>
  <c r="G198" i="18"/>
  <c r="G197" i="18"/>
  <c r="H177" i="18" s="1"/>
  <c r="G150" i="18"/>
  <c r="G149" i="18"/>
  <c r="H129" i="18" s="1"/>
  <c r="G126" i="18"/>
  <c r="G125" i="18"/>
  <c r="H104" i="18" s="1"/>
  <c r="H274" i="18"/>
  <c r="H275" i="18" s="1"/>
  <c r="I267" i="18" s="1"/>
  <c r="H165" i="16"/>
  <c r="G138" i="16"/>
  <c r="G140" i="16" s="1"/>
  <c r="L86" i="16"/>
  <c r="J119" i="16"/>
  <c r="G161" i="16"/>
  <c r="K119" i="16"/>
  <c r="L119" i="16" s="1"/>
  <c r="G137" i="16"/>
  <c r="G50" i="16"/>
  <c r="H8" i="16"/>
  <c r="L37" i="16"/>
  <c r="I86" i="16"/>
  <c r="H150" i="16"/>
  <c r="I74" i="16"/>
  <c r="L17" i="16"/>
  <c r="K17" i="16"/>
  <c r="J17" i="16"/>
  <c r="J88" i="14"/>
  <c r="J9" i="21" s="1"/>
  <c r="H153" i="14"/>
  <c r="H158" i="14" s="1"/>
  <c r="I151" i="14"/>
  <c r="J40" i="14"/>
  <c r="J41" i="14"/>
  <c r="K40" i="14" s="1"/>
  <c r="L54" i="14"/>
  <c r="K80" i="14"/>
  <c r="L80" i="14" s="1"/>
  <c r="K242" i="14"/>
  <c r="K299" i="14" s="1"/>
  <c r="L239" i="14"/>
  <c r="L242" i="14" s="1"/>
  <c r="L299" i="14" s="1"/>
  <c r="K47" i="14"/>
  <c r="K69" i="14"/>
  <c r="K8" i="21" s="1"/>
  <c r="L249" i="14"/>
  <c r="L250" i="14" s="1"/>
  <c r="L255" i="14" s="1"/>
  <c r="L300" i="14" s="1"/>
  <c r="K225" i="14"/>
  <c r="L223" i="14"/>
  <c r="L225" i="14" s="1"/>
  <c r="K72" i="14"/>
  <c r="K88" i="14" s="1"/>
  <c r="K9" i="21" s="1"/>
  <c r="I42" i="14"/>
  <c r="I43" i="14" s="1"/>
  <c r="I49" i="14" s="1"/>
  <c r="I5" i="21" s="1"/>
  <c r="I6" i="21" s="1"/>
  <c r="J304" i="14"/>
  <c r="J306" i="14" s="1"/>
  <c r="L142" i="14"/>
  <c r="L143" i="14" s="1"/>
  <c r="L25" i="21" s="1"/>
  <c r="G9" i="20" s="1"/>
  <c r="K143" i="14"/>
  <c r="K25" i="21" s="1"/>
  <c r="F9" i="20" s="1"/>
  <c r="L52" i="14"/>
  <c r="K303" i="14"/>
  <c r="L119" i="14"/>
  <c r="L123" i="14" s="1"/>
  <c r="L124" i="14" s="1"/>
  <c r="L69" i="14" l="1"/>
  <c r="L8" i="21" s="1"/>
  <c r="K41" i="14"/>
  <c r="L40" i="14" s="1"/>
  <c r="J19" i="21"/>
  <c r="K137" i="14"/>
  <c r="I12" i="21"/>
  <c r="I14" i="21" s="1"/>
  <c r="D5" i="20"/>
  <c r="K11" i="21"/>
  <c r="J43" i="23"/>
  <c r="E21" i="24"/>
  <c r="K22" i="14"/>
  <c r="K24" i="14" s="1"/>
  <c r="K38" i="14" s="1"/>
  <c r="J11" i="21"/>
  <c r="L22" i="14"/>
  <c r="L24" i="14" s="1"/>
  <c r="L38" i="14" s="1"/>
  <c r="K264" i="18"/>
  <c r="L263" i="18" s="1"/>
  <c r="K35" i="23"/>
  <c r="C5" i="20"/>
  <c r="H12" i="21"/>
  <c r="H14" i="21" s="1"/>
  <c r="H23" i="17"/>
  <c r="I16" i="17"/>
  <c r="H22" i="17"/>
  <c r="H17" i="17"/>
  <c r="H19" i="17" s="1"/>
  <c r="H20" i="17"/>
  <c r="I15" i="17" s="1"/>
  <c r="I274" i="18"/>
  <c r="I275" i="18" s="1"/>
  <c r="J267" i="18" s="1"/>
  <c r="H202" i="18"/>
  <c r="H220" i="18" s="1"/>
  <c r="H217" i="18"/>
  <c r="H178" i="18"/>
  <c r="H196" i="18" s="1"/>
  <c r="H193" i="18"/>
  <c r="H130" i="18"/>
  <c r="H148" i="18" s="1"/>
  <c r="H145" i="18"/>
  <c r="H154" i="18"/>
  <c r="H172" i="18" s="1"/>
  <c r="H169" i="18"/>
  <c r="H73" i="18"/>
  <c r="H74" i="18" s="1"/>
  <c r="H76" i="18" s="1"/>
  <c r="I52" i="18" s="1"/>
  <c r="H105" i="18"/>
  <c r="H120" i="18"/>
  <c r="G48" i="18"/>
  <c r="H28" i="18" s="1"/>
  <c r="G49" i="18"/>
  <c r="K120" i="16"/>
  <c r="L120" i="16" s="1"/>
  <c r="J120" i="16"/>
  <c r="H151" i="16"/>
  <c r="G75" i="16"/>
  <c r="J87" i="16"/>
  <c r="K87" i="16"/>
  <c r="L87" i="16" s="1"/>
  <c r="I17" i="16"/>
  <c r="G51" i="16"/>
  <c r="F62" i="16"/>
  <c r="L38" i="16"/>
  <c r="K38" i="16"/>
  <c r="J38" i="16"/>
  <c r="H160" i="16"/>
  <c r="K18" i="16"/>
  <c r="L18" i="16" s="1"/>
  <c r="J18" i="16"/>
  <c r="I18" i="16" s="1"/>
  <c r="G139" i="16"/>
  <c r="H135" i="16"/>
  <c r="I164" i="16" s="1"/>
  <c r="H159" i="16"/>
  <c r="K42" i="14"/>
  <c r="K43" i="14" s="1"/>
  <c r="L304" i="14"/>
  <c r="L306" i="14" s="1"/>
  <c r="K304" i="14"/>
  <c r="K306" i="14" s="1"/>
  <c r="J42" i="14"/>
  <c r="J43" i="14" s="1"/>
  <c r="J49" i="14" s="1"/>
  <c r="J5" i="21" s="1"/>
  <c r="J6" i="21" s="1"/>
  <c r="L41" i="14"/>
  <c r="L42" i="14" s="1"/>
  <c r="I153" i="14"/>
  <c r="I158" i="14" s="1"/>
  <c r="J151" i="14"/>
  <c r="L72" i="14"/>
  <c r="L88" i="14" s="1"/>
  <c r="L9" i="21" s="1"/>
  <c r="L11" i="21" s="1"/>
  <c r="L46" i="14"/>
  <c r="L47" i="14"/>
  <c r="K48" i="14"/>
  <c r="L137" i="14" l="1"/>
  <c r="L19" i="21" s="1"/>
  <c r="K19" i="21"/>
  <c r="L43" i="14"/>
  <c r="H17" i="21"/>
  <c r="C6" i="20"/>
  <c r="F21" i="24"/>
  <c r="K43" i="23"/>
  <c r="E5" i="20"/>
  <c r="J12" i="21"/>
  <c r="J14" i="21" s="1"/>
  <c r="L264" i="18"/>
  <c r="L35" i="23"/>
  <c r="I17" i="21"/>
  <c r="D6" i="20"/>
  <c r="I17" i="17"/>
  <c r="I19" i="17" s="1"/>
  <c r="I20" i="17"/>
  <c r="I53" i="18"/>
  <c r="I75" i="18"/>
  <c r="I72" i="18"/>
  <c r="J274" i="18"/>
  <c r="J275" i="18"/>
  <c r="K267" i="18" s="1"/>
  <c r="H124" i="18"/>
  <c r="H221" i="18"/>
  <c r="I201" i="18" s="1"/>
  <c r="H122" i="18"/>
  <c r="H125" i="18" s="1"/>
  <c r="I104" i="18" s="1"/>
  <c r="H121" i="18"/>
  <c r="H170" i="18"/>
  <c r="H171" i="18" s="1"/>
  <c r="H173" i="18" s="1"/>
  <c r="I153" i="18" s="1"/>
  <c r="H147" i="18"/>
  <c r="H149" i="18" s="1"/>
  <c r="I129" i="18" s="1"/>
  <c r="H146" i="18"/>
  <c r="H194" i="18"/>
  <c r="H195" i="18" s="1"/>
  <c r="H197" i="18" s="1"/>
  <c r="I177" i="18" s="1"/>
  <c r="H219" i="18"/>
  <c r="H218" i="18"/>
  <c r="H29" i="18"/>
  <c r="H249" i="18" s="1"/>
  <c r="H47" i="18"/>
  <c r="H251" i="18" s="1"/>
  <c r="H44" i="18"/>
  <c r="J88" i="16"/>
  <c r="I88" i="16" s="1"/>
  <c r="L88" i="16"/>
  <c r="K88" i="16"/>
  <c r="J19" i="16"/>
  <c r="F57" i="16"/>
  <c r="L19" i="16"/>
  <c r="K19" i="16"/>
  <c r="J121" i="16"/>
  <c r="H161" i="16"/>
  <c r="L121" i="16"/>
  <c r="K121" i="16"/>
  <c r="F56" i="16"/>
  <c r="F55" i="16"/>
  <c r="K39" i="16"/>
  <c r="L39" i="16" s="1"/>
  <c r="J39" i="16"/>
  <c r="G60" i="16" s="1"/>
  <c r="I149" i="16"/>
  <c r="H75" i="16"/>
  <c r="H166" i="16"/>
  <c r="H136" i="16"/>
  <c r="H137" i="16"/>
  <c r="I87" i="16"/>
  <c r="G52" i="16"/>
  <c r="G9" i="16"/>
  <c r="G155" i="16"/>
  <c r="K151" i="14"/>
  <c r="J153" i="14"/>
  <c r="J158" i="14" s="1"/>
  <c r="L48" i="14"/>
  <c r="L49" i="14" s="1"/>
  <c r="L5" i="21" s="1"/>
  <c r="L6" i="21" s="1"/>
  <c r="K49" i="14"/>
  <c r="K5" i="21" s="1"/>
  <c r="K6" i="21" s="1"/>
  <c r="G21" i="24" l="1"/>
  <c r="L43" i="23"/>
  <c r="K12" i="21"/>
  <c r="K14" i="21" s="1"/>
  <c r="F5" i="20"/>
  <c r="J17" i="21"/>
  <c r="E6" i="20"/>
  <c r="L12" i="21"/>
  <c r="L14" i="21" s="1"/>
  <c r="G5" i="20"/>
  <c r="I20" i="21"/>
  <c r="I13" i="23"/>
  <c r="I29" i="23" s="1"/>
  <c r="I31" i="23" s="1"/>
  <c r="D7" i="20"/>
  <c r="H20" i="21"/>
  <c r="H13" i="23"/>
  <c r="H29" i="23" s="1"/>
  <c r="H31" i="23" s="1"/>
  <c r="C7" i="20"/>
  <c r="C15" i="24"/>
  <c r="C16" i="24" s="1"/>
  <c r="I130" i="18"/>
  <c r="I148" i="18"/>
  <c r="I145" i="18"/>
  <c r="I154" i="18"/>
  <c r="I172" i="18"/>
  <c r="I169" i="18"/>
  <c r="I120" i="18"/>
  <c r="I105" i="18"/>
  <c r="I178" i="18"/>
  <c r="I196" i="18"/>
  <c r="I193" i="18"/>
  <c r="I73" i="18"/>
  <c r="I74" i="18" s="1"/>
  <c r="I76" i="18" s="1"/>
  <c r="J52" i="18" s="1"/>
  <c r="K274" i="18"/>
  <c r="K275" i="18" s="1"/>
  <c r="L267" i="18" s="1"/>
  <c r="I202" i="18"/>
  <c r="I220" i="18" s="1"/>
  <c r="I217" i="18"/>
  <c r="H45" i="18"/>
  <c r="H46" i="18"/>
  <c r="H253" i="18" s="1"/>
  <c r="H254" i="18" s="1"/>
  <c r="G62" i="16"/>
  <c r="K40" i="16"/>
  <c r="J40" i="16"/>
  <c r="I135" i="16"/>
  <c r="J164" i="16" s="1"/>
  <c r="H139" i="16"/>
  <c r="K122" i="16"/>
  <c r="L122" i="16" s="1"/>
  <c r="J122" i="16"/>
  <c r="K20" i="16"/>
  <c r="J20" i="16"/>
  <c r="I20" i="16" s="1"/>
  <c r="L20" i="16"/>
  <c r="K89" i="16"/>
  <c r="J89" i="16"/>
  <c r="G156" i="16"/>
  <c r="L89" i="16"/>
  <c r="G61" i="16"/>
  <c r="I165" i="16"/>
  <c r="H138" i="16"/>
  <c r="H140" i="16" s="1"/>
  <c r="G154" i="16"/>
  <c r="I159" i="16"/>
  <c r="I19" i="16"/>
  <c r="H50" i="16"/>
  <c r="H9" i="16"/>
  <c r="I150" i="16"/>
  <c r="I75" i="16"/>
  <c r="I160" i="16"/>
  <c r="L151" i="14"/>
  <c r="L153" i="14" s="1"/>
  <c r="L158" i="14" s="1"/>
  <c r="K153" i="14"/>
  <c r="K158" i="14" s="1"/>
  <c r="H22" i="21" l="1"/>
  <c r="H23" i="21" s="1"/>
  <c r="C8" i="20" s="1"/>
  <c r="C16" i="20"/>
  <c r="C17" i="20"/>
  <c r="C10" i="20"/>
  <c r="L17" i="21"/>
  <c r="G6" i="20"/>
  <c r="K17" i="21"/>
  <c r="F6" i="20"/>
  <c r="I54" i="23"/>
  <c r="D20" i="24"/>
  <c r="D22" i="24" s="1"/>
  <c r="D26" i="24" s="1"/>
  <c r="H54" i="23"/>
  <c r="H56" i="23" s="1"/>
  <c r="I55" i="23" s="1"/>
  <c r="C20" i="24"/>
  <c r="C22" i="24" s="1"/>
  <c r="C26" i="24" s="1"/>
  <c r="D16" i="20"/>
  <c r="I22" i="21"/>
  <c r="I23" i="21" s="1"/>
  <c r="D8" i="20" s="1"/>
  <c r="D17" i="20"/>
  <c r="D10" i="20"/>
  <c r="J20" i="21"/>
  <c r="J13" i="23"/>
  <c r="J29" i="23" s="1"/>
  <c r="J31" i="23" s="1"/>
  <c r="E7" i="20"/>
  <c r="J72" i="18"/>
  <c r="J53" i="18"/>
  <c r="J75" i="18" s="1"/>
  <c r="L274" i="18"/>
  <c r="L275" i="18" s="1"/>
  <c r="I194" i="18"/>
  <c r="I195" i="18"/>
  <c r="I197" i="18" s="1"/>
  <c r="J177" i="18" s="1"/>
  <c r="I121" i="18"/>
  <c r="I122" i="18"/>
  <c r="I125" i="18" s="1"/>
  <c r="J104" i="18" s="1"/>
  <c r="I170" i="18"/>
  <c r="I171" i="18" s="1"/>
  <c r="I173" i="18" s="1"/>
  <c r="J153" i="18" s="1"/>
  <c r="H48" i="18"/>
  <c r="I28" i="18" s="1"/>
  <c r="I124" i="18"/>
  <c r="I146" i="18"/>
  <c r="I147" i="18" s="1"/>
  <c r="I149" i="18" s="1"/>
  <c r="J129" i="18" s="1"/>
  <c r="I218" i="18"/>
  <c r="I219" i="18"/>
  <c r="I221" i="18" s="1"/>
  <c r="J201" i="18" s="1"/>
  <c r="J123" i="16"/>
  <c r="I161" i="16"/>
  <c r="K123" i="16"/>
  <c r="L90" i="16"/>
  <c r="K90" i="16"/>
  <c r="J90" i="16"/>
  <c r="L21" i="16"/>
  <c r="K21" i="16"/>
  <c r="J21" i="16"/>
  <c r="I89" i="16"/>
  <c r="I136" i="16"/>
  <c r="J165" i="16" s="1"/>
  <c r="I166" i="16"/>
  <c r="L40" i="16"/>
  <c r="G76" i="16"/>
  <c r="I151" i="16"/>
  <c r="H51" i="16"/>
  <c r="I9" i="16"/>
  <c r="K20" i="21" l="1"/>
  <c r="K13" i="23"/>
  <c r="K29" i="23" s="1"/>
  <c r="K31" i="23" s="1"/>
  <c r="F7" i="20"/>
  <c r="L20" i="21"/>
  <c r="L13" i="23"/>
  <c r="L29" i="23" s="1"/>
  <c r="L31" i="23" s="1"/>
  <c r="G7" i="20"/>
  <c r="J22" i="21"/>
  <c r="E16" i="20"/>
  <c r="E17" i="20"/>
  <c r="E10" i="20"/>
  <c r="J23" i="21"/>
  <c r="E8" i="20" s="1"/>
  <c r="J54" i="23"/>
  <c r="E20" i="24"/>
  <c r="E22" i="24" s="1"/>
  <c r="E26" i="24" s="1"/>
  <c r="I56" i="23"/>
  <c r="J55" i="23" s="1"/>
  <c r="J154" i="18"/>
  <c r="J172" i="18"/>
  <c r="J169" i="18"/>
  <c r="J130" i="18"/>
  <c r="J148" i="18"/>
  <c r="J145" i="18"/>
  <c r="J105" i="18"/>
  <c r="J124" i="18"/>
  <c r="J120" i="18"/>
  <c r="J202" i="18"/>
  <c r="J220" i="18"/>
  <c r="J217" i="18"/>
  <c r="J178" i="18"/>
  <c r="J196" i="18"/>
  <c r="J193" i="18"/>
  <c r="I44" i="18"/>
  <c r="I29" i="18"/>
  <c r="I249" i="18" s="1"/>
  <c r="J73" i="18"/>
  <c r="J74" i="18"/>
  <c r="J76" i="18"/>
  <c r="K52" i="18" s="1"/>
  <c r="I138" i="16"/>
  <c r="I140" i="16" s="1"/>
  <c r="K41" i="16"/>
  <c r="H61" i="16" s="1"/>
  <c r="J41" i="16"/>
  <c r="H60" i="16" s="1"/>
  <c r="L41" i="16"/>
  <c r="I21" i="16"/>
  <c r="I90" i="16"/>
  <c r="L123" i="16"/>
  <c r="J149" i="16"/>
  <c r="H76" i="16"/>
  <c r="I137" i="16"/>
  <c r="H52" i="16"/>
  <c r="G10" i="16"/>
  <c r="K22" i="16"/>
  <c r="G56" i="16" s="1"/>
  <c r="J22" i="16"/>
  <c r="K91" i="16"/>
  <c r="J91" i="16"/>
  <c r="G16" i="20" l="1"/>
  <c r="L22" i="21"/>
  <c r="L23" i="21"/>
  <c r="G8" i="20" s="1"/>
  <c r="G10" i="20"/>
  <c r="G17" i="20"/>
  <c r="J56" i="23"/>
  <c r="K55" i="23" s="1"/>
  <c r="F20" i="24"/>
  <c r="F22" i="24" s="1"/>
  <c r="F26" i="24" s="1"/>
  <c r="K54" i="23"/>
  <c r="L54" i="23"/>
  <c r="G20" i="24"/>
  <c r="G22" i="24" s="1"/>
  <c r="F16" i="20"/>
  <c r="K22" i="21"/>
  <c r="K23" i="21" s="1"/>
  <c r="F8" i="20" s="1"/>
  <c r="F17" i="20"/>
  <c r="F10" i="20"/>
  <c r="K72" i="18"/>
  <c r="K53" i="18"/>
  <c r="K75" i="18" s="1"/>
  <c r="J194" i="18"/>
  <c r="J195" i="18"/>
  <c r="J197" i="18" s="1"/>
  <c r="K177" i="18" s="1"/>
  <c r="J146" i="18"/>
  <c r="J147" i="18"/>
  <c r="J149" i="18" s="1"/>
  <c r="K129" i="18" s="1"/>
  <c r="J170" i="18"/>
  <c r="J171" i="18"/>
  <c r="J173" i="18" s="1"/>
  <c r="K153" i="18" s="1"/>
  <c r="J218" i="18"/>
  <c r="J219" i="18"/>
  <c r="J221" i="18" s="1"/>
  <c r="K201" i="18" s="1"/>
  <c r="J121" i="18"/>
  <c r="J122" i="18"/>
  <c r="J125" i="18" s="1"/>
  <c r="K104" i="18" s="1"/>
  <c r="I45" i="18"/>
  <c r="I46" i="18" s="1"/>
  <c r="I47" i="18"/>
  <c r="I251" i="18" s="1"/>
  <c r="I22" i="16"/>
  <c r="G55" i="16"/>
  <c r="I50" i="16"/>
  <c r="H10" i="16"/>
  <c r="J150" i="16"/>
  <c r="I76" i="16"/>
  <c r="I91" i="16"/>
  <c r="K42" i="16"/>
  <c r="H62" i="16"/>
  <c r="J42" i="16"/>
  <c r="L22" i="16"/>
  <c r="L124" i="16"/>
  <c r="K124" i="16"/>
  <c r="J160" i="16" s="1"/>
  <c r="J124" i="16"/>
  <c r="J159" i="16" s="1"/>
  <c r="L91" i="16"/>
  <c r="J135" i="16"/>
  <c r="K164" i="16" s="1"/>
  <c r="I139" i="16"/>
  <c r="G26" i="24" l="1"/>
  <c r="G23" i="24"/>
  <c r="G24" i="24" s="1"/>
  <c r="C28" i="24" s="1"/>
  <c r="C30" i="24" s="1"/>
  <c r="K56" i="23"/>
  <c r="L55" i="23" s="1"/>
  <c r="L56" i="23" s="1"/>
  <c r="I253" i="18"/>
  <c r="I254" i="18" s="1"/>
  <c r="I48" i="18"/>
  <c r="J28" i="18" s="1"/>
  <c r="K217" i="18"/>
  <c r="K202" i="18"/>
  <c r="K120" i="18"/>
  <c r="K105" i="18"/>
  <c r="K169" i="18"/>
  <c r="K154" i="18"/>
  <c r="K193" i="18"/>
  <c r="K178" i="18"/>
  <c r="K73" i="18"/>
  <c r="K74" i="18"/>
  <c r="K76" i="18" s="1"/>
  <c r="L52" i="18" s="1"/>
  <c r="K145" i="18"/>
  <c r="K130" i="18"/>
  <c r="K148" i="18" s="1"/>
  <c r="J161" i="16"/>
  <c r="J125" i="16"/>
  <c r="K125" i="16"/>
  <c r="I51" i="16"/>
  <c r="I10" i="16"/>
  <c r="I52" i="16" s="1"/>
  <c r="J23" i="16"/>
  <c r="G57" i="16"/>
  <c r="K23" i="16"/>
  <c r="J151" i="16"/>
  <c r="G77" i="16"/>
  <c r="J92" i="16"/>
  <c r="K92" i="16"/>
  <c r="H155" i="16" s="1"/>
  <c r="J136" i="16"/>
  <c r="J166" i="16"/>
  <c r="J137" i="16"/>
  <c r="L42" i="16"/>
  <c r="K171" i="18" l="1"/>
  <c r="K173" i="18" s="1"/>
  <c r="L153" i="18" s="1"/>
  <c r="K170" i="18"/>
  <c r="K218" i="18"/>
  <c r="K219" i="18" s="1"/>
  <c r="K221" i="18" s="1"/>
  <c r="L201" i="18" s="1"/>
  <c r="K196" i="18"/>
  <c r="K172" i="18"/>
  <c r="K124" i="18"/>
  <c r="K220" i="18"/>
  <c r="K194" i="18"/>
  <c r="K195" i="18" s="1"/>
  <c r="K197" i="18" s="1"/>
  <c r="L177" i="18" s="1"/>
  <c r="K122" i="18"/>
  <c r="K125" i="18" s="1"/>
  <c r="L104" i="18" s="1"/>
  <c r="K121" i="18"/>
  <c r="J44" i="18"/>
  <c r="J29" i="18"/>
  <c r="J249" i="18" s="1"/>
  <c r="L72" i="18"/>
  <c r="L53" i="18"/>
  <c r="K146" i="18"/>
  <c r="K147" i="18" s="1"/>
  <c r="K149" i="18" s="1"/>
  <c r="L129" i="18" s="1"/>
  <c r="I92" i="16"/>
  <c r="H154" i="16"/>
  <c r="K165" i="16"/>
  <c r="J138" i="16"/>
  <c r="J140" i="16" s="1"/>
  <c r="K149" i="16"/>
  <c r="H77" i="16"/>
  <c r="I23" i="16"/>
  <c r="L125" i="16"/>
  <c r="K43" i="16"/>
  <c r="I61" i="16" s="1"/>
  <c r="J43" i="16"/>
  <c r="I60" i="16" s="1"/>
  <c r="L43" i="16"/>
  <c r="I62" i="16" s="1"/>
  <c r="J139" i="16"/>
  <c r="K135" i="16"/>
  <c r="L92" i="16"/>
  <c r="L23" i="16"/>
  <c r="L130" i="18" l="1"/>
  <c r="L148" i="18"/>
  <c r="L145" i="18"/>
  <c r="L178" i="18"/>
  <c r="L196" i="18"/>
  <c r="L193" i="18"/>
  <c r="L202" i="18"/>
  <c r="L220" i="18"/>
  <c r="L217" i="18"/>
  <c r="L105" i="18"/>
  <c r="L124" i="18"/>
  <c r="L120" i="18"/>
  <c r="L154" i="18"/>
  <c r="L172" i="18"/>
  <c r="L169" i="18"/>
  <c r="J45" i="18"/>
  <c r="J46" i="18" s="1"/>
  <c r="L74" i="18"/>
  <c r="L76" i="18" s="1"/>
  <c r="L73" i="18"/>
  <c r="J47" i="18"/>
  <c r="J251" i="18" s="1"/>
  <c r="L75" i="18"/>
  <c r="K166" i="16"/>
  <c r="K137" i="16"/>
  <c r="K136" i="16"/>
  <c r="K24" i="16"/>
  <c r="J24" i="16"/>
  <c r="K150" i="16"/>
  <c r="I77" i="16"/>
  <c r="K93" i="16"/>
  <c r="H156" i="16"/>
  <c r="J93" i="16"/>
  <c r="L93" i="16"/>
  <c r="L126" i="16"/>
  <c r="K126" i="16"/>
  <c r="K160" i="16" s="1"/>
  <c r="J126" i="16"/>
  <c r="K159" i="16" s="1"/>
  <c r="K138" i="16"/>
  <c r="K140" i="16" s="1"/>
  <c r="J253" i="18" l="1"/>
  <c r="J254" i="18" s="1"/>
  <c r="J48" i="18"/>
  <c r="K28" i="18" s="1"/>
  <c r="L195" i="18"/>
  <c r="L197" i="18" s="1"/>
  <c r="L194" i="18"/>
  <c r="L218" i="18"/>
  <c r="L219" i="18" s="1"/>
  <c r="L221" i="18" s="1"/>
  <c r="L147" i="18"/>
  <c r="L149" i="18" s="1"/>
  <c r="L146" i="18"/>
  <c r="L170" i="18"/>
  <c r="L171" i="18" s="1"/>
  <c r="L173" i="18" s="1"/>
  <c r="L122" i="18"/>
  <c r="L125" i="18" s="1"/>
  <c r="L121" i="18"/>
  <c r="K94" i="16"/>
  <c r="J94" i="16"/>
  <c r="I94" i="16" s="1"/>
  <c r="K151" i="16"/>
  <c r="G78" i="16"/>
  <c r="H78" i="16" s="1"/>
  <c r="I78" i="16" s="1"/>
  <c r="I93" i="16"/>
  <c r="L24" i="16"/>
  <c r="K139" i="16"/>
  <c r="L135" i="16"/>
  <c r="J127" i="16"/>
  <c r="K127" i="16"/>
  <c r="L127" i="16" s="1"/>
  <c r="K161" i="16"/>
  <c r="I24" i="16"/>
  <c r="K29" i="18" l="1"/>
  <c r="K249" i="18" s="1"/>
  <c r="K47" i="18"/>
  <c r="K251" i="18" s="1"/>
  <c r="K44" i="18"/>
  <c r="K128" i="16"/>
  <c r="L128" i="16" s="1"/>
  <c r="J128" i="16"/>
  <c r="G79" i="16"/>
  <c r="H79" i="16" s="1"/>
  <c r="I79" i="16" s="1"/>
  <c r="K25" i="16"/>
  <c r="J25" i="16"/>
  <c r="L136" i="16"/>
  <c r="L138" i="16" s="1"/>
  <c r="L140" i="16" s="1"/>
  <c r="L94" i="16"/>
  <c r="K45" i="18" l="1"/>
  <c r="K46" i="18" s="1"/>
  <c r="J129" i="16"/>
  <c r="K129" i="16"/>
  <c r="L129" i="16" s="1"/>
  <c r="L95" i="16"/>
  <c r="J95" i="16"/>
  <c r="K95" i="16"/>
  <c r="L137" i="16"/>
  <c r="L139" i="16" s="1"/>
  <c r="L25" i="16"/>
  <c r="I25" i="16"/>
  <c r="K253" i="18" l="1"/>
  <c r="K254" i="18" s="1"/>
  <c r="K48" i="18"/>
  <c r="L28" i="18" s="1"/>
  <c r="K130" i="16"/>
  <c r="L130" i="16" s="1"/>
  <c r="J130" i="16"/>
  <c r="J96" i="16"/>
  <c r="K96" i="16"/>
  <c r="L96" i="16" s="1"/>
  <c r="K26" i="16"/>
  <c r="H56" i="16" s="1"/>
  <c r="J26" i="16"/>
  <c r="I95" i="16"/>
  <c r="I154" i="16"/>
  <c r="L29" i="18" l="1"/>
  <c r="L249" i="18" s="1"/>
  <c r="L44" i="18"/>
  <c r="I156" i="16"/>
  <c r="K97" i="16"/>
  <c r="J97" i="16"/>
  <c r="L26" i="16"/>
  <c r="I96" i="16"/>
  <c r="I155" i="16"/>
  <c r="I26" i="16"/>
  <c r="H55" i="16"/>
  <c r="L45" i="18" l="1"/>
  <c r="L46" i="18"/>
  <c r="L253" i="18" s="1"/>
  <c r="L254" i="18" s="1"/>
  <c r="L47" i="18"/>
  <c r="L251" i="18" s="1"/>
  <c r="H57" i="16"/>
  <c r="J27" i="16"/>
  <c r="K27" i="16"/>
  <c r="L27" i="16" s="1"/>
  <c r="L97" i="16"/>
  <c r="I97" i="16"/>
  <c r="L48" i="18" l="1"/>
  <c r="K28" i="16"/>
  <c r="L28" i="16" s="1"/>
  <c r="J28" i="16"/>
  <c r="I28" i="16" s="1"/>
  <c r="I27" i="16"/>
  <c r="L98" i="16"/>
  <c r="K98" i="16"/>
  <c r="J98" i="16"/>
  <c r="K29" i="16" l="1"/>
  <c r="J29" i="16"/>
  <c r="I98" i="16"/>
  <c r="K99" i="16"/>
  <c r="J99" i="16"/>
  <c r="L99" i="16" l="1"/>
  <c r="I29" i="16"/>
  <c r="I99" i="16"/>
  <c r="L29" i="16"/>
  <c r="K30" i="16" l="1"/>
  <c r="I56" i="16" s="1"/>
  <c r="J30" i="16"/>
  <c r="J100" i="16"/>
  <c r="K100" i="16"/>
  <c r="J155" i="16" s="1"/>
  <c r="L100" i="16" l="1"/>
  <c r="I100" i="16"/>
  <c r="J154" i="16"/>
  <c r="I30" i="16"/>
  <c r="I55" i="16"/>
  <c r="L30" i="16"/>
  <c r="I57" i="16" s="1"/>
  <c r="K101" i="16" l="1"/>
  <c r="J101" i="16"/>
  <c r="J156" i="16"/>
  <c r="L101" i="16"/>
  <c r="I101" i="16" l="1"/>
  <c r="K102" i="16"/>
  <c r="L102" i="16" s="1"/>
  <c r="J102" i="16"/>
  <c r="L103" i="16" l="1"/>
  <c r="J103" i="16"/>
  <c r="I103" i="16" s="1"/>
  <c r="K103" i="16"/>
  <c r="I102" i="16"/>
  <c r="J104" i="16" l="1"/>
  <c r="K104" i="16"/>
  <c r="K155" i="16" s="1"/>
  <c r="L104" i="16" l="1"/>
  <c r="I104" i="16"/>
  <c r="K154" i="16"/>
  <c r="K105" i="16" l="1"/>
  <c r="J105" i="16"/>
  <c r="I105" i="16" s="1"/>
  <c r="L105" i="16"/>
  <c r="K156" i="16"/>
  <c r="K106" i="16" l="1"/>
  <c r="L106" i="16" s="1"/>
  <c r="J106" i="16"/>
  <c r="I106" i="16" s="1"/>
  <c r="K107" i="16" l="1"/>
  <c r="L107" i="16" s="1"/>
  <c r="J107" i="16"/>
  <c r="J108" i="16" l="1"/>
  <c r="K108" i="16"/>
  <c r="L108" i="16" s="1"/>
  <c r="I107" i="16"/>
  <c r="K109" i="16" l="1"/>
  <c r="J109" i="16"/>
  <c r="I109" i="16" s="1"/>
  <c r="L109" i="16"/>
  <c r="I108" i="16"/>
  <c r="K110" i="16" l="1"/>
  <c r="L110" i="16" s="1"/>
  <c r="J110" i="16"/>
  <c r="L111" i="16" l="1"/>
  <c r="J111" i="16"/>
  <c r="I111" i="16" s="1"/>
  <c r="K111" i="16"/>
  <c r="I110" i="16"/>
  <c r="J112" i="16" l="1"/>
  <c r="I112" i="16" s="1"/>
  <c r="L112" i="16"/>
  <c r="K112" i="16"/>
</calcChain>
</file>

<file path=xl/sharedStrings.xml><?xml version="1.0" encoding="utf-8"?>
<sst xmlns="http://schemas.openxmlformats.org/spreadsheetml/2006/main" count="3807" uniqueCount="575">
  <si>
    <t>Total</t>
  </si>
  <si>
    <t>Day</t>
  </si>
  <si>
    <t>Code</t>
  </si>
  <si>
    <t>Company</t>
  </si>
  <si>
    <t>Close</t>
  </si>
  <si>
    <t>NML</t>
  </si>
  <si>
    <t>Nishat Mills Limited</t>
  </si>
  <si>
    <t>BASIS FOR ASSUMPTION</t>
  </si>
  <si>
    <t>INCOME STATEMENT</t>
  </si>
  <si>
    <t>SALES</t>
  </si>
  <si>
    <t>Export</t>
  </si>
  <si>
    <t>Average of previous years</t>
  </si>
  <si>
    <t>Export Rebate</t>
  </si>
  <si>
    <t>Local Sales</t>
  </si>
  <si>
    <t>Regression</t>
  </si>
  <si>
    <t>Sales Tax</t>
  </si>
  <si>
    <t>Percentage of Local Sales</t>
  </si>
  <si>
    <t>Processing Income</t>
  </si>
  <si>
    <t>Average</t>
  </si>
  <si>
    <t>Doubling Income</t>
  </si>
  <si>
    <t>ZERO</t>
  </si>
  <si>
    <t>Duty Draw back</t>
  </si>
  <si>
    <t>TOTAL SALES</t>
  </si>
  <si>
    <t>COST OF SALES</t>
  </si>
  <si>
    <t>Raw Material Consumed</t>
  </si>
  <si>
    <t>Opening stock</t>
  </si>
  <si>
    <t>Add: Purchased during the year</t>
  </si>
  <si>
    <t>Based on sales</t>
  </si>
  <si>
    <t>Less: Closing stock</t>
  </si>
  <si>
    <t>Averages</t>
  </si>
  <si>
    <t>Purchases percentage</t>
  </si>
  <si>
    <t>Processing Charge percent</t>
  </si>
  <si>
    <t>Processing Charges</t>
  </si>
  <si>
    <t>Proportion of Porcessing income</t>
  </si>
  <si>
    <t>Salaries, wages and other benefits</t>
  </si>
  <si>
    <t>Proportion of sales</t>
  </si>
  <si>
    <t>Stores, spare parts and loose tools consumed</t>
  </si>
  <si>
    <t>Packing materials consumed</t>
  </si>
  <si>
    <t>Repair and Maintenance</t>
  </si>
  <si>
    <t>Fuel and Power</t>
  </si>
  <si>
    <t>Insurance</t>
  </si>
  <si>
    <t>Other factory overheads</t>
  </si>
  <si>
    <t>Depreciation</t>
  </si>
  <si>
    <t>From Dep Schedule</t>
  </si>
  <si>
    <t>Work in Progress</t>
  </si>
  <si>
    <t>Opening Stock</t>
  </si>
  <si>
    <t>Closing Stock</t>
  </si>
  <si>
    <t xml:space="preserve">Cost of Goods manufactured </t>
  </si>
  <si>
    <t>Finished Goods</t>
  </si>
  <si>
    <t>Closing stock</t>
  </si>
  <si>
    <t>TOTAL COST OF SALES</t>
  </si>
  <si>
    <t>DISTRIBUTION COST</t>
  </si>
  <si>
    <t>Salaries and other benefits</t>
  </si>
  <si>
    <t>Outward freight and handling</t>
  </si>
  <si>
    <t>Commission to selling agemts</t>
  </si>
  <si>
    <t>Royalty</t>
  </si>
  <si>
    <t>Fuel cost</t>
  </si>
  <si>
    <t>Travelling and conveyance</t>
  </si>
  <si>
    <t>Rent, Rates and taxes</t>
  </si>
  <si>
    <t>Postage, telephone and telegram</t>
  </si>
  <si>
    <t>Vehicles' running</t>
  </si>
  <si>
    <t>Entertainment</t>
  </si>
  <si>
    <t>Advertisement</t>
  </si>
  <si>
    <t>Electricity and gas</t>
  </si>
  <si>
    <t>Printing and stationery</t>
  </si>
  <si>
    <t>Repair and maintenance</t>
  </si>
  <si>
    <t>Fee and subscription</t>
  </si>
  <si>
    <t>From Depreciation schedule</t>
  </si>
  <si>
    <t>TOTAL DISTRIBUTION COST</t>
  </si>
  <si>
    <t>ADMINISTRATION COST</t>
  </si>
  <si>
    <t>Proportion of Sales</t>
  </si>
  <si>
    <t>rent, rates and taxes</t>
  </si>
  <si>
    <t>Legal and professional</t>
  </si>
  <si>
    <t>Auditor's remuneration</t>
  </si>
  <si>
    <t>Based on trend</t>
  </si>
  <si>
    <t>From Depreciation Schedule</t>
  </si>
  <si>
    <t>Miscelllaneous</t>
  </si>
  <si>
    <t>TOTAL ADMINISTRATION COST</t>
  </si>
  <si>
    <t>Audit fee</t>
  </si>
  <si>
    <t>Half yearly review</t>
  </si>
  <si>
    <t>Other certifications</t>
  </si>
  <si>
    <t>Reimbursable expenses</t>
  </si>
  <si>
    <t xml:space="preserve">  </t>
  </si>
  <si>
    <t>OTHER EXPENSES</t>
  </si>
  <si>
    <t>Workers' profit participation fund</t>
  </si>
  <si>
    <t>Impairement loss on equity investments</t>
  </si>
  <si>
    <t>Depreciation on investment properties</t>
  </si>
  <si>
    <t>Net exchange loss</t>
  </si>
  <si>
    <t>Allowance under unexpected credit losses</t>
  </si>
  <si>
    <t>Donations</t>
  </si>
  <si>
    <t>TOTAL OTHER EXPENSES</t>
  </si>
  <si>
    <t>OTHER INCOME</t>
  </si>
  <si>
    <t>Income from financial assets</t>
  </si>
  <si>
    <t>Dividend Income</t>
  </si>
  <si>
    <t>Profit on deposits with banks</t>
  </si>
  <si>
    <t>Gain on sale of investments</t>
  </si>
  <si>
    <t>Net exchange gain</t>
  </si>
  <si>
    <t>Interest income om sales tax refund bonds</t>
  </si>
  <si>
    <t>Interest income on loans and advances to subsidiary companies</t>
  </si>
  <si>
    <t>Income from non financial assets</t>
  </si>
  <si>
    <t>Gain on sale of property, plant and equipment</t>
  </si>
  <si>
    <t>From depreciation schedule</t>
  </si>
  <si>
    <t>Scrap sales</t>
  </si>
  <si>
    <t>Rental Income</t>
  </si>
  <si>
    <t>Reversal of provision for slow moving, obsolete and damaged store items</t>
  </si>
  <si>
    <t>Reversal of provision for worker's welfare fund</t>
  </si>
  <si>
    <t>Others</t>
  </si>
  <si>
    <t>TOTAL OTHER INCOME</t>
  </si>
  <si>
    <t>FINANCE COST</t>
  </si>
  <si>
    <t>Mark-up on:</t>
  </si>
  <si>
    <t xml:space="preserve">  Long term financing</t>
  </si>
  <si>
    <t>Proportion of Long term debt</t>
  </si>
  <si>
    <t xml:space="preserve">  Liabilities against assets subject to finance lease</t>
  </si>
  <si>
    <t xml:space="preserve">  Short term borrowings</t>
  </si>
  <si>
    <t>Interest on payable to employees' provident fund trust</t>
  </si>
  <si>
    <t>Interest on workers' profit participation fund</t>
  </si>
  <si>
    <t>Bank charges and commission</t>
  </si>
  <si>
    <t>TOTAL FINANCE COST</t>
  </si>
  <si>
    <t>TAXATION</t>
  </si>
  <si>
    <t>Current</t>
  </si>
  <si>
    <t>EARNINGS PER SHARE</t>
  </si>
  <si>
    <t>Basic Earnings per share:</t>
  </si>
  <si>
    <t>Profit after taxation</t>
  </si>
  <si>
    <t>Weighted average number of ordinary shares</t>
  </si>
  <si>
    <t>Earnings per share - basic and diluted</t>
  </si>
  <si>
    <t xml:space="preserve">BALANCE SHEET </t>
  </si>
  <si>
    <t>Issued subscribed and paid up share capital</t>
  </si>
  <si>
    <t>RESERVES</t>
  </si>
  <si>
    <t>Capital reserves:</t>
  </si>
  <si>
    <t>Share premium</t>
  </si>
  <si>
    <t>Fair value reserve net of deferred income tax</t>
  </si>
  <si>
    <t>Revenue reserves:</t>
  </si>
  <si>
    <t>General reserve</t>
  </si>
  <si>
    <t>unappropriated profit</t>
  </si>
  <si>
    <t>TOTAL RESERVES</t>
  </si>
  <si>
    <t>LONG TERM FINANCING</t>
  </si>
  <si>
    <t>Long term loans</t>
  </si>
  <si>
    <t>Long term musharika</t>
  </si>
  <si>
    <t>Less: Current proportion shown under current liabilities</t>
  </si>
  <si>
    <t>TOTAL LONG TERM FINANCING</t>
  </si>
  <si>
    <t>Deferred income tax liability</t>
  </si>
  <si>
    <t>TRADE AND OTHER PAYABLES</t>
  </si>
  <si>
    <t>Creditors</t>
  </si>
  <si>
    <t>Accrued liabilities</t>
  </si>
  <si>
    <t>Advance form customers</t>
  </si>
  <si>
    <t>Securities from contractors</t>
  </si>
  <si>
    <t>Retention money payable</t>
  </si>
  <si>
    <t>Income tax deducted at source</t>
  </si>
  <si>
    <t>Dividend payable</t>
  </si>
  <si>
    <t>Payable to employees' providend fund</t>
  </si>
  <si>
    <t>Fair value of forward exchange contracts</t>
  </si>
  <si>
    <t>Workers' welfare fund</t>
  </si>
  <si>
    <t>Other payables</t>
  </si>
  <si>
    <t>TOTAL TRADE AND OTHER PAYABLES</t>
  </si>
  <si>
    <t>ACCRUED MARK-UP</t>
  </si>
  <si>
    <t>Long term financing</t>
  </si>
  <si>
    <t>Short term borrowings</t>
  </si>
  <si>
    <t>TOTAL ACCRUED MARK UP</t>
  </si>
  <si>
    <t>SHORT TERM BORROWINGS</t>
  </si>
  <si>
    <t>State Bank of Pakistan refinance</t>
  </si>
  <si>
    <t>Other short term finances</t>
  </si>
  <si>
    <t>Temporary bank overdrafts</t>
  </si>
  <si>
    <t>TOTAL SHORT TERM BORROWINGS</t>
  </si>
  <si>
    <t>CURRENT PORTION OF NON CURRENT LIABILITIES</t>
  </si>
  <si>
    <t>Current portion of long term financing</t>
  </si>
  <si>
    <t>UNCLAIMED DIVIDEND</t>
  </si>
  <si>
    <t>PROVISION FOR TAXATION</t>
  </si>
  <si>
    <t>PROPERTY PLANT AND EQUIPMENT</t>
  </si>
  <si>
    <t>Operating fixed assets</t>
  </si>
  <si>
    <t xml:space="preserve">   Owned</t>
  </si>
  <si>
    <t xml:space="preserve">   Leased</t>
  </si>
  <si>
    <t>Capital work in progress</t>
  </si>
  <si>
    <t>TOTAL PROPERTY PLANT AND EQUIPMENT</t>
  </si>
  <si>
    <t>INVESTMENT PROPERTIES</t>
  </si>
  <si>
    <t>Opening Net book value</t>
  </si>
  <si>
    <t>Transferred from operating fixed assets:</t>
  </si>
  <si>
    <t xml:space="preserve">   Cost:</t>
  </si>
  <si>
    <t xml:space="preserve">      Land</t>
  </si>
  <si>
    <t xml:space="preserve">      Buildings</t>
  </si>
  <si>
    <t xml:space="preserve">   Accumulated Depreciation</t>
  </si>
  <si>
    <t>Depreciation charge</t>
  </si>
  <si>
    <t>CLOSING NET BOOK VALUE</t>
  </si>
  <si>
    <t>LONG TERM INVESTMENTS</t>
  </si>
  <si>
    <t>LONG TERM LOANS</t>
  </si>
  <si>
    <t>Secured Loans</t>
  </si>
  <si>
    <t>less: current proportion in current assets</t>
  </si>
  <si>
    <t>NET LONG TERM LOANS</t>
  </si>
  <si>
    <t>LONG TERM DEPOSITS</t>
  </si>
  <si>
    <t>SECURITY DEPOSITS</t>
  </si>
  <si>
    <t>STORES, SPARE PARTS AND LOOSE TOOLS</t>
  </si>
  <si>
    <t xml:space="preserve">Stores </t>
  </si>
  <si>
    <t>Spare parts</t>
  </si>
  <si>
    <t>Loose tools</t>
  </si>
  <si>
    <t>Less: provision for slow moving, obsolete and damaged items</t>
  </si>
  <si>
    <t>TOTAL STORES, SPARE PARTS AND LOOSE TOOLS</t>
  </si>
  <si>
    <t>STOCK IN TRADE</t>
  </si>
  <si>
    <t>Raw material</t>
  </si>
  <si>
    <t>Work in progress</t>
  </si>
  <si>
    <t>Finished goods</t>
  </si>
  <si>
    <t>TOTAL STOCK IN TRADE</t>
  </si>
  <si>
    <t>TRADE DEBTS</t>
  </si>
  <si>
    <t>Considered good:</t>
  </si>
  <si>
    <t>Secured (againts letters of credit)</t>
  </si>
  <si>
    <t>Unsecured:</t>
  </si>
  <si>
    <t xml:space="preserve">   Related parties</t>
  </si>
  <si>
    <t xml:space="preserve">   Others</t>
  </si>
  <si>
    <t>Considered doubtful:</t>
  </si>
  <si>
    <t>Others-unsecured</t>
  </si>
  <si>
    <t>less: provision for doubtful debts</t>
  </si>
  <si>
    <t>TOTAL TRADE DEBTS</t>
  </si>
  <si>
    <t>LOANS AND ADVANCES</t>
  </si>
  <si>
    <t>Considered good</t>
  </si>
  <si>
    <t>Considered doubtful</t>
  </si>
  <si>
    <t>TOTAL LOANS AND ADVANCES</t>
  </si>
  <si>
    <t>SHORT TERM DEPOSITS AND PREPAYMENTS</t>
  </si>
  <si>
    <t>Deposits</t>
  </si>
  <si>
    <t>Prepayments including current portion</t>
  </si>
  <si>
    <t>TOTAL SHORT TERM DEPOSITS AND PREPAYMENTS</t>
  </si>
  <si>
    <t>OTHER RECEIVABLES</t>
  </si>
  <si>
    <t>Export rebate and claims</t>
  </si>
  <si>
    <t>Duty draw back</t>
  </si>
  <si>
    <t>Sales tax refundable</t>
  </si>
  <si>
    <t>Miscellaneous Receiveables</t>
  </si>
  <si>
    <t>TOTAL OTHER RECEIVABLES</t>
  </si>
  <si>
    <t>ACCRUED INTEREST</t>
  </si>
  <si>
    <t>SHORT TERM INVESTMENTS</t>
  </si>
  <si>
    <t>Available for sale net of impairment loss and fair value adjustment</t>
  </si>
  <si>
    <t>CASH AND BANK BALANCES</t>
  </si>
  <si>
    <t>With bank:</t>
  </si>
  <si>
    <t>on current accounts</t>
  </si>
  <si>
    <t>Based on % in Total Cash</t>
  </si>
  <si>
    <t>Term deposits</t>
  </si>
  <si>
    <t>On PLS saving account</t>
  </si>
  <si>
    <t>Cash in hand</t>
  </si>
  <si>
    <t>TOTAL CASH AND BANK BALANCES</t>
  </si>
  <si>
    <t>from Cash Flow Statement</t>
  </si>
  <si>
    <t>DIVIDENDS</t>
  </si>
  <si>
    <t>PAYOUT RATIO</t>
  </si>
  <si>
    <t>Dividend Paid/Profit for the year</t>
  </si>
  <si>
    <t>CASH FLOW STATEMENT</t>
  </si>
  <si>
    <t>Working Capital changes:</t>
  </si>
  <si>
    <t xml:space="preserve"> Increase/Decrease iin current assets</t>
  </si>
  <si>
    <t xml:space="preserve">  Stores, spare parts and loose tools</t>
  </si>
  <si>
    <t xml:space="preserve">  Stock in Trade</t>
  </si>
  <si>
    <t xml:space="preserve">  Trade debts</t>
  </si>
  <si>
    <t xml:space="preserve">   Loans and advance</t>
  </si>
  <si>
    <t xml:space="preserve">  Short term deposits and prepayments</t>
  </si>
  <si>
    <t xml:space="preserve">   Other receiveables</t>
  </si>
  <si>
    <t>Increase in trade and othe rpayables</t>
  </si>
  <si>
    <t>NET WORKING CAPITAL CHANGES</t>
  </si>
  <si>
    <t>INCOME TAX PAID</t>
  </si>
  <si>
    <t>% of Profit before tax</t>
  </si>
  <si>
    <t>Exchange gain/(loss) on forward exchange contracts received/(paid)</t>
  </si>
  <si>
    <t>Dividend Paid</t>
  </si>
  <si>
    <t>Finance cost Paid</t>
  </si>
  <si>
    <t>Trade Debts written off</t>
  </si>
  <si>
    <t>Change in ownership interest in subsidiary firm</t>
  </si>
  <si>
    <t>Proceeds from sale of Property plant and equipment</t>
  </si>
  <si>
    <t>NBV of investments sold</t>
  </si>
  <si>
    <t>Proceeds from sale of investments</t>
  </si>
  <si>
    <t>Loans and Advances:</t>
  </si>
  <si>
    <t>Due from subsidiary companies</t>
  </si>
  <si>
    <t xml:space="preserve"> Nishat Linen Private Ltd</t>
  </si>
  <si>
    <t>% of total loans and advances</t>
  </si>
  <si>
    <t xml:space="preserve"> Nishat Hospital Private Limited</t>
  </si>
  <si>
    <t xml:space="preserve"> Nishat Commodities Private Limited</t>
  </si>
  <si>
    <t xml:space="preserve"> Nishat USA Inc.</t>
  </si>
  <si>
    <t>TOTAL DUES FROM SUBSIDIARIES</t>
  </si>
  <si>
    <t>Interest received</t>
  </si>
  <si>
    <t>Investments made</t>
  </si>
  <si>
    <t xml:space="preserve">Loans and advances to subsidiary companies </t>
  </si>
  <si>
    <t>Net increase in long term loans</t>
  </si>
  <si>
    <t>Repayments of loans from subsidiary companies</t>
  </si>
  <si>
    <t>Proceeds from long term financing</t>
  </si>
  <si>
    <t>Repayment of long term financing</t>
  </si>
  <si>
    <t>Cash Finance</t>
  </si>
  <si>
    <t>Requirment</t>
  </si>
  <si>
    <t>Yes</t>
  </si>
  <si>
    <t>Principal</t>
  </si>
  <si>
    <t>Period</t>
  </si>
  <si>
    <t>PMT</t>
  </si>
  <si>
    <t>Interest</t>
  </si>
  <si>
    <t>Principal Repayment</t>
  </si>
  <si>
    <t>Outstanding Principal</t>
  </si>
  <si>
    <t>Tenor</t>
  </si>
  <si>
    <t>Floating/Fixed</t>
  </si>
  <si>
    <t>both</t>
  </si>
  <si>
    <t>Fixed Rate</t>
  </si>
  <si>
    <t>Spread-Assumed for floating</t>
  </si>
  <si>
    <t>3 Month Kibor</t>
  </si>
  <si>
    <t>Kibor Rates</t>
  </si>
  <si>
    <t>Spread</t>
  </si>
  <si>
    <t>Net Interest Rate</t>
  </si>
  <si>
    <t>Pmt</t>
  </si>
  <si>
    <t>Int</t>
  </si>
  <si>
    <t>6 Month Kibor</t>
  </si>
  <si>
    <t>For the year</t>
  </si>
  <si>
    <t>Fixed</t>
  </si>
  <si>
    <t>Interest Cost</t>
  </si>
  <si>
    <t>Repayment</t>
  </si>
  <si>
    <t>Outstanding Loan</t>
  </si>
  <si>
    <t>Floating</t>
  </si>
  <si>
    <t xml:space="preserve">Asset Finance Conventional </t>
  </si>
  <si>
    <t>Spread assumed for floating</t>
  </si>
  <si>
    <t>Musharka Finance</t>
  </si>
  <si>
    <t>Year</t>
  </si>
  <si>
    <t>Assets Worth</t>
  </si>
  <si>
    <t>Interest (Rent)</t>
  </si>
  <si>
    <t>Company's Share</t>
  </si>
  <si>
    <t>Repayment (Buy Back)</t>
  </si>
  <si>
    <t>Bank's Share</t>
  </si>
  <si>
    <t>Revised Share Bank</t>
  </si>
  <si>
    <t>Revised Share Company</t>
  </si>
  <si>
    <t>Revised Share in Pkr Bank</t>
  </si>
  <si>
    <t>Rent</t>
  </si>
  <si>
    <t>Revised Share in Pkr Company</t>
  </si>
  <si>
    <t>Buy Back %</t>
  </si>
  <si>
    <t>Musharka</t>
  </si>
  <si>
    <t>KIBOR Data</t>
  </si>
  <si>
    <t>6 Month KIBOR</t>
  </si>
  <si>
    <t>%</t>
  </si>
  <si>
    <t>3 Month KIBOR</t>
  </si>
  <si>
    <t>Freehold Land</t>
  </si>
  <si>
    <t>Additions</t>
  </si>
  <si>
    <t>Transfer of assets from leased to owned assets</t>
  </si>
  <si>
    <t xml:space="preserve">  Cost</t>
  </si>
  <si>
    <t xml:space="preserve">  Accumulated depreciation</t>
  </si>
  <si>
    <t>Transferred to investment properties:</t>
  </si>
  <si>
    <t>Transfer to Nishat Linen Private Lmtd under scheme of compromises of arrangements and reconstruction:</t>
  </si>
  <si>
    <t xml:space="preserve">  Accumulated Depreciation</t>
  </si>
  <si>
    <t>Disposals:</t>
  </si>
  <si>
    <t>Based on avg % charged each year</t>
  </si>
  <si>
    <t>Closing net book value</t>
  </si>
  <si>
    <t>Buildings on freehold land</t>
  </si>
  <si>
    <t>Based on cost of asset</t>
  </si>
  <si>
    <t>Transfer to Nishat Linen Private Lmts under scheme of compromises.arrangements and reconstruction:</t>
  </si>
  <si>
    <t>Based on total assets</t>
  </si>
  <si>
    <t>DEP RATE</t>
  </si>
  <si>
    <t>Plant and machinery</t>
  </si>
  <si>
    <t>Based on total cost</t>
  </si>
  <si>
    <t>Assets written off:</t>
  </si>
  <si>
    <t xml:space="preserve">   Cost</t>
  </si>
  <si>
    <t xml:space="preserve">   Accumulated depreciation</t>
  </si>
  <si>
    <t>Stand-by equipment</t>
  </si>
  <si>
    <t>Electric Installations</t>
  </si>
  <si>
    <t>Based on total asset value</t>
  </si>
  <si>
    <t>Adjustments</t>
  </si>
  <si>
    <t>Factory equipment</t>
  </si>
  <si>
    <t>Bases on total asset value</t>
  </si>
  <si>
    <t>Furniture, fixtures and office equipment</t>
  </si>
  <si>
    <t>Computer equipment</t>
  </si>
  <si>
    <t xml:space="preserve">DEP RATE </t>
  </si>
  <si>
    <t>Vehicles</t>
  </si>
  <si>
    <t>LEASED ASSETS</t>
  </si>
  <si>
    <t>TOTAL ADDITIONS</t>
  </si>
  <si>
    <t>TOTAL DEPRECIATION</t>
  </si>
  <si>
    <t>TOTAL DISPOSALS</t>
  </si>
  <si>
    <t>Gain on disposals</t>
  </si>
  <si>
    <t>% gain in disposals</t>
  </si>
  <si>
    <t>Average disposal gain</t>
  </si>
  <si>
    <t>TOTAL YEAR END NBV</t>
  </si>
  <si>
    <t>Depreciation and amortization</t>
  </si>
  <si>
    <t>Total assets written off</t>
  </si>
  <si>
    <t>Capital Expenditure on PPE</t>
  </si>
  <si>
    <t>Proportion of Fixed Assets</t>
  </si>
  <si>
    <t>% of PPE</t>
  </si>
  <si>
    <t xml:space="preserve">Dep rate </t>
  </si>
  <si>
    <t>DATE</t>
  </si>
  <si>
    <t>Index</t>
  </si>
  <si>
    <t>CLOSING PRICE</t>
  </si>
  <si>
    <t>ALLSHR</t>
  </si>
  <si>
    <t>LOCAL SALES</t>
  </si>
  <si>
    <t>SUMMARY OUTPUT</t>
  </si>
  <si>
    <t>GDP GROWTH RATE</t>
  </si>
  <si>
    <t>INFLATION RATE</t>
  </si>
  <si>
    <t>POPULATION GROWTH RATE</t>
  </si>
  <si>
    <t>CPI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</si>
  <si>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</si>
  <si>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</si>
  <si>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</si>
  <si>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</si>
  <si>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</si>
  <si>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</si>
  <si>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</si>
  <si>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</si>
  <si>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</si>
  <si>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</si>
  <si>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</si>
  <si>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</si>
  <si>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</si>
  <si>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</si>
  <si>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</si>
  <si>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</si>
  <si>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</si>
  <si>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</si>
  <si>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</si>
  <si>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</si>
  <si>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</si>
  <si>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Source</t>
  </si>
  <si>
    <t>Forecast basis</t>
  </si>
  <si>
    <t>world bank website</t>
  </si>
  <si>
    <t>Statista website</t>
  </si>
  <si>
    <t>Asian Development Bank website</t>
  </si>
  <si>
    <t>Statistica website</t>
  </si>
  <si>
    <t>Forecasted</t>
  </si>
  <si>
    <t>Profitibility Ratios</t>
  </si>
  <si>
    <t>Gross Profit</t>
  </si>
  <si>
    <t>Operating Profit</t>
  </si>
  <si>
    <t>Profit before Tax</t>
  </si>
  <si>
    <t>Profit after tax</t>
  </si>
  <si>
    <t>EPS</t>
  </si>
  <si>
    <t>Net Profit to total assets</t>
  </si>
  <si>
    <t>Asset Turnover</t>
  </si>
  <si>
    <t xml:space="preserve">Short Term Solvency </t>
  </si>
  <si>
    <t>Current Ratio</t>
  </si>
  <si>
    <t>Acid test Ratio</t>
  </si>
  <si>
    <t>Valuation and Assessment</t>
  </si>
  <si>
    <t>ROE (After tax)</t>
  </si>
  <si>
    <t>ROA</t>
  </si>
  <si>
    <t>ASSUMPTIONS</t>
  </si>
  <si>
    <t>From Assumption Sheet</t>
  </si>
  <si>
    <t>GROSS PROFIT</t>
  </si>
  <si>
    <t>ADMINISTRATIVE EXPENSES</t>
  </si>
  <si>
    <t>PROFIT FROM OPERATIONS</t>
  </si>
  <si>
    <t>PROFIT BEFORE TAXATION</t>
  </si>
  <si>
    <t>PROFIT AFTER TAXATION</t>
  </si>
  <si>
    <t>PAYOUT</t>
  </si>
  <si>
    <t>ADDITION TO RETAINED EARNINGS</t>
  </si>
  <si>
    <t>BALANCE SHEET</t>
  </si>
  <si>
    <t>EQUITY AND LIABILITIES</t>
  </si>
  <si>
    <t>Issued, subscribes and paid up capital</t>
  </si>
  <si>
    <t>Reserves</t>
  </si>
  <si>
    <t>Total Equity</t>
  </si>
  <si>
    <t>LIABILITIES</t>
  </si>
  <si>
    <t>NON-CURRENT LIABILITIES</t>
  </si>
  <si>
    <t>Deffered income tax liability</t>
  </si>
  <si>
    <t>CURRENT LIABILITIES</t>
  </si>
  <si>
    <t>Trade and other payables</t>
  </si>
  <si>
    <t>Cash Shortage</t>
  </si>
  <si>
    <t>Accrued mark up</t>
  </si>
  <si>
    <t>Current proprotion of non current liabilities</t>
  </si>
  <si>
    <t>Provision for taxation</t>
  </si>
  <si>
    <t>Unclaimed dividend</t>
  </si>
  <si>
    <t>Total Liabilities</t>
  </si>
  <si>
    <t>TOTAL EQUITY AND LIABILITIES</t>
  </si>
  <si>
    <t>ASSETS</t>
  </si>
  <si>
    <t>NON CURRENT ASSETS</t>
  </si>
  <si>
    <t>Property plant and equipment</t>
  </si>
  <si>
    <t>Investment Properties</t>
  </si>
  <si>
    <t>Long term investments</t>
  </si>
  <si>
    <t>Long term deposits</t>
  </si>
  <si>
    <t>CURRENT ASSETS</t>
  </si>
  <si>
    <t>Stores, spare parts and loose tools</t>
  </si>
  <si>
    <t>Stock in Trade</t>
  </si>
  <si>
    <t>Trade debts</t>
  </si>
  <si>
    <t>Loans and advances</t>
  </si>
  <si>
    <t>Short term deposits and prepayments</t>
  </si>
  <si>
    <t>Other receivables</t>
  </si>
  <si>
    <t>Accrued Interest</t>
  </si>
  <si>
    <t>Short term investments</t>
  </si>
  <si>
    <t>Cash and bank balances</t>
  </si>
  <si>
    <t>TOTAL ASSETS</t>
  </si>
  <si>
    <t>Additional Funds Needed</t>
  </si>
  <si>
    <t>STATEMENT OF CASH FLOWS</t>
  </si>
  <si>
    <t>Basis</t>
  </si>
  <si>
    <t>CASH FLOWS FROM OPERATING ACTIVITIES</t>
  </si>
  <si>
    <t>Finance cost paid</t>
  </si>
  <si>
    <t>From assumption sheet</t>
  </si>
  <si>
    <t>Income tax paid</t>
  </si>
  <si>
    <t>Net (increase)/decrease in long term deposits</t>
  </si>
  <si>
    <t>Cash generated from operations:</t>
  </si>
  <si>
    <t>Profit before taxation</t>
  </si>
  <si>
    <t>From Income Statement</t>
  </si>
  <si>
    <t>From Assumption sheet</t>
  </si>
  <si>
    <t>Operating fixed assets written off</t>
  </si>
  <si>
    <t>Reversal of provision of workers' welfare fund</t>
  </si>
  <si>
    <t>Provision for slow moving and obsolete and damaged store items</t>
  </si>
  <si>
    <t>Allowance for expected credit loss</t>
  </si>
  <si>
    <t>Change in ownership interest in subsidiary company</t>
  </si>
  <si>
    <t>Gain/loss on sale of property plant and equipment</t>
  </si>
  <si>
    <t>Dividend income</t>
  </si>
  <si>
    <t>Interest income on sales tax refundable bonds</t>
  </si>
  <si>
    <t>Finance cost</t>
  </si>
  <si>
    <t>Working capital changes</t>
  </si>
  <si>
    <t>Net cash generated from operating activities</t>
  </si>
  <si>
    <t xml:space="preserve">CASH FLOW FROM INVESTING ACTIVITIES </t>
  </si>
  <si>
    <t>Capital expenditure on property plant and equipment</t>
  </si>
  <si>
    <t>Proceeds from sale of property plant and equipment</t>
  </si>
  <si>
    <t>Dividends received</t>
  </si>
  <si>
    <t>Net cash (used in)/from investing activities</t>
  </si>
  <si>
    <t>CASH FLOWS FROM FINANCING ACTIVITIES</t>
  </si>
  <si>
    <t>Repayment of liabilities against assets subject to finance lease</t>
  </si>
  <si>
    <t>Short term borrowings-net</t>
  </si>
  <si>
    <t>Dividend paid</t>
  </si>
  <si>
    <t>Net cash from/(used in) financing activities</t>
  </si>
  <si>
    <t>Net increase in cash and cash equivalents</t>
  </si>
  <si>
    <t>Cash and cash equivalents at the beginning of the year</t>
  </si>
  <si>
    <t>Cash and cash equivalents at the end of the year</t>
  </si>
  <si>
    <t>Cost of Equity Calculation</t>
  </si>
  <si>
    <t>2025-2029</t>
  </si>
  <si>
    <t>Beta Working</t>
  </si>
  <si>
    <t>Risk-Free Rate</t>
  </si>
  <si>
    <t>SBP Website</t>
  </si>
  <si>
    <t>Correlation of stock with market</t>
  </si>
  <si>
    <t>Beta of stock</t>
  </si>
  <si>
    <t>Calculated</t>
  </si>
  <si>
    <t>Standard deviation of stock</t>
  </si>
  <si>
    <t>Market return</t>
  </si>
  <si>
    <t>Calculated From Market Prices Sheet</t>
  </si>
  <si>
    <t>Standard deviation of market</t>
  </si>
  <si>
    <t xml:space="preserve">Cost of Equity </t>
  </si>
  <si>
    <t>Calculated From CAPM Model</t>
  </si>
  <si>
    <t>Capital Structure</t>
  </si>
  <si>
    <t>From Financial Statements</t>
  </si>
  <si>
    <t>Debt, and Equity</t>
  </si>
  <si>
    <t>Constant Growth Rate</t>
  </si>
  <si>
    <t>Based on GDP Growth Rate</t>
  </si>
  <si>
    <t>Wd</t>
  </si>
  <si>
    <t>We</t>
  </si>
  <si>
    <t>Cost of Debt</t>
  </si>
  <si>
    <t>Tax Rate</t>
  </si>
  <si>
    <t>Wacc</t>
  </si>
  <si>
    <t>Cash Flow From Operations</t>
  </si>
  <si>
    <t>From Cash Flow Sheet</t>
  </si>
  <si>
    <t>Less: Fixed Capital Investments</t>
  </si>
  <si>
    <t>From Asset Schedule Sheet</t>
  </si>
  <si>
    <t>Free Cash Flow to Equity</t>
  </si>
  <si>
    <t>Terminal Value</t>
  </si>
  <si>
    <t>PV of Terminal Value</t>
  </si>
  <si>
    <t>Discount Factor</t>
  </si>
  <si>
    <t>PV of of Future Cash Flows</t>
  </si>
  <si>
    <t>Value of Equity</t>
  </si>
  <si>
    <t>Number of Shares</t>
  </si>
  <si>
    <t>Value per Share</t>
  </si>
  <si>
    <t>Decision</t>
  </si>
  <si>
    <t>We should buy the stock as it is undervalued.</t>
  </si>
  <si>
    <t>Debt</t>
  </si>
  <si>
    <t>Equity</t>
  </si>
  <si>
    <t>LOAN 1</t>
  </si>
  <si>
    <t xml:space="preserve">Principal </t>
  </si>
  <si>
    <t>Duration</t>
  </si>
  <si>
    <t>Periodicity (Equal)</t>
  </si>
  <si>
    <t>Type of Loan</t>
  </si>
  <si>
    <t>Musharaka</t>
  </si>
  <si>
    <t>Rate</t>
  </si>
  <si>
    <t xml:space="preserve">Loan Taken </t>
  </si>
  <si>
    <t>1st January 2014</t>
  </si>
  <si>
    <t>Loan Taken From</t>
  </si>
  <si>
    <t>Meezan Bank Limited, Dubai Islamic Bank Pakistan Limited,Standard Chartered Bank Pakistan Limited</t>
  </si>
  <si>
    <t>Bank Share</t>
  </si>
  <si>
    <t>Company Share</t>
  </si>
  <si>
    <t xml:space="preserve"> </t>
  </si>
  <si>
    <t>2015</t>
  </si>
  <si>
    <t>2016</t>
  </si>
  <si>
    <t>2017</t>
  </si>
  <si>
    <t>2018</t>
  </si>
  <si>
    <t>2019</t>
  </si>
  <si>
    <t>2020</t>
  </si>
  <si>
    <t>Principal/ Asset</t>
  </si>
  <si>
    <t>Beginning Value/ Bank at start</t>
  </si>
  <si>
    <t>Company at start</t>
  </si>
  <si>
    <t>Interest/Rent</t>
  </si>
  <si>
    <t>Prepayment/ Units purchased by Company</t>
  </si>
  <si>
    <t>Total Payment</t>
  </si>
  <si>
    <t>Ending Value</t>
  </si>
  <si>
    <t>Company's share</t>
  </si>
  <si>
    <t>LOAN 2</t>
  </si>
  <si>
    <t>Conventional</t>
  </si>
  <si>
    <t>Habib Bank Limited</t>
  </si>
  <si>
    <t>Name</t>
  </si>
  <si>
    <t>Tuesday/ Evening</t>
  </si>
  <si>
    <t xml:space="preserve">Course </t>
  </si>
  <si>
    <t>Security Analysis</t>
  </si>
  <si>
    <t>ERP</t>
  </si>
  <si>
    <t>Mahnoor Baloch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</si>
</sst>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0"/>
    <numFmt numFmtId="166" formatCode="0.0000%"/>
    <numFmt numFmtId="167" formatCode="_-* #,##0.00_-;\-* #,##0.00_-;_-* &quot;-&quot;??_-;_-@_-"/>
    <numFmt numFmtId="168" formatCode="_-* #,##0_-;\-* #,##0_-;_-* &quot;-&quot;??_-;_-@_-"/>
    <numFmt numFmtId="169" formatCode="&quot;£&quot;#,##0;[Red]\-&quot;£&quot;#,##0"/>
    <numFmt numFmtId="170" formatCode="_-* #,##0.0_-;\-* #,##0.0_-;_-* &quot;-&quot;??_-;_-@_-"/>
    <numFmt numFmtId="171" formatCode="_-* #,##0.000_-;\-* #,##0.000_-;_-* &quot;-&quot;??_-;_-@_-"/>
    <numFmt numFmtId="172" formatCode="0.0000"/>
    <numFmt numFmtId="173" formatCode="_(* #,##0.0000_);_(* \(#,##0.0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>
      <alignment horizontal="left" wrapText="1"/>
    </xf>
    <xf numFmtId="0" fontId="1" fillId="0" borderId="0"/>
    <xf numFmtId="43" fontId="1" fillId="0" borderId="0" applyFont="0" applyFill="0" applyBorder="0" applyAlignment="0" applyProtection="0"/>
    <xf numFmtId="0" fontId="7" fillId="0" borderId="0"/>
    <xf numFmtId="44" fontId="1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23">
    <xf numFmtId="0" fontId="0" fillId="0" borderId="0" xfId="0"/>
    <xf numFmtId="15" fontId="0" fillId="0" borderId="5" xfId="0" applyNumberFormat="1" applyBorder="1"/>
    <xf numFmtId="0" fontId="9" fillId="0" borderId="0" xfId="0" applyFont="1" applyFill="1"/>
    <xf numFmtId="0" fontId="0" fillId="6" borderId="5" xfId="0" applyFill="1" applyBorder="1"/>
    <xf numFmtId="0" fontId="0" fillId="0" borderId="0" xfId="0" applyFill="1"/>
    <xf numFmtId="0" fontId="0" fillId="0" borderId="5" xfId="0" applyBorder="1"/>
    <xf numFmtId="0" fontId="10" fillId="0" borderId="0" xfId="0" applyFont="1" applyFill="1"/>
    <xf numFmtId="0" fontId="0" fillId="0" borderId="0" xfId="0"/>
    <xf numFmtId="0" fontId="0" fillId="0" borderId="0" xfId="0" applyBorder="1"/>
    <xf numFmtId="0" fontId="0" fillId="0" borderId="7" xfId="0" applyBorder="1"/>
    <xf numFmtId="3" fontId="0" fillId="0" borderId="0" xfId="0" applyNumberFormat="1" applyFill="1"/>
    <xf numFmtId="0" fontId="3" fillId="0" borderId="0" xfId="0" applyFont="1" applyFill="1"/>
    <xf numFmtId="9" fontId="0" fillId="0" borderId="0" xfId="2" applyFont="1" applyFill="1"/>
    <xf numFmtId="166" fontId="0" fillId="0" borderId="0" xfId="2" applyNumberFormat="1" applyFont="1" applyFill="1"/>
    <xf numFmtId="3" fontId="0" fillId="0" borderId="0" xfId="2" applyNumberFormat="1" applyFont="1" applyFill="1"/>
    <xf numFmtId="0" fontId="11" fillId="0" borderId="0" xfId="3" applyFont="1" applyFill="1"/>
    <xf numFmtId="0" fontId="12" fillId="0" borderId="0" xfId="3" applyFont="1" applyFill="1"/>
    <xf numFmtId="3" fontId="12" fillId="0" borderId="0" xfId="3" applyNumberFormat="1" applyFont="1" applyFill="1"/>
    <xf numFmtId="0" fontId="12" fillId="0" borderId="18" xfId="3" applyFont="1" applyFill="1" applyBorder="1"/>
    <xf numFmtId="3" fontId="12" fillId="0" borderId="18" xfId="3" applyNumberFormat="1" applyFont="1" applyFill="1" applyBorder="1"/>
    <xf numFmtId="9" fontId="12" fillId="0" borderId="0" xfId="2" applyFont="1" applyFill="1"/>
    <xf numFmtId="3" fontId="0" fillId="0" borderId="18" xfId="0" applyNumberFormat="1" applyFill="1" applyBorder="1"/>
    <xf numFmtId="3" fontId="4" fillId="0" borderId="0" xfId="0" applyNumberFormat="1" applyFont="1" applyFill="1"/>
    <xf numFmtId="3" fontId="13" fillId="0" borderId="0" xfId="0" applyNumberFormat="1" applyFont="1" applyFill="1"/>
    <xf numFmtId="0" fontId="0" fillId="0" borderId="18" xfId="0" applyFill="1" applyBorder="1"/>
    <xf numFmtId="0" fontId="0" fillId="0" borderId="7" xfId="0" applyFill="1" applyBorder="1"/>
    <xf numFmtId="3" fontId="0" fillId="0" borderId="7" xfId="0" applyNumberFormat="1" applyFill="1" applyBorder="1"/>
    <xf numFmtId="0" fontId="3" fillId="0" borderId="13" xfId="0" applyFont="1" applyFill="1" applyBorder="1"/>
    <xf numFmtId="0" fontId="0" fillId="0" borderId="13" xfId="0" applyFill="1" applyBorder="1"/>
    <xf numFmtId="0" fontId="0" fillId="0" borderId="0" xfId="0" applyFill="1" applyBorder="1"/>
    <xf numFmtId="0" fontId="14" fillId="0" borderId="0" xfId="0" applyFont="1" applyFill="1"/>
    <xf numFmtId="9" fontId="0" fillId="0" borderId="0" xfId="0" applyNumberFormat="1" applyFill="1"/>
    <xf numFmtId="10" fontId="0" fillId="0" borderId="0" xfId="2" applyNumberFormat="1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0" borderId="13" xfId="0" applyFont="1" applyFill="1" applyBorder="1"/>
    <xf numFmtId="0" fontId="0" fillId="0" borderId="14" xfId="0" applyFill="1" applyBorder="1"/>
    <xf numFmtId="0" fontId="0" fillId="0" borderId="5" xfId="0" applyFill="1" applyBorder="1"/>
    <xf numFmtId="0" fontId="0" fillId="0" borderId="5" xfId="0" applyFont="1" applyFill="1" applyBorder="1"/>
    <xf numFmtId="3" fontId="0" fillId="0" borderId="5" xfId="0" applyNumberFormat="1" applyFill="1" applyBorder="1"/>
    <xf numFmtId="0" fontId="0" fillId="0" borderId="19" xfId="0" applyFill="1" applyBorder="1"/>
    <xf numFmtId="0" fontId="0" fillId="0" borderId="4" xfId="0" applyFill="1" applyBorder="1"/>
    <xf numFmtId="3" fontId="0" fillId="0" borderId="0" xfId="0" applyNumberFormat="1" applyFill="1" applyBorder="1"/>
    <xf numFmtId="3" fontId="0" fillId="0" borderId="2" xfId="0" applyNumberFormat="1" applyFill="1" applyBorder="1"/>
    <xf numFmtId="0" fontId="0" fillId="0" borderId="5" xfId="0" applyFill="1" applyBorder="1" applyAlignment="1">
      <alignment horizontal="center"/>
    </xf>
    <xf numFmtId="3" fontId="0" fillId="0" borderId="0" xfId="10" applyNumberFormat="1" applyFont="1" applyFill="1" applyBorder="1"/>
    <xf numFmtId="9" fontId="0" fillId="0" borderId="5" xfId="0" applyNumberFormat="1" applyFill="1" applyBorder="1"/>
    <xf numFmtId="0" fontId="0" fillId="0" borderId="1" xfId="0" applyFill="1" applyBorder="1"/>
    <xf numFmtId="0" fontId="0" fillId="0" borderId="6" xfId="0" applyFill="1" applyBorder="1"/>
    <xf numFmtId="3" fontId="0" fillId="0" borderId="8" xfId="0" applyNumberFormat="1" applyFill="1" applyBorder="1"/>
    <xf numFmtId="168" fontId="16" fillId="0" borderId="10" xfId="10" applyNumberFormat="1" applyFont="1" applyFill="1" applyBorder="1"/>
    <xf numFmtId="168" fontId="0" fillId="0" borderId="0" xfId="10" applyNumberFormat="1" applyFont="1" applyFill="1" applyBorder="1"/>
    <xf numFmtId="1" fontId="0" fillId="0" borderId="0" xfId="10" applyNumberFormat="1" applyFont="1" applyFill="1" applyBorder="1"/>
    <xf numFmtId="43" fontId="0" fillId="0" borderId="0" xfId="10" applyFont="1" applyFill="1" applyBorder="1"/>
    <xf numFmtId="10" fontId="0" fillId="0" borderId="0" xfId="2" applyNumberFormat="1" applyFont="1" applyFill="1" applyBorder="1"/>
    <xf numFmtId="0" fontId="16" fillId="0" borderId="10" xfId="0" applyFont="1" applyFill="1" applyBorder="1"/>
    <xf numFmtId="0" fontId="17" fillId="0" borderId="20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7" fillId="0" borderId="13" xfId="0" applyFont="1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4" xfId="0" applyFill="1" applyBorder="1"/>
    <xf numFmtId="0" fontId="0" fillId="0" borderId="25" xfId="0" applyFill="1" applyBorder="1"/>
    <xf numFmtId="3" fontId="0" fillId="0" borderId="14" xfId="0" applyNumberFormat="1" applyFill="1" applyBorder="1"/>
    <xf numFmtId="3" fontId="0" fillId="0" borderId="0" xfId="7" applyNumberFormat="1" applyFont="1" applyFill="1" applyBorder="1"/>
    <xf numFmtId="9" fontId="0" fillId="0" borderId="5" xfId="2" applyFont="1" applyFill="1" applyBorder="1"/>
    <xf numFmtId="10" fontId="0" fillId="0" borderId="0" xfId="0" applyNumberFormat="1" applyFill="1" applyBorder="1"/>
    <xf numFmtId="169" fontId="0" fillId="0" borderId="16" xfId="0" applyNumberFormat="1" applyFill="1" applyBorder="1"/>
    <xf numFmtId="169" fontId="0" fillId="0" borderId="0" xfId="0" applyNumberFormat="1" applyFill="1" applyBorder="1"/>
    <xf numFmtId="168" fontId="18" fillId="0" borderId="10" xfId="7" applyNumberFormat="1" applyFont="1" applyFill="1" applyBorder="1"/>
    <xf numFmtId="168" fontId="0" fillId="0" borderId="0" xfId="7" applyNumberFormat="1" applyFont="1" applyFill="1" applyBorder="1"/>
    <xf numFmtId="0" fontId="0" fillId="0" borderId="0" xfId="0" applyNumberFormat="1" applyFill="1" applyBorder="1"/>
    <xf numFmtId="43" fontId="0" fillId="0" borderId="0" xfId="7" applyFont="1" applyFill="1" applyBorder="1"/>
    <xf numFmtId="0" fontId="15" fillId="0" borderId="10" xfId="0" applyFont="1" applyFill="1" applyBorder="1"/>
    <xf numFmtId="170" fontId="0" fillId="0" borderId="0" xfId="7" applyNumberFormat="1" applyFont="1" applyFill="1" applyBorder="1"/>
    <xf numFmtId="0" fontId="1" fillId="0" borderId="5" xfId="4" applyFill="1" applyBorder="1"/>
    <xf numFmtId="3" fontId="1" fillId="0" borderId="5" xfId="4" applyNumberFormat="1" applyFill="1" applyBorder="1"/>
    <xf numFmtId="9" fontId="1" fillId="0" borderId="5" xfId="4" applyNumberFormat="1" applyFill="1" applyBorder="1"/>
    <xf numFmtId="0" fontId="0" fillId="0" borderId="13" xfId="0" applyBorder="1"/>
    <xf numFmtId="0" fontId="0" fillId="0" borderId="16" xfId="0" applyBorder="1"/>
    <xf numFmtId="0" fontId="19" fillId="9" borderId="10" xfId="0" applyFont="1" applyFill="1" applyBorder="1"/>
    <xf numFmtId="171" fontId="0" fillId="0" borderId="11" xfId="31" applyNumberFormat="1" applyFont="1" applyBorder="1"/>
    <xf numFmtId="171" fontId="0" fillId="0" borderId="12" xfId="31" applyNumberFormat="1" applyFont="1" applyBorder="1"/>
    <xf numFmtId="168" fontId="0" fillId="0" borderId="0" xfId="31" applyNumberFormat="1" applyFont="1"/>
    <xf numFmtId="171" fontId="0" fillId="0" borderId="0" xfId="31" applyNumberFormat="1" applyFont="1" applyBorder="1"/>
    <xf numFmtId="171" fontId="0" fillId="0" borderId="14" xfId="31" applyNumberFormat="1" applyFont="1" applyBorder="1"/>
    <xf numFmtId="14" fontId="0" fillId="0" borderId="13" xfId="0" applyNumberFormat="1" applyBorder="1"/>
    <xf numFmtId="0" fontId="19" fillId="9" borderId="13" xfId="0" applyFont="1" applyFill="1" applyBorder="1"/>
    <xf numFmtId="171" fontId="0" fillId="0" borderId="0" xfId="31" applyNumberFormat="1" applyFont="1"/>
    <xf numFmtId="14" fontId="0" fillId="0" borderId="15" xfId="0" applyNumberFormat="1" applyBorder="1"/>
    <xf numFmtId="171" fontId="0" fillId="0" borderId="17" xfId="31" applyNumberFormat="1" applyFont="1" applyBorder="1"/>
    <xf numFmtId="168" fontId="0" fillId="0" borderId="0" xfId="31" applyNumberFormat="1" applyFont="1" applyBorder="1"/>
    <xf numFmtId="14" fontId="0" fillId="0" borderId="26" xfId="0" applyNumberFormat="1" applyBorder="1"/>
    <xf numFmtId="0" fontId="0" fillId="0" borderId="27" xfId="0" applyBorder="1"/>
    <xf numFmtId="171" fontId="0" fillId="0" borderId="28" xfId="31" applyNumberFormat="1" applyFont="1" applyBorder="1"/>
    <xf numFmtId="0" fontId="20" fillId="0" borderId="0" xfId="0" applyFont="1" applyFill="1"/>
    <xf numFmtId="14" fontId="0" fillId="0" borderId="5" xfId="0" applyNumberFormat="1" applyBorder="1"/>
    <xf numFmtId="4" fontId="0" fillId="0" borderId="5" xfId="0" applyNumberFormat="1" applyBorder="1"/>
    <xf numFmtId="0" fontId="16" fillId="0" borderId="0" xfId="0" applyFont="1"/>
    <xf numFmtId="172" fontId="0" fillId="0" borderId="5" xfId="2" applyNumberFormat="1" applyFont="1" applyBorder="1"/>
    <xf numFmtId="172" fontId="0" fillId="0" borderId="0" xfId="0" applyNumberFormat="1"/>
    <xf numFmtId="172" fontId="0" fillId="0" borderId="5" xfId="0" applyNumberFormat="1" applyBorder="1"/>
    <xf numFmtId="3" fontId="0" fillId="0" borderId="5" xfId="0" applyNumberFormat="1" applyBorder="1"/>
    <xf numFmtId="0" fontId="21" fillId="0" borderId="24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6" xfId="0" applyFill="1" applyBorder="1" applyAlignment="1"/>
    <xf numFmtId="0" fontId="21" fillId="0" borderId="24" xfId="0" applyFont="1" applyFill="1" applyBorder="1" applyAlignment="1">
      <alignment horizontal="center"/>
    </xf>
    <xf numFmtId="0" fontId="3" fillId="10" borderId="30" xfId="0" applyFont="1" applyFill="1" applyBorder="1"/>
    <xf numFmtId="0" fontId="3" fillId="7" borderId="30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0" fillId="8" borderId="0" xfId="0" applyFill="1" applyBorder="1"/>
    <xf numFmtId="0" fontId="0" fillId="8" borderId="14" xfId="0" applyFill="1" applyBorder="1"/>
    <xf numFmtId="0" fontId="0" fillId="7" borderId="33" xfId="0" applyFill="1" applyBorder="1"/>
    <xf numFmtId="10" fontId="0" fillId="8" borderId="0" xfId="2" applyNumberFormat="1" applyFont="1" applyFill="1" applyBorder="1"/>
    <xf numFmtId="10" fontId="0" fillId="8" borderId="14" xfId="2" applyNumberFormat="1" applyFont="1" applyFill="1" applyBorder="1"/>
    <xf numFmtId="43" fontId="0" fillId="8" borderId="0" xfId="1" applyFont="1" applyFill="1" applyBorder="1"/>
    <xf numFmtId="0" fontId="0" fillId="7" borderId="34" xfId="0" applyFill="1" applyBorder="1"/>
    <xf numFmtId="10" fontId="0" fillId="8" borderId="16" xfId="2" applyNumberFormat="1" applyFont="1" applyFill="1" applyBorder="1"/>
    <xf numFmtId="0" fontId="0" fillId="0" borderId="0" xfId="0" applyAlignment="1"/>
    <xf numFmtId="0" fontId="14" fillId="5" borderId="3" xfId="0" applyFont="1" applyFill="1" applyBorder="1"/>
    <xf numFmtId="0" fontId="14" fillId="5" borderId="19" xfId="0" applyFont="1" applyFill="1" applyBorder="1"/>
    <xf numFmtId="0" fontId="14" fillId="5" borderId="4" xfId="0" applyFont="1" applyFill="1" applyBorder="1"/>
    <xf numFmtId="41" fontId="0" fillId="0" borderId="0" xfId="0" applyNumberFormat="1"/>
    <xf numFmtId="0" fontId="0" fillId="0" borderId="18" xfId="0" applyBorder="1"/>
    <xf numFmtId="41" fontId="0" fillId="0" borderId="18" xfId="0" applyNumberFormat="1" applyBorder="1"/>
    <xf numFmtId="41" fontId="0" fillId="0" borderId="9" xfId="0" applyNumberFormat="1" applyBorder="1"/>
    <xf numFmtId="41" fontId="0" fillId="0" borderId="35" xfId="0" applyNumberFormat="1" applyBorder="1"/>
    <xf numFmtId="41" fontId="0" fillId="0" borderId="36" xfId="0" applyNumberFormat="1" applyBorder="1"/>
    <xf numFmtId="41" fontId="0" fillId="0" borderId="7" xfId="0" applyNumberFormat="1" applyBorder="1"/>
    <xf numFmtId="0" fontId="0" fillId="7" borderId="18" xfId="0" applyFill="1" applyBorder="1"/>
    <xf numFmtId="41" fontId="0" fillId="7" borderId="18" xfId="0" applyNumberFormat="1" applyFill="1" applyBorder="1"/>
    <xf numFmtId="0" fontId="0" fillId="7" borderId="19" xfId="0" applyFill="1" applyBorder="1"/>
    <xf numFmtId="41" fontId="0" fillId="7" borderId="19" xfId="0" applyNumberFormat="1" applyFill="1" applyBorder="1"/>
    <xf numFmtId="3" fontId="0" fillId="0" borderId="0" xfId="2" applyNumberFormat="1" applyFont="1" applyBorder="1"/>
    <xf numFmtId="0" fontId="0" fillId="0" borderId="19" xfId="0" applyBorder="1"/>
    <xf numFmtId="2" fontId="0" fillId="0" borderId="0" xfId="0" applyNumberFormat="1"/>
    <xf numFmtId="0" fontId="14" fillId="5" borderId="0" xfId="0" applyFont="1" applyFill="1"/>
    <xf numFmtId="0" fontId="3" fillId="0" borderId="0" xfId="0" applyFont="1"/>
    <xf numFmtId="3" fontId="0" fillId="0" borderId="0" xfId="0" applyNumberFormat="1"/>
    <xf numFmtId="3" fontId="0" fillId="0" borderId="7" xfId="0" applyNumberFormat="1" applyBorder="1"/>
    <xf numFmtId="0" fontId="3" fillId="6" borderId="0" xfId="0" applyFont="1" applyFill="1"/>
    <xf numFmtId="0" fontId="0" fillId="6" borderId="0" xfId="0" applyFill="1"/>
    <xf numFmtId="3" fontId="0" fillId="6" borderId="0" xfId="0" applyNumberFormat="1" applyFill="1"/>
    <xf numFmtId="0" fontId="0" fillId="0" borderId="0" xfId="0" applyFont="1"/>
    <xf numFmtId="0" fontId="3" fillId="6" borderId="19" xfId="0" applyFont="1" applyFill="1" applyBorder="1"/>
    <xf numFmtId="0" fontId="0" fillId="6" borderId="19" xfId="0" applyFill="1" applyBorder="1"/>
    <xf numFmtId="3" fontId="0" fillId="6" borderId="19" xfId="0" applyNumberFormat="1" applyFill="1" applyBorder="1"/>
    <xf numFmtId="3" fontId="3" fillId="0" borderId="0" xfId="0" applyNumberFormat="1" applyFont="1" applyFill="1"/>
    <xf numFmtId="0" fontId="20" fillId="5" borderId="0" xfId="0" applyFont="1" applyFill="1"/>
    <xf numFmtId="3" fontId="0" fillId="0" borderId="18" xfId="0" applyNumberFormat="1" applyBorder="1"/>
    <xf numFmtId="0" fontId="22" fillId="0" borderId="0" xfId="0" applyFont="1" applyFill="1" applyAlignment="1">
      <alignment horizontal="center"/>
    </xf>
    <xf numFmtId="0" fontId="3" fillId="0" borderId="4" xfId="0" applyFont="1" applyFill="1" applyBorder="1" applyAlignment="1"/>
    <xf numFmtId="10" fontId="0" fillId="0" borderId="5" xfId="0" applyNumberFormat="1" applyFill="1" applyBorder="1"/>
    <xf numFmtId="10" fontId="0" fillId="0" borderId="5" xfId="2" applyNumberFormat="1" applyFont="1" applyFill="1" applyBorder="1"/>
    <xf numFmtId="2" fontId="0" fillId="0" borderId="5" xfId="0" applyNumberFormat="1" applyFill="1" applyBorder="1"/>
    <xf numFmtId="9" fontId="0" fillId="0" borderId="5" xfId="2" applyNumberFormat="1" applyFont="1" applyFill="1" applyBorder="1"/>
    <xf numFmtId="0" fontId="3" fillId="0" borderId="5" xfId="0" applyFont="1" applyFill="1" applyBorder="1"/>
    <xf numFmtId="164" fontId="0" fillId="0" borderId="5" xfId="1" applyNumberFormat="1" applyFont="1" applyFill="1" applyBorder="1"/>
    <xf numFmtId="173" fontId="0" fillId="0" borderId="5" xfId="1" applyNumberFormat="1" applyFont="1" applyFill="1" applyBorder="1"/>
    <xf numFmtId="43" fontId="3" fillId="0" borderId="5" xfId="1" applyNumberFormat="1" applyFont="1" applyFill="1" applyBorder="1"/>
    <xf numFmtId="0" fontId="3" fillId="0" borderId="37" xfId="0" applyFont="1" applyFill="1" applyBorder="1"/>
    <xf numFmtId="0" fontId="0" fillId="0" borderId="38" xfId="0" applyFill="1" applyBorder="1"/>
    <xf numFmtId="3" fontId="0" fillId="0" borderId="39" xfId="0" applyNumberFormat="1" applyFill="1" applyBorder="1"/>
    <xf numFmtId="3" fontId="0" fillId="0" borderId="40" xfId="2" applyNumberFormat="1" applyFont="1" applyFill="1" applyBorder="1"/>
    <xf numFmtId="0" fontId="0" fillId="0" borderId="41" xfId="0" applyFill="1" applyBorder="1"/>
    <xf numFmtId="3" fontId="0" fillId="0" borderId="42" xfId="2" applyNumberFormat="1" applyFont="1" applyFill="1" applyBorder="1"/>
    <xf numFmtId="0" fontId="0" fillId="0" borderId="26" xfId="0" applyFill="1" applyBorder="1"/>
    <xf numFmtId="3" fontId="0" fillId="0" borderId="27" xfId="0" applyNumberFormat="1" applyFill="1" applyBorder="1"/>
    <xf numFmtId="3" fontId="0" fillId="0" borderId="28" xfId="2" applyNumberFormat="1" applyFont="1" applyFill="1" applyBorder="1"/>
    <xf numFmtId="0" fontId="0" fillId="4" borderId="5" xfId="0" applyFill="1" applyBorder="1"/>
    <xf numFmtId="164" fontId="0" fillId="4" borderId="5" xfId="1" applyNumberFormat="1" applyFont="1" applyFill="1" applyBorder="1"/>
    <xf numFmtId="9" fontId="0" fillId="4" borderId="5" xfId="0" applyNumberFormat="1" applyFill="1" applyBorder="1"/>
    <xf numFmtId="0" fontId="0" fillId="4" borderId="5" xfId="0" applyFill="1" applyBorder="1" applyAlignment="1">
      <alignment horizontal="right"/>
    </xf>
    <xf numFmtId="9" fontId="0" fillId="4" borderId="5" xfId="2" applyFont="1" applyFill="1" applyBorder="1"/>
    <xf numFmtId="0" fontId="3" fillId="0" borderId="8" xfId="0" applyFont="1" applyBorder="1"/>
    <xf numFmtId="0" fontId="3" fillId="0" borderId="36" xfId="0" applyFont="1" applyBorder="1"/>
    <xf numFmtId="0" fontId="3" fillId="0" borderId="6" xfId="0" applyFont="1" applyFill="1" applyBorder="1"/>
    <xf numFmtId="0" fontId="12" fillId="0" borderId="4" xfId="0" applyFont="1" applyBorder="1"/>
    <xf numFmtId="0" fontId="12" fillId="0" borderId="5" xfId="0" applyFont="1" applyBorder="1"/>
    <xf numFmtId="164" fontId="12" fillId="0" borderId="5" xfId="0" applyNumberFormat="1" applyFont="1" applyBorder="1"/>
    <xf numFmtId="164" fontId="12" fillId="0" borderId="3" xfId="0" applyNumberFormat="1" applyFont="1" applyBorder="1"/>
    <xf numFmtId="0" fontId="12" fillId="0" borderId="3" xfId="0" applyFont="1" applyBorder="1"/>
    <xf numFmtId="9" fontId="12" fillId="0" borderId="5" xfId="2" applyFont="1" applyBorder="1"/>
    <xf numFmtId="0" fontId="12" fillId="0" borderId="43" xfId="0" applyFont="1" applyBorder="1"/>
    <xf numFmtId="0" fontId="12" fillId="0" borderId="9" xfId="0" applyFont="1" applyBorder="1"/>
    <xf numFmtId="9" fontId="12" fillId="0" borderId="9" xfId="2" applyFont="1" applyBorder="1"/>
    <xf numFmtId="0" fontId="12" fillId="0" borderId="44" xfId="0" applyFont="1" applyBorder="1"/>
    <xf numFmtId="17" fontId="0" fillId="0" borderId="0" xfId="0" applyNumberFormat="1"/>
    <xf numFmtId="0" fontId="3" fillId="0" borderId="36" xfId="0" applyFont="1" applyFill="1" applyBorder="1"/>
    <xf numFmtId="0" fontId="0" fillId="0" borderId="4" xfId="0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Fill="1" applyBorder="1"/>
    <xf numFmtId="164" fontId="0" fillId="0" borderId="3" xfId="0" applyNumberFormat="1" applyFill="1" applyBorder="1"/>
    <xf numFmtId="3" fontId="0" fillId="0" borderId="3" xfId="0" applyNumberFormat="1" applyFill="1" applyBorder="1"/>
    <xf numFmtId="0" fontId="0" fillId="0" borderId="43" xfId="0" applyBorder="1"/>
    <xf numFmtId="0" fontId="0" fillId="0" borderId="9" xfId="0" applyBorder="1"/>
    <xf numFmtId="164" fontId="0" fillId="0" borderId="9" xfId="0" applyNumberFormat="1" applyBorder="1"/>
    <xf numFmtId="3" fontId="0" fillId="0" borderId="44" xfId="0" applyNumberFormat="1" applyBorder="1"/>
    <xf numFmtId="10" fontId="0" fillId="8" borderId="13" xfId="2" applyNumberFormat="1" applyFont="1" applyFill="1" applyBorder="1"/>
    <xf numFmtId="0" fontId="0" fillId="8" borderId="0" xfId="0" applyFill="1"/>
    <xf numFmtId="0" fontId="14" fillId="11" borderId="45" xfId="0" applyFont="1" applyFill="1" applyBorder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10" borderId="31" xfId="0" applyFont="1" applyFill="1" applyBorder="1" applyAlignment="1">
      <alignment horizontal="center"/>
    </xf>
    <xf numFmtId="0" fontId="3" fillId="10" borderId="32" xfId="0" applyFont="1" applyFill="1" applyBorder="1" applyAlignment="1">
      <alignment horizontal="center"/>
    </xf>
    <xf numFmtId="0" fontId="16" fillId="0" borderId="5" xfId="4" applyFont="1" applyFill="1" applyBorder="1" applyAlignment="1">
      <alignment horizontal="center"/>
    </xf>
  </cellXfs>
  <cellStyles count="32">
    <cellStyle name="40% - Accent3" xfId="4" builtinId="39"/>
    <cellStyle name="Accent2" xfId="3" builtinId="33"/>
    <cellStyle name="AFE" xfId="6"/>
    <cellStyle name="Comma" xfId="1" builtinId="3"/>
    <cellStyle name="Comma 11" xfId="30"/>
    <cellStyle name="Comma 13" xfId="21"/>
    <cellStyle name="Comma 2" xfId="7"/>
    <cellStyle name="Comma 3" xfId="8"/>
    <cellStyle name="Comma 3 2" xfId="9"/>
    <cellStyle name="Comma 3 2 2" xfId="25"/>
    <cellStyle name="Comma 4" xfId="10"/>
    <cellStyle name="Comma 5" xfId="31"/>
    <cellStyle name="Currency 3 3" xfId="23"/>
    <cellStyle name="Normal" xfId="0" builtinId="0"/>
    <cellStyle name="Normal - Style1 2" xfId="29"/>
    <cellStyle name="Normal 13" xfId="20"/>
    <cellStyle name="Normal 2" xfId="11"/>
    <cellStyle name="Normal 2 2" xfId="12"/>
    <cellStyle name="Normal 3" xfId="13"/>
    <cellStyle name="Normal 3 4" xfId="24"/>
    <cellStyle name="Normal 4" xfId="14"/>
    <cellStyle name="Normal 5" xfId="22"/>
    <cellStyle name="Normal 5 2" xfId="28"/>
    <cellStyle name="Percent" xfId="2" builtinId="5"/>
    <cellStyle name="Percent 2" xfId="15"/>
    <cellStyle name="Percent 2 2" xfId="16"/>
    <cellStyle name="Percent 3" xfId="17"/>
    <cellStyle name="Percent 5" xfId="18"/>
    <cellStyle name="Style 1" xfId="19"/>
    <cellStyle name="Title 2" xfId="26"/>
    <cellStyle name="Title 3" xfId="27"/>
    <cellStyle name="Title 4" xfId="5"/>
  </cellStyles>
  <dxfs count="7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ownloads/Mahnoor%20Baloch-DEFAULTED-%2017180%20-%20Nishat%20Mi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tock Prices"/>
      <sheetName val="Assumption Sheet"/>
      <sheetName val="Additional Loan"/>
      <sheetName val="Finance schedule"/>
      <sheetName val="Depreciation schedule"/>
      <sheetName val="Market Prices"/>
      <sheetName val="Regression"/>
      <sheetName val="Ratios"/>
      <sheetName val="INCOME STATEMENT"/>
      <sheetName val="BALANCE SHEET"/>
      <sheetName val="CASHFLOW STATEMENT"/>
      <sheetName val="VALUATION"/>
    </sheetNames>
    <sheetDataSet>
      <sheetData sheetId="0"/>
      <sheetData sheetId="1"/>
      <sheetData sheetId="2">
        <row r="8">
          <cell r="C8">
            <v>8849441000</v>
          </cell>
          <cell r="D8">
            <v>8857958000</v>
          </cell>
          <cell r="E8">
            <v>7441430000</v>
          </cell>
          <cell r="F8">
            <v>8834548000</v>
          </cell>
          <cell r="G8">
            <v>9662704000</v>
          </cell>
        </row>
        <row r="37">
          <cell r="C37">
            <v>2023019000</v>
          </cell>
          <cell r="D37">
            <v>2065498000</v>
          </cell>
          <cell r="E37">
            <v>2201908000</v>
          </cell>
          <cell r="F37">
            <v>2350563000</v>
          </cell>
          <cell r="G37">
            <v>2548984000</v>
          </cell>
          <cell r="H37">
            <v>2793090512.0878296</v>
          </cell>
          <cell r="I37">
            <v>3001083479.1899085</v>
          </cell>
          <cell r="J37">
            <v>3263037176.9250007</v>
          </cell>
          <cell r="K37">
            <v>3547629955.1514845</v>
          </cell>
        </row>
        <row r="68">
          <cell r="C68">
            <v>6699000</v>
          </cell>
          <cell r="D68">
            <v>6098000</v>
          </cell>
          <cell r="E68">
            <v>6362000</v>
          </cell>
          <cell r="F68">
            <v>8063000</v>
          </cell>
          <cell r="G68">
            <v>8448000</v>
          </cell>
          <cell r="H68">
            <v>8885994.6021878105</v>
          </cell>
          <cell r="I68">
            <v>9469370.1824697368</v>
          </cell>
          <cell r="J68">
            <v>10429272.29322464</v>
          </cell>
          <cell r="K68">
            <v>11550388.851961523</v>
          </cell>
        </row>
        <row r="86">
          <cell r="C86">
            <v>88053000</v>
          </cell>
          <cell r="D86">
            <v>86860000</v>
          </cell>
          <cell r="E86">
            <v>83586000</v>
          </cell>
          <cell r="F86">
            <v>80887000</v>
          </cell>
          <cell r="G86">
            <v>83873000</v>
          </cell>
          <cell r="H86">
            <v>106590792.82470027</v>
          </cell>
          <cell r="I86">
            <v>111295614.30491468</v>
          </cell>
          <cell r="J86">
            <v>117746876.16749103</v>
          </cell>
          <cell r="K86">
            <v>126723667.76842447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9950000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21">
          <cell r="C121">
            <v>0</v>
          </cell>
          <cell r="D121">
            <v>0</v>
          </cell>
          <cell r="E121">
            <v>346655000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61">
          <cell r="C161">
            <v>2690113000</v>
          </cell>
          <cell r="D161">
            <v>2975216000</v>
          </cell>
          <cell r="E161">
            <v>4946603000</v>
          </cell>
          <cell r="F161">
            <v>5204939000</v>
          </cell>
          <cell r="G161">
            <v>6000625000</v>
          </cell>
          <cell r="H161">
            <v>0</v>
          </cell>
        </row>
        <row r="193">
          <cell r="C193">
            <v>11524143000</v>
          </cell>
          <cell r="D193">
            <v>10475657000</v>
          </cell>
          <cell r="E193">
            <v>14697393000</v>
          </cell>
          <cell r="F193">
            <v>12507590000</v>
          </cell>
          <cell r="G193">
            <v>17982262000</v>
          </cell>
          <cell r="H193">
            <v>13437409000</v>
          </cell>
          <cell r="I193">
            <v>13820062200</v>
          </cell>
          <cell r="J193">
            <v>14488943240</v>
          </cell>
          <cell r="K193">
            <v>14447253288</v>
          </cell>
          <cell r="L193">
            <v>14835185945.600002</v>
          </cell>
        </row>
        <row r="207">
          <cell r="C207">
            <v>24357269000</v>
          </cell>
          <cell r="D207">
            <v>24715095000</v>
          </cell>
          <cell r="E207">
            <v>27767699000</v>
          </cell>
          <cell r="F207">
            <v>28180049000</v>
          </cell>
          <cell r="G207">
            <v>28968219000</v>
          </cell>
          <cell r="H207">
            <v>26761428000</v>
          </cell>
          <cell r="I207">
            <v>27278498000</v>
          </cell>
          <cell r="J207">
            <v>27791178600</v>
          </cell>
          <cell r="K207">
            <v>27795874520</v>
          </cell>
          <cell r="L207">
            <v>27719039624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</sheetData>
      <sheetData sheetId="3"/>
      <sheetData sheetId="4"/>
      <sheetData sheetId="5">
        <row r="251">
          <cell r="C251">
            <v>2118150000</v>
          </cell>
          <cell r="D251">
            <v>2159880000</v>
          </cell>
          <cell r="E251">
            <v>2374601000</v>
          </cell>
          <cell r="F251">
            <v>2461270000</v>
          </cell>
          <cell r="G251">
            <v>2641305000</v>
          </cell>
          <cell r="H251">
            <v>2934700114.409194</v>
          </cell>
          <cell r="I251">
            <v>3155453832.635613</v>
          </cell>
          <cell r="J251">
            <v>3434655046.0944543</v>
          </cell>
          <cell r="K251">
            <v>3716410165.8934751</v>
          </cell>
          <cell r="L251">
            <v>4076956488.1013598</v>
          </cell>
        </row>
        <row r="253">
          <cell r="C253">
            <v>74339000</v>
          </cell>
          <cell r="F253">
            <v>87643000</v>
          </cell>
          <cell r="G253">
            <v>113648000</v>
          </cell>
          <cell r="H253">
            <v>92503370.478039652</v>
          </cell>
          <cell r="I253">
            <v>101183513.63253632</v>
          </cell>
          <cell r="J253">
            <v>113550772.01106165</v>
          </cell>
          <cell r="K253">
            <v>117778203.03870207</v>
          </cell>
          <cell r="L253">
            <v>125923840.43914585</v>
          </cell>
        </row>
        <row r="274">
          <cell r="H274">
            <v>6712290.3253481761</v>
          </cell>
          <cell r="I274">
            <v>5426512.061133489</v>
          </cell>
          <cell r="J274">
            <v>5131215.4220230328</v>
          </cell>
          <cell r="K274">
            <v>4878986.1622343548</v>
          </cell>
          <cell r="L274">
            <v>4635390.7765522227</v>
          </cell>
        </row>
      </sheetData>
      <sheetData sheetId="6"/>
      <sheetData sheetId="7">
        <row r="11">
          <cell r="F11">
            <v>3566999118.4337511</v>
          </cell>
        </row>
        <row r="12">
          <cell r="F12">
            <v>7497783915.6646318</v>
          </cell>
        </row>
        <row r="13">
          <cell r="F13">
            <v>7695887912.4209824</v>
          </cell>
        </row>
        <row r="14">
          <cell r="F14">
            <v>8168798285.858675</v>
          </cell>
        </row>
        <row r="15">
          <cell r="F15">
            <v>8272757606.3735809</v>
          </cell>
        </row>
      </sheetData>
      <sheetData sheetId="8"/>
      <sheetData sheetId="9">
        <row r="17">
          <cell r="C17">
            <v>4389925000</v>
          </cell>
          <cell r="D17">
            <v>5725038000</v>
          </cell>
          <cell r="E17">
            <v>5020342000</v>
          </cell>
          <cell r="F17">
            <v>4957127000</v>
          </cell>
          <cell r="G17">
            <v>6897048000</v>
          </cell>
          <cell r="H17">
            <v>-5642327155.9726257</v>
          </cell>
          <cell r="I17">
            <v>-340812382.23951244</v>
          </cell>
          <cell r="J17">
            <v>-2228702003.9658518</v>
          </cell>
          <cell r="K17">
            <v>-4377640880.4101429</v>
          </cell>
          <cell r="L17">
            <v>-7206958533.2401991</v>
          </cell>
        </row>
        <row r="20">
          <cell r="C20">
            <v>3911925000</v>
          </cell>
          <cell r="D20">
            <v>4923038000</v>
          </cell>
          <cell r="E20">
            <v>4262342000</v>
          </cell>
          <cell r="F20">
            <v>4097127000</v>
          </cell>
          <cell r="G20">
            <v>5859048000</v>
          </cell>
          <cell r="H20">
            <v>-6352083089.8524475</v>
          </cell>
          <cell r="I20">
            <v>-1170000474.3339534</v>
          </cell>
          <cell r="J20">
            <v>-3069554342.37184</v>
          </cell>
          <cell r="K20">
            <v>-5241877961.5258532</v>
          </cell>
          <cell r="L20">
            <v>-8075618123.0885086</v>
          </cell>
        </row>
      </sheetData>
      <sheetData sheetId="10"/>
      <sheetData sheetId="11">
        <row r="56">
          <cell r="C56">
            <v>52219000</v>
          </cell>
          <cell r="D56">
            <v>2115168000</v>
          </cell>
          <cell r="E56">
            <v>43945000</v>
          </cell>
          <cell r="F56">
            <v>104827000</v>
          </cell>
          <cell r="G56">
            <v>576625000</v>
          </cell>
          <cell r="H56">
            <v>-11514417641.588934</v>
          </cell>
          <cell r="I56">
            <v>-19411549698.574371</v>
          </cell>
          <cell r="J56">
            <v>-29948607115.685158</v>
          </cell>
          <cell r="K56">
            <v>-42652282929.243584</v>
          </cell>
          <cell r="L56">
            <v>-58902956285.091431</v>
          </cell>
        </row>
      </sheetData>
      <sheetData sheetId="12"/>
    </sheetDataSet>
  </externalBook>
</externalLink>
</file>

<file path=xl/tables/table1.xml><?xml version="1.0" encoding="utf-8"?>
<table xmlns="http://schemas.openxmlformats.org/spreadsheetml/2006/main" id="5" name="Table1" displayName="Table1" ref="E13:L30" totalsRowShown="0" headerRowDxfId="69" dataDxfId="68" tableBorderDxfId="67">
  <autoFilter ref="E13:L30"/>
  <tableColumns count="8">
    <tableColumn id="1" name="Period" dataDxfId="66"/>
    <tableColumn id="2" name="Kibor Rates" dataDxfId="65">
      <calculatedColumnFormula>'[1]Finance schedule'!C93</calculatedColumnFormula>
    </tableColumn>
    <tableColumn id="3" name="Spread" dataDxfId="64" dataCellStyle="Comma 4"/>
    <tableColumn id="4" name="Net Interest Rate" dataDxfId="63" dataCellStyle="Percent">
      <calculatedColumnFormula>(F14+G14)%</calculatedColumnFormula>
    </tableColumn>
    <tableColumn id="5" name="Pmt" dataDxfId="62">
      <calculatedColumnFormula>J14+K14</calculatedColumnFormula>
    </tableColumn>
    <tableColumn id="6" name="Int" dataDxfId="61">
      <calculatedColumnFormula>IF(L13*H14&lt;0,0,L13*H14)</calculatedColumnFormula>
    </tableColumn>
    <tableColumn id="7" name="Principal Repayment" dataDxfId="60">
      <calculatedColumnFormula>IF(L13&lt;=0,0,$K$14)</calculatedColumnFormula>
    </tableColumn>
    <tableColumn id="8" name="Outstanding Principal" dataDxfId="59">
      <calculatedColumnFormula>L13-K14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Table4" displayName="Table4" ref="E34:L43" totalsRowShown="0" headerRowDxfId="58" dataDxfId="57" tableBorderDxfId="56">
  <autoFilter ref="E34:L43"/>
  <tableColumns count="8">
    <tableColumn id="1" name="Period" dataDxfId="55"/>
    <tableColumn id="2" name="Kibor Rates" dataDxfId="54">
      <calculatedColumnFormula>'[1]Finance schedule'!G73</calculatedColumnFormula>
    </tableColumn>
    <tableColumn id="3" name="Spread" dataDxfId="53"/>
    <tableColumn id="4" name="Net Interest Rate" dataDxfId="52" dataCellStyle="Percent">
      <calculatedColumnFormula>(F35+G35)%</calculatedColumnFormula>
    </tableColumn>
    <tableColumn id="5" name="Pmt" dataDxfId="51"/>
    <tableColumn id="6" name="Int" dataDxfId="50">
      <calculatedColumnFormula>IF(L34*H35&lt;0,0,L34*H35)</calculatedColumnFormula>
    </tableColumn>
    <tableColumn id="7" name="Principal Repayment" dataDxfId="49">
      <calculatedColumnFormula>IF(L34&lt;=0,0,$K$35)</calculatedColumnFormula>
    </tableColumn>
    <tableColumn id="8" name="Outstanding Principal" dataDxfId="48">
      <calculatedColumnFormula>L34-K35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7" name="Table2" displayName="Table2" ref="E83:L112" totalsRowShown="0" headerRowDxfId="47" dataDxfId="46" tableBorderDxfId="45">
  <autoFilter ref="E83:L112"/>
  <tableColumns count="8">
    <tableColumn id="1" name="Period" dataDxfId="44"/>
    <tableColumn id="2" name="Kibor Rates" dataDxfId="43">
      <calculatedColumnFormula>'[1]Finance schedule'!C93</calculatedColumnFormula>
    </tableColumn>
    <tableColumn id="3" name="Spread" dataDxfId="42" dataCellStyle="Comma 2"/>
    <tableColumn id="4" name="Net Interest Rate" dataDxfId="41" dataCellStyle="Percent">
      <calculatedColumnFormula>(F84+G84)%</calculatedColumnFormula>
    </tableColumn>
    <tableColumn id="5" name="Pmt" dataDxfId="40">
      <calculatedColumnFormula>J84+K84</calculatedColumnFormula>
    </tableColumn>
    <tableColumn id="6" name="Int" dataDxfId="39">
      <calculatedColumnFormula>IF(L83*H84&lt;0,0,L83*H84)</calculatedColumnFormula>
    </tableColumn>
    <tableColumn id="7" name="Principal Repayment" dataDxfId="38">
      <calculatedColumnFormula>IF(L83&lt;=0,0,$K$84)</calculatedColumnFormula>
    </tableColumn>
    <tableColumn id="8" name="Outstanding Principal" dataDxfId="37">
      <calculatedColumnFormula>L83-K84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8" name="Table6" displayName="Table6" ref="E115:L130" totalsRowShown="0" headerRowDxfId="36" dataDxfId="35" tableBorderDxfId="34">
  <autoFilter ref="E115:L130"/>
  <tableColumns count="8">
    <tableColumn id="1" name="Period" dataDxfId="33"/>
    <tableColumn id="2" name="Kibor Rates" dataDxfId="32">
      <calculatedColumnFormula>'[1]Finance schedule'!G73</calculatedColumnFormula>
    </tableColumn>
    <tableColumn id="3" name="Spread" dataDxfId="31"/>
    <tableColumn id="4" name="Net Interest Rate" dataDxfId="30" dataCellStyle="Percent">
      <calculatedColumnFormula>(F116+G116)%</calculatedColumnFormula>
    </tableColumn>
    <tableColumn id="5" name="Pmt" dataDxfId="29"/>
    <tableColumn id="6" name="Int" dataDxfId="28">
      <calculatedColumnFormula>IF(L115*H116&lt;0,0,L115*H116)</calculatedColumnFormula>
    </tableColumn>
    <tableColumn id="7" name="Principal Repayment" dataDxfId="27">
      <calculatedColumnFormula>IF(L115&lt;=0,0,$K$116)</calculatedColumnFormula>
    </tableColumn>
    <tableColumn id="8" name="Outstanding Principal" dataDxfId="26">
      <calculatedColumnFormula>L115-K116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9" name="Table3" displayName="Table3" ref="B13:I23" totalsRowShown="0" headerRowDxfId="25" dataDxfId="23" headerRowBorderDxfId="24" tableBorderDxfId="22" totalsRowBorderDxfId="21">
  <autoFilter ref="B13:I23"/>
  <tableColumns count="8">
    <tableColumn id="1" name="Period" dataDxfId="20"/>
    <tableColumn id="2" name=" " dataDxfId="19"/>
    <tableColumn id="3" name="2015" dataDxfId="18"/>
    <tableColumn id="4" name="2016" dataDxfId="17"/>
    <tableColumn id="5" name="2017" dataDxfId="16"/>
    <tableColumn id="6" name="2018" dataDxfId="15"/>
    <tableColumn id="7" name="2019" dataDxfId="14"/>
    <tableColumn id="8" name="2020" dataDxfId="13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10" name="Table5" displayName="Table5" ref="B34:I40" totalsRowShown="0" headerRowDxfId="12" dataDxfId="10" headerRowBorderDxfId="11" tableBorderDxfId="9" totalsRowBorderDxfId="8">
  <autoFilter ref="B34:I40"/>
  <tableColumns count="8">
    <tableColumn id="1" name="Period" dataDxfId="7"/>
    <tableColumn id="2" name=" " dataDxfId="6"/>
    <tableColumn id="3" name="2015" dataDxfId="5"/>
    <tableColumn id="4" name="2016" dataDxfId="4"/>
    <tableColumn id="5" name="2017" dataDxfId="3"/>
    <tableColumn id="6" name="2018" dataDxfId="2"/>
    <tableColumn id="7" name="2019" dataDxfId="1"/>
    <tableColumn id="8" name="2020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J15"/>
  <sheetViews>
    <sheetView workbookViewId="0">
      <selection activeCell="M14" sqref="M14"/>
    </sheetView>
  </sheetViews>
  <sheetFormatPr defaultRowHeight="14.4" x14ac:dyDescent="0.3"/>
  <cols>
    <col min="1" max="7" width="8.88671875" style="206"/>
    <col min="8" max="8" width="10.5546875" style="206" bestFit="1" customWidth="1"/>
    <col min="9" max="9" width="22.5546875" style="206" bestFit="1" customWidth="1"/>
    <col min="10" max="10" width="23.5546875" style="206" bestFit="1" customWidth="1"/>
    <col min="11" max="16384" width="8.88671875" style="206"/>
  </cols>
  <sheetData>
    <row r="11" spans="8:10" ht="15" thickBot="1" x14ac:dyDescent="0.35"/>
    <row r="12" spans="8:10" ht="21" x14ac:dyDescent="0.3">
      <c r="H12" s="207" t="s">
        <v>569</v>
      </c>
      <c r="I12" s="207" t="s">
        <v>574</v>
      </c>
      <c r="J12" s="210" t="s">
        <v>570</v>
      </c>
    </row>
    <row r="13" spans="8:10" ht="21" x14ac:dyDescent="0.3">
      <c r="H13" s="208" t="s">
        <v>571</v>
      </c>
      <c r="I13" s="208" t="s">
        <v>572</v>
      </c>
      <c r="J13" s="211"/>
    </row>
    <row r="14" spans="8:10" ht="21" x14ac:dyDescent="0.3">
      <c r="H14" s="208" t="s">
        <v>2</v>
      </c>
      <c r="I14" s="208">
        <v>50351</v>
      </c>
      <c r="J14" s="211"/>
    </row>
    <row r="15" spans="8:10" ht="21.6" thickBot="1" x14ac:dyDescent="0.35">
      <c r="H15" s="209" t="s">
        <v>573</v>
      </c>
      <c r="I15" s="209">
        <v>17180</v>
      </c>
      <c r="J15" s="212"/>
    </row>
  </sheetData>
  <mergeCells count="1">
    <mergeCell ref="J12:J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2"/>
  <sheetViews>
    <sheetView topLeftCell="A43" workbookViewId="0">
      <selection activeCell="G67" sqref="G67"/>
    </sheetView>
  </sheetViews>
  <sheetFormatPr defaultRowHeight="14.4" x14ac:dyDescent="0.3"/>
  <cols>
    <col min="1" max="1" width="17.88671875" style="7" customWidth="1"/>
    <col min="2" max="2" width="41.33203125" style="7" customWidth="1"/>
    <col min="3" max="3" width="11.33203125" style="7" customWidth="1"/>
    <col min="4" max="9" width="16.88671875" style="7" bestFit="1" customWidth="1"/>
    <col min="10" max="10" width="11.33203125" style="7" customWidth="1"/>
    <col min="11" max="11" width="25.33203125" style="7" customWidth="1"/>
    <col min="12" max="12" width="14.33203125" style="7" customWidth="1"/>
    <col min="13" max="13" width="13.88671875" style="7" customWidth="1"/>
    <col min="14" max="16" width="14.33203125" style="7" bestFit="1" customWidth="1"/>
    <col min="17" max="17" width="13.5546875" style="7" bestFit="1" customWidth="1"/>
    <col min="18" max="19" width="12.88671875" style="7" bestFit="1" customWidth="1"/>
    <col min="20" max="20" width="12.6640625" style="7" bestFit="1" customWidth="1"/>
    <col min="21" max="24" width="9.33203125" style="7" bestFit="1" customWidth="1"/>
    <col min="25" max="16384" width="8.88671875" style="7"/>
  </cols>
  <sheetData>
    <row r="2" spans="1:21" x14ac:dyDescent="0.3">
      <c r="A2" s="143" t="s">
        <v>538</v>
      </c>
    </row>
    <row r="3" spans="1:21" x14ac:dyDescent="0.3">
      <c r="A3" s="175" t="s">
        <v>539</v>
      </c>
      <c r="B3" s="176">
        <v>8014897714</v>
      </c>
    </row>
    <row r="4" spans="1:21" x14ac:dyDescent="0.3">
      <c r="A4" s="175" t="s">
        <v>540</v>
      </c>
      <c r="B4" s="175">
        <v>6</v>
      </c>
    </row>
    <row r="5" spans="1:21" x14ac:dyDescent="0.3">
      <c r="A5" s="175" t="s">
        <v>541</v>
      </c>
      <c r="B5" s="175">
        <v>1</v>
      </c>
    </row>
    <row r="6" spans="1:21" x14ac:dyDescent="0.3">
      <c r="A6" s="175" t="s">
        <v>542</v>
      </c>
      <c r="B6" s="177" t="s">
        <v>543</v>
      </c>
    </row>
    <row r="7" spans="1:21" x14ac:dyDescent="0.3">
      <c r="A7" s="175" t="s">
        <v>544</v>
      </c>
      <c r="B7" s="177">
        <v>0.1</v>
      </c>
    </row>
    <row r="8" spans="1:21" x14ac:dyDescent="0.3">
      <c r="A8" s="175" t="s">
        <v>545</v>
      </c>
      <c r="B8" s="178" t="s">
        <v>546</v>
      </c>
      <c r="P8" s="144"/>
    </row>
    <row r="9" spans="1:21" x14ac:dyDescent="0.3">
      <c r="A9" s="175" t="s">
        <v>547</v>
      </c>
      <c r="B9" s="178" t="s">
        <v>548</v>
      </c>
    </row>
    <row r="10" spans="1:21" x14ac:dyDescent="0.3">
      <c r="A10" s="175" t="s">
        <v>549</v>
      </c>
      <c r="B10" s="179">
        <v>0.7</v>
      </c>
    </row>
    <row r="11" spans="1:21" x14ac:dyDescent="0.3">
      <c r="A11" s="175" t="s">
        <v>550</v>
      </c>
      <c r="B11" s="179">
        <v>0</v>
      </c>
    </row>
    <row r="13" spans="1:21" x14ac:dyDescent="0.3">
      <c r="B13" s="180" t="s">
        <v>279</v>
      </c>
      <c r="C13" s="181" t="s">
        <v>551</v>
      </c>
      <c r="D13" s="181" t="s">
        <v>552</v>
      </c>
      <c r="E13" s="181" t="s">
        <v>553</v>
      </c>
      <c r="F13" s="181" t="s">
        <v>554</v>
      </c>
      <c r="G13" s="181" t="s">
        <v>555</v>
      </c>
      <c r="H13" s="181" t="s">
        <v>556</v>
      </c>
      <c r="I13" s="182" t="s">
        <v>557</v>
      </c>
      <c r="J13" s="29"/>
      <c r="K13" s="29"/>
      <c r="L13" s="29"/>
      <c r="M13" s="29"/>
    </row>
    <row r="14" spans="1:21" x14ac:dyDescent="0.3">
      <c r="B14" s="183" t="s">
        <v>558</v>
      </c>
      <c r="C14" s="184"/>
      <c r="D14" s="185">
        <f t="shared" ref="D14:I14" si="0">$B$3</f>
        <v>8014897714</v>
      </c>
      <c r="E14" s="185">
        <f t="shared" si="0"/>
        <v>8014897714</v>
      </c>
      <c r="F14" s="185">
        <f t="shared" si="0"/>
        <v>8014897714</v>
      </c>
      <c r="G14" s="185">
        <f t="shared" si="0"/>
        <v>8014897714</v>
      </c>
      <c r="H14" s="185">
        <f t="shared" si="0"/>
        <v>8014897714</v>
      </c>
      <c r="I14" s="186">
        <f t="shared" si="0"/>
        <v>8014897714</v>
      </c>
      <c r="J14" s="8"/>
      <c r="K14" s="8"/>
      <c r="L14" s="8"/>
      <c r="M14" s="8"/>
    </row>
    <row r="15" spans="1:21" x14ac:dyDescent="0.3">
      <c r="B15" s="183" t="s">
        <v>559</v>
      </c>
      <c r="C15" s="184"/>
      <c r="D15" s="185">
        <f>B3*B10</f>
        <v>5610428399.7999992</v>
      </c>
      <c r="E15" s="184">
        <f>D20</f>
        <v>4675356999.833333</v>
      </c>
      <c r="F15" s="184">
        <f>E20</f>
        <v>3740285599.8666663</v>
      </c>
      <c r="G15" s="184">
        <f>F20</f>
        <v>2805214199.8999996</v>
      </c>
      <c r="H15" s="184">
        <f>G20</f>
        <v>1870142799.9333329</v>
      </c>
      <c r="I15" s="187">
        <f>H20</f>
        <v>935071399.96666634</v>
      </c>
      <c r="J15" s="8"/>
      <c r="K15" s="8"/>
      <c r="L15" s="8"/>
      <c r="M15" s="8"/>
      <c r="P15" s="144"/>
      <c r="Q15" s="144"/>
      <c r="R15" s="144"/>
      <c r="S15" s="144"/>
      <c r="T15" s="144"/>
      <c r="U15" s="144"/>
    </row>
    <row r="16" spans="1:21" x14ac:dyDescent="0.3">
      <c r="B16" s="183" t="s">
        <v>560</v>
      </c>
      <c r="C16" s="184"/>
      <c r="D16" s="185">
        <f>D14-D15</f>
        <v>2404469314.2000008</v>
      </c>
      <c r="E16" s="185">
        <f>D16+D18</f>
        <v>3339540714.1666675</v>
      </c>
      <c r="F16" s="185">
        <f>E16+E18</f>
        <v>4274612114.1333342</v>
      </c>
      <c r="G16" s="185">
        <f>F16+F18</f>
        <v>5209683514.1000004</v>
      </c>
      <c r="H16" s="185">
        <f>G16+G18</f>
        <v>6144754914.0666666</v>
      </c>
      <c r="I16" s="186">
        <f>H16+H18</f>
        <v>7079826314.0333328</v>
      </c>
      <c r="J16" s="8"/>
      <c r="K16" s="8"/>
      <c r="L16" s="8"/>
      <c r="M16" s="8"/>
    </row>
    <row r="17" spans="1:24" x14ac:dyDescent="0.3">
      <c r="B17" s="183" t="s">
        <v>561</v>
      </c>
      <c r="C17" s="184"/>
      <c r="D17" s="185">
        <f t="shared" ref="D17:I17" si="1">D15*$B$7</f>
        <v>561042839.9799999</v>
      </c>
      <c r="E17" s="185">
        <f t="shared" si="1"/>
        <v>467535699.98333335</v>
      </c>
      <c r="F17" s="185">
        <f t="shared" si="1"/>
        <v>374028559.98666668</v>
      </c>
      <c r="G17" s="185">
        <f t="shared" si="1"/>
        <v>280521419.98999995</v>
      </c>
      <c r="H17" s="185">
        <f t="shared" si="1"/>
        <v>187014279.99333331</v>
      </c>
      <c r="I17" s="186">
        <f t="shared" si="1"/>
        <v>93507139.99666664</v>
      </c>
      <c r="J17" s="8"/>
      <c r="K17" s="8"/>
      <c r="L17" s="8"/>
      <c r="M17" s="8"/>
    </row>
    <row r="18" spans="1:24" x14ac:dyDescent="0.3">
      <c r="B18" s="183" t="s">
        <v>562</v>
      </c>
      <c r="C18" s="184"/>
      <c r="D18" s="185">
        <f t="shared" ref="D18:I18" si="2">$D$15/$B$4</f>
        <v>935071399.96666658</v>
      </c>
      <c r="E18" s="185">
        <f t="shared" si="2"/>
        <v>935071399.96666658</v>
      </c>
      <c r="F18" s="185">
        <f t="shared" si="2"/>
        <v>935071399.96666658</v>
      </c>
      <c r="G18" s="185">
        <f t="shared" si="2"/>
        <v>935071399.96666658</v>
      </c>
      <c r="H18" s="185">
        <f t="shared" si="2"/>
        <v>935071399.96666658</v>
      </c>
      <c r="I18" s="186">
        <f t="shared" si="2"/>
        <v>935071399.96666658</v>
      </c>
      <c r="J18" s="8"/>
      <c r="K18" s="8"/>
      <c r="L18" s="8"/>
      <c r="M18" s="8"/>
      <c r="O18" s="144"/>
      <c r="P18" s="144"/>
      <c r="Q18" s="144"/>
      <c r="R18" s="144"/>
      <c r="S18" s="144"/>
      <c r="T18" s="144"/>
      <c r="U18" s="144"/>
      <c r="V18" s="144"/>
    </row>
    <row r="19" spans="1:24" x14ac:dyDescent="0.3">
      <c r="B19" s="183" t="s">
        <v>563</v>
      </c>
      <c r="C19" s="184"/>
      <c r="D19" s="185">
        <f t="shared" ref="D19:I19" si="3">D18+D17</f>
        <v>1496114239.9466665</v>
      </c>
      <c r="E19" s="185">
        <f t="shared" si="3"/>
        <v>1402607099.9499998</v>
      </c>
      <c r="F19" s="185">
        <f t="shared" si="3"/>
        <v>1309099959.9533334</v>
      </c>
      <c r="G19" s="185">
        <f t="shared" si="3"/>
        <v>1215592819.9566665</v>
      </c>
      <c r="H19" s="185">
        <f t="shared" si="3"/>
        <v>1122085679.9599998</v>
      </c>
      <c r="I19" s="186">
        <f t="shared" si="3"/>
        <v>1028578539.9633332</v>
      </c>
      <c r="J19" s="8"/>
      <c r="K19" s="8"/>
      <c r="L19" s="8"/>
      <c r="M19" s="8"/>
    </row>
    <row r="20" spans="1:24" x14ac:dyDescent="0.3">
      <c r="B20" s="183" t="s">
        <v>564</v>
      </c>
      <c r="C20" s="184"/>
      <c r="D20" s="185">
        <f t="shared" ref="D20:I20" si="4">D15-D18</f>
        <v>4675356999.833333</v>
      </c>
      <c r="E20" s="185">
        <f t="shared" si="4"/>
        <v>3740285599.8666663</v>
      </c>
      <c r="F20" s="185">
        <f t="shared" si="4"/>
        <v>2805214199.8999996</v>
      </c>
      <c r="G20" s="185">
        <f t="shared" si="4"/>
        <v>1870142799.9333329</v>
      </c>
      <c r="H20" s="185">
        <f t="shared" si="4"/>
        <v>935071399.96666634</v>
      </c>
      <c r="I20" s="186">
        <f t="shared" si="4"/>
        <v>0</v>
      </c>
      <c r="J20" s="8"/>
      <c r="K20" s="8"/>
      <c r="L20" s="8"/>
      <c r="M20" s="8"/>
      <c r="O20" s="144"/>
      <c r="P20" s="144"/>
      <c r="Q20" s="144"/>
      <c r="R20" s="144"/>
      <c r="S20" s="144"/>
      <c r="T20" s="144"/>
      <c r="U20" s="144"/>
      <c r="V20" s="144"/>
      <c r="W20" s="144"/>
      <c r="X20" s="144"/>
    </row>
    <row r="21" spans="1:24" x14ac:dyDescent="0.3">
      <c r="B21" s="183"/>
      <c r="C21" s="184"/>
      <c r="D21" s="184"/>
      <c r="E21" s="184"/>
      <c r="F21" s="184"/>
      <c r="G21" s="184"/>
      <c r="H21" s="184"/>
      <c r="I21" s="187"/>
      <c r="J21" s="8"/>
      <c r="K21" s="8"/>
      <c r="L21" s="8"/>
      <c r="M21" s="8"/>
      <c r="P21" s="144"/>
      <c r="Q21" s="144"/>
      <c r="R21" s="144"/>
      <c r="S21" s="144"/>
      <c r="T21" s="144"/>
      <c r="U21" s="144"/>
      <c r="V21" s="144"/>
    </row>
    <row r="22" spans="1:24" x14ac:dyDescent="0.3">
      <c r="B22" s="183" t="s">
        <v>310</v>
      </c>
      <c r="C22" s="184"/>
      <c r="D22" s="188">
        <f>D15/D14</f>
        <v>0.7</v>
      </c>
      <c r="E22" s="188">
        <f>E15/E14</f>
        <v>0.58333333333333326</v>
      </c>
      <c r="F22" s="188">
        <f>F15/F14</f>
        <v>0.46666666666666662</v>
      </c>
      <c r="G22" s="188">
        <f>G15/G14</f>
        <v>0.35</v>
      </c>
      <c r="H22" s="188">
        <f>H15/H14</f>
        <v>0.23333333333333328</v>
      </c>
      <c r="I22" s="187"/>
      <c r="J22" s="8"/>
      <c r="K22" s="8"/>
      <c r="L22" s="8"/>
      <c r="M22" s="8"/>
      <c r="O22" s="144"/>
    </row>
    <row r="23" spans="1:24" x14ac:dyDescent="0.3">
      <c r="B23" s="189" t="s">
        <v>565</v>
      </c>
      <c r="C23" s="190"/>
      <c r="D23" s="191">
        <f>D16/D14</f>
        <v>0.3000000000000001</v>
      </c>
      <c r="E23" s="191">
        <f>E16/E14</f>
        <v>0.41666666666666674</v>
      </c>
      <c r="F23" s="191">
        <f>F16/F14</f>
        <v>0.53333333333333344</v>
      </c>
      <c r="G23" s="191">
        <f>G16/G14</f>
        <v>0.65</v>
      </c>
      <c r="H23" s="191">
        <f>H16/H14</f>
        <v>0.76666666666666661</v>
      </c>
      <c r="I23" s="192"/>
      <c r="J23" s="8"/>
      <c r="K23" s="8"/>
      <c r="L23" s="8"/>
      <c r="M23" s="8"/>
    </row>
    <row r="25" spans="1:24" x14ac:dyDescent="0.3">
      <c r="A25" s="143" t="s">
        <v>566</v>
      </c>
    </row>
    <row r="26" spans="1:24" x14ac:dyDescent="0.3">
      <c r="A26" s="175" t="s">
        <v>539</v>
      </c>
      <c r="B26" s="176">
        <v>4000000000</v>
      </c>
    </row>
    <row r="27" spans="1:24" x14ac:dyDescent="0.3">
      <c r="A27" s="175" t="s">
        <v>540</v>
      </c>
      <c r="B27" s="175">
        <v>6</v>
      </c>
      <c r="H27" s="193"/>
    </row>
    <row r="28" spans="1:24" x14ac:dyDescent="0.3">
      <c r="A28" s="175" t="s">
        <v>541</v>
      </c>
      <c r="B28" s="175">
        <v>1</v>
      </c>
      <c r="C28" s="193"/>
    </row>
    <row r="29" spans="1:24" x14ac:dyDescent="0.3">
      <c r="A29" s="175" t="s">
        <v>542</v>
      </c>
      <c r="B29" s="177" t="s">
        <v>567</v>
      </c>
    </row>
    <row r="30" spans="1:24" x14ac:dyDescent="0.3">
      <c r="A30" s="175" t="s">
        <v>544</v>
      </c>
      <c r="B30" s="177">
        <v>0.1</v>
      </c>
    </row>
    <row r="31" spans="1:24" x14ac:dyDescent="0.3">
      <c r="A31" s="175" t="s">
        <v>545</v>
      </c>
      <c r="B31" s="178" t="s">
        <v>546</v>
      </c>
      <c r="H31" s="8"/>
    </row>
    <row r="32" spans="1:24" x14ac:dyDescent="0.3">
      <c r="A32" s="175" t="s">
        <v>547</v>
      </c>
      <c r="B32" s="178" t="s">
        <v>568</v>
      </c>
      <c r="H32" s="8"/>
    </row>
    <row r="33" spans="2:10" x14ac:dyDescent="0.3">
      <c r="H33" s="8"/>
    </row>
    <row r="34" spans="2:10" x14ac:dyDescent="0.3">
      <c r="B34" s="180" t="s">
        <v>279</v>
      </c>
      <c r="C34" s="181" t="s">
        <v>551</v>
      </c>
      <c r="D34" s="181" t="s">
        <v>552</v>
      </c>
      <c r="E34" s="181" t="s">
        <v>553</v>
      </c>
      <c r="F34" s="181" t="s">
        <v>554</v>
      </c>
      <c r="G34" s="181" t="s">
        <v>555</v>
      </c>
      <c r="H34" s="194" t="s">
        <v>556</v>
      </c>
      <c r="I34" s="182" t="s">
        <v>557</v>
      </c>
      <c r="J34" s="8"/>
    </row>
    <row r="35" spans="2:10" x14ac:dyDescent="0.3">
      <c r="B35" s="195" t="s">
        <v>558</v>
      </c>
      <c r="C35" s="5"/>
      <c r="D35" s="196">
        <f t="shared" ref="D35:I35" si="5">$B$26</f>
        <v>4000000000</v>
      </c>
      <c r="E35" s="196">
        <f t="shared" si="5"/>
        <v>4000000000</v>
      </c>
      <c r="F35" s="196">
        <f t="shared" si="5"/>
        <v>4000000000</v>
      </c>
      <c r="G35" s="196">
        <f t="shared" si="5"/>
        <v>4000000000</v>
      </c>
      <c r="H35" s="196">
        <f t="shared" si="5"/>
        <v>4000000000</v>
      </c>
      <c r="I35" s="197">
        <f t="shared" si="5"/>
        <v>4000000000</v>
      </c>
      <c r="J35" s="8"/>
    </row>
    <row r="36" spans="2:10" x14ac:dyDescent="0.3">
      <c r="B36" s="42" t="s">
        <v>559</v>
      </c>
      <c r="C36" s="38"/>
      <c r="D36" s="198">
        <v>4000000000</v>
      </c>
      <c r="E36" s="198">
        <f>D40</f>
        <v>2690113000</v>
      </c>
      <c r="F36" s="198">
        <f>E40</f>
        <v>2975216000</v>
      </c>
      <c r="G36" s="198">
        <f>F40</f>
        <v>4946603000</v>
      </c>
      <c r="H36" s="198">
        <f>G40</f>
        <v>5204939000</v>
      </c>
      <c r="I36" s="199">
        <f>H40</f>
        <v>6000625000</v>
      </c>
      <c r="J36" s="29"/>
    </row>
    <row r="37" spans="2:10" x14ac:dyDescent="0.3">
      <c r="B37" s="42" t="s">
        <v>561</v>
      </c>
      <c r="C37" s="38"/>
      <c r="D37" s="198">
        <f t="shared" ref="D37:I37" si="6">D36*$B$30</f>
        <v>400000000</v>
      </c>
      <c r="E37" s="198">
        <f t="shared" si="6"/>
        <v>269011300</v>
      </c>
      <c r="F37" s="198">
        <f t="shared" si="6"/>
        <v>297521600</v>
      </c>
      <c r="G37" s="198">
        <f t="shared" si="6"/>
        <v>494660300</v>
      </c>
      <c r="H37" s="198">
        <f t="shared" si="6"/>
        <v>520493900</v>
      </c>
      <c r="I37" s="199">
        <f t="shared" si="6"/>
        <v>600062500</v>
      </c>
      <c r="J37" s="29"/>
    </row>
    <row r="38" spans="2:10" x14ac:dyDescent="0.3">
      <c r="B38" s="42" t="s">
        <v>562</v>
      </c>
      <c r="C38" s="38"/>
      <c r="D38" s="198">
        <f t="shared" ref="D38:I38" si="7">$B$26/$B$27</f>
        <v>666666666.66666663</v>
      </c>
      <c r="E38" s="198">
        <f t="shared" si="7"/>
        <v>666666666.66666663</v>
      </c>
      <c r="F38" s="198">
        <f t="shared" si="7"/>
        <v>666666666.66666663</v>
      </c>
      <c r="G38" s="198">
        <f t="shared" si="7"/>
        <v>666666666.66666663</v>
      </c>
      <c r="H38" s="198">
        <f t="shared" si="7"/>
        <v>666666666.66666663</v>
      </c>
      <c r="I38" s="200">
        <f t="shared" si="7"/>
        <v>666666666.66666663</v>
      </c>
      <c r="J38" s="29"/>
    </row>
    <row r="39" spans="2:10" x14ac:dyDescent="0.3">
      <c r="B39" s="195" t="s">
        <v>563</v>
      </c>
      <c r="C39" s="5"/>
      <c r="D39" s="196">
        <f t="shared" ref="D39:I39" si="8">D38+D37</f>
        <v>1066666666.6666666</v>
      </c>
      <c r="E39" s="196">
        <f t="shared" si="8"/>
        <v>935677966.66666663</v>
      </c>
      <c r="F39" s="196">
        <f t="shared" si="8"/>
        <v>964188266.66666663</v>
      </c>
      <c r="G39" s="196">
        <f t="shared" si="8"/>
        <v>1161326966.6666665</v>
      </c>
      <c r="H39" s="196">
        <f t="shared" si="8"/>
        <v>1187160566.6666665</v>
      </c>
      <c r="I39" s="197">
        <f t="shared" si="8"/>
        <v>1266729166.6666665</v>
      </c>
      <c r="J39" s="8"/>
    </row>
    <row r="40" spans="2:10" x14ac:dyDescent="0.3">
      <c r="B40" s="201" t="s">
        <v>564</v>
      </c>
      <c r="C40" s="202"/>
      <c r="D40" s="203">
        <f>'[1]Assumption Sheet'!C161</f>
        <v>2690113000</v>
      </c>
      <c r="E40" s="203">
        <f>'[1]Assumption Sheet'!D161</f>
        <v>2975216000</v>
      </c>
      <c r="F40" s="203">
        <f>'[1]Assumption Sheet'!E161</f>
        <v>4946603000</v>
      </c>
      <c r="G40" s="203">
        <f>'[1]Assumption Sheet'!F161</f>
        <v>5204939000</v>
      </c>
      <c r="H40" s="203">
        <f>'[1]Assumption Sheet'!G161</f>
        <v>6000625000</v>
      </c>
      <c r="I40" s="204">
        <f>'[1]Assumption Sheet'!H161</f>
        <v>0</v>
      </c>
      <c r="J40" s="8"/>
    </row>
    <row r="41" spans="2:10" x14ac:dyDescent="0.3">
      <c r="B41" s="8"/>
      <c r="C41" s="8"/>
      <c r="D41" s="8"/>
      <c r="E41" s="8"/>
      <c r="F41" s="8"/>
      <c r="G41" s="8"/>
      <c r="H41" s="8"/>
      <c r="I41" s="8"/>
      <c r="J41" s="8"/>
    </row>
    <row r="42" spans="2:10" x14ac:dyDescent="0.3">
      <c r="B42" s="8"/>
      <c r="C42" s="8"/>
      <c r="D42" s="8"/>
      <c r="E42" s="8"/>
      <c r="F42" s="8"/>
      <c r="G42" s="8"/>
      <c r="H42" s="8"/>
      <c r="I42" s="8"/>
      <c r="J42" s="8"/>
    </row>
    <row r="43" spans="2:10" x14ac:dyDescent="0.3">
      <c r="B43" s="8"/>
      <c r="C43" s="8"/>
      <c r="D43" s="8"/>
      <c r="E43" s="8"/>
      <c r="F43" s="8"/>
      <c r="G43" s="8"/>
      <c r="H43" s="8"/>
      <c r="I43" s="8"/>
      <c r="J43" s="8"/>
    </row>
    <row r="54" spans="1:7" ht="15" thickBot="1" x14ac:dyDescent="0.35"/>
    <row r="55" spans="1:7" x14ac:dyDescent="0.3">
      <c r="A55" s="84" t="s">
        <v>318</v>
      </c>
      <c r="B55" s="85"/>
      <c r="C55" s="86"/>
      <c r="D55" s="87"/>
      <c r="E55" s="84" t="s">
        <v>319</v>
      </c>
      <c r="F55" s="85" t="s">
        <v>320</v>
      </c>
      <c r="G55" s="86"/>
    </row>
    <row r="56" spans="1:7" x14ac:dyDescent="0.3">
      <c r="A56" s="82"/>
      <c r="B56" s="88"/>
      <c r="C56" s="89"/>
      <c r="D56" s="87"/>
      <c r="E56" s="90">
        <v>42005</v>
      </c>
      <c r="F56" s="88">
        <v>9.61</v>
      </c>
      <c r="G56" s="89">
        <f>AVEDEV(F56:F62)/10</f>
        <v>8.6285714285714285E-2</v>
      </c>
    </row>
    <row r="57" spans="1:7" x14ac:dyDescent="0.3">
      <c r="A57" s="91" t="s">
        <v>321</v>
      </c>
      <c r="B57" s="88" t="s">
        <v>320</v>
      </c>
      <c r="C57" s="89"/>
      <c r="D57" s="87"/>
      <c r="E57" s="90">
        <v>42186</v>
      </c>
      <c r="F57" s="88">
        <v>7.05</v>
      </c>
      <c r="G57" s="89"/>
    </row>
    <row r="58" spans="1:7" x14ac:dyDescent="0.3">
      <c r="A58" s="90">
        <v>42005</v>
      </c>
      <c r="B58" s="88">
        <v>9.57</v>
      </c>
      <c r="C58" s="89">
        <f>AVEDEV(B58:B77)/20</f>
        <v>9.5855000000000037E-2</v>
      </c>
      <c r="D58" s="87"/>
      <c r="E58" s="90">
        <v>42370</v>
      </c>
      <c r="F58" s="88">
        <v>6.51</v>
      </c>
      <c r="G58" s="89"/>
    </row>
    <row r="59" spans="1:7" x14ac:dyDescent="0.3">
      <c r="A59" s="90">
        <v>42095</v>
      </c>
      <c r="B59" s="88">
        <v>8</v>
      </c>
      <c r="C59" s="89"/>
      <c r="D59" s="92"/>
      <c r="E59" s="90">
        <v>42552</v>
      </c>
      <c r="F59" s="88">
        <v>6.06</v>
      </c>
      <c r="G59" s="89"/>
    </row>
    <row r="60" spans="1:7" x14ac:dyDescent="0.3">
      <c r="A60" s="90">
        <v>42186</v>
      </c>
      <c r="B60" s="88">
        <v>7.01</v>
      </c>
      <c r="C60" s="89"/>
      <c r="D60" s="92"/>
      <c r="E60" s="90">
        <v>42736</v>
      </c>
      <c r="F60" s="88">
        <v>6.15</v>
      </c>
      <c r="G60" s="89"/>
    </row>
    <row r="61" spans="1:7" x14ac:dyDescent="0.3">
      <c r="A61" s="90">
        <v>42278</v>
      </c>
      <c r="B61" s="88">
        <v>6.6</v>
      </c>
      <c r="C61" s="89"/>
      <c r="D61" s="92"/>
      <c r="E61" s="90">
        <v>42917</v>
      </c>
      <c r="F61" s="88">
        <v>6.15</v>
      </c>
      <c r="G61" s="89"/>
    </row>
    <row r="62" spans="1:7" x14ac:dyDescent="0.3">
      <c r="A62" s="90">
        <v>42370</v>
      </c>
      <c r="B62" s="88">
        <v>6.49</v>
      </c>
      <c r="C62" s="89"/>
      <c r="D62" s="92"/>
      <c r="E62" s="90">
        <v>43101</v>
      </c>
      <c r="F62" s="88">
        <v>6.21</v>
      </c>
      <c r="G62" s="89"/>
    </row>
    <row r="63" spans="1:7" x14ac:dyDescent="0.3">
      <c r="A63" s="90">
        <v>42461</v>
      </c>
      <c r="B63" s="88">
        <v>6.35</v>
      </c>
      <c r="C63" s="89"/>
      <c r="D63" s="92"/>
      <c r="E63" s="90">
        <v>43282</v>
      </c>
      <c r="F63" s="88">
        <v>7.04</v>
      </c>
      <c r="G63" s="89"/>
    </row>
    <row r="64" spans="1:7" x14ac:dyDescent="0.3">
      <c r="A64" s="90">
        <v>42552</v>
      </c>
      <c r="B64" s="88">
        <v>6.05</v>
      </c>
      <c r="C64" s="89"/>
      <c r="D64" s="92"/>
      <c r="E64" s="90">
        <v>43466</v>
      </c>
      <c r="F64" s="88">
        <v>10.55</v>
      </c>
      <c r="G64" s="89"/>
    </row>
    <row r="65" spans="1:7" x14ac:dyDescent="0.3">
      <c r="A65" s="90">
        <v>42644</v>
      </c>
      <c r="B65" s="88">
        <v>6.04</v>
      </c>
      <c r="C65" s="89"/>
      <c r="D65" s="92"/>
      <c r="E65" s="90">
        <v>43647</v>
      </c>
      <c r="F65" s="88">
        <v>12.72</v>
      </c>
      <c r="G65" s="89"/>
    </row>
    <row r="66" spans="1:7" x14ac:dyDescent="0.3">
      <c r="A66" s="90">
        <v>42736</v>
      </c>
      <c r="B66" s="88">
        <v>6.12</v>
      </c>
      <c r="C66" s="89"/>
      <c r="D66" s="92"/>
      <c r="E66" s="90">
        <v>43831</v>
      </c>
      <c r="F66" s="88"/>
      <c r="G66" s="89">
        <f>F65+$G$56</f>
        <v>12.806285714285714</v>
      </c>
    </row>
    <row r="67" spans="1:7" x14ac:dyDescent="0.3">
      <c r="A67" s="90">
        <v>42826</v>
      </c>
      <c r="B67" s="88">
        <v>6.11</v>
      </c>
      <c r="C67" s="89"/>
      <c r="D67" s="92"/>
      <c r="E67" s="90">
        <v>44013</v>
      </c>
      <c r="F67" s="88"/>
      <c r="G67" s="89">
        <f t="shared" ref="G67:G88" si="9">G66+$G$56</f>
        <v>12.892571428571427</v>
      </c>
    </row>
    <row r="68" spans="1:7" x14ac:dyDescent="0.3">
      <c r="A68" s="90">
        <v>42917</v>
      </c>
      <c r="B68" s="88">
        <v>6.14</v>
      </c>
      <c r="C68" s="89"/>
      <c r="D68" s="92"/>
      <c r="E68" s="90">
        <v>44197</v>
      </c>
      <c r="F68" s="88"/>
      <c r="G68" s="89">
        <f t="shared" si="9"/>
        <v>12.978857142857141</v>
      </c>
    </row>
    <row r="69" spans="1:7" x14ac:dyDescent="0.3">
      <c r="A69" s="90">
        <v>43009</v>
      </c>
      <c r="B69" s="88">
        <v>6.15</v>
      </c>
      <c r="C69" s="89"/>
      <c r="D69" s="92"/>
      <c r="E69" s="90">
        <v>44378</v>
      </c>
      <c r="F69" s="88"/>
      <c r="G69" s="89">
        <f t="shared" si="9"/>
        <v>13.065142857142854</v>
      </c>
    </row>
    <row r="70" spans="1:7" x14ac:dyDescent="0.3">
      <c r="A70" s="90">
        <v>43101</v>
      </c>
      <c r="B70" s="88">
        <v>6.16</v>
      </c>
      <c r="C70" s="89"/>
      <c r="D70" s="92"/>
      <c r="E70" s="90">
        <v>44562</v>
      </c>
      <c r="F70" s="88"/>
      <c r="G70" s="89">
        <f t="shared" si="9"/>
        <v>13.151428571428568</v>
      </c>
    </row>
    <row r="71" spans="1:7" x14ac:dyDescent="0.3">
      <c r="A71" s="90">
        <v>43191</v>
      </c>
      <c r="B71" s="88">
        <v>6.43</v>
      </c>
      <c r="C71" s="89"/>
      <c r="D71" s="92"/>
      <c r="E71" s="90">
        <v>44743</v>
      </c>
      <c r="F71" s="88"/>
      <c r="G71" s="89">
        <f t="shared" si="9"/>
        <v>13.237714285714281</v>
      </c>
    </row>
    <row r="72" spans="1:7" x14ac:dyDescent="0.3">
      <c r="A72" s="90">
        <v>43282</v>
      </c>
      <c r="B72" s="88">
        <v>6.93</v>
      </c>
      <c r="C72" s="89"/>
      <c r="D72" s="92"/>
      <c r="E72" s="90">
        <v>44927</v>
      </c>
      <c r="F72" s="88"/>
      <c r="G72" s="89">
        <f t="shared" si="9"/>
        <v>13.323999999999995</v>
      </c>
    </row>
    <row r="73" spans="1:7" x14ac:dyDescent="0.3">
      <c r="A73" s="90">
        <v>43374</v>
      </c>
      <c r="B73" s="88">
        <v>8.8800000000000008</v>
      </c>
      <c r="C73" s="89"/>
      <c r="D73" s="92"/>
      <c r="E73" s="90">
        <v>45108</v>
      </c>
      <c r="F73" s="8"/>
      <c r="G73" s="89">
        <f t="shared" si="9"/>
        <v>13.410285714285708</v>
      </c>
    </row>
    <row r="74" spans="1:7" x14ac:dyDescent="0.3">
      <c r="A74" s="90">
        <v>43466</v>
      </c>
      <c r="B74" s="88">
        <v>10.3</v>
      </c>
      <c r="C74" s="89"/>
      <c r="D74" s="92"/>
      <c r="E74" s="90">
        <v>45292</v>
      </c>
      <c r="F74" s="8"/>
      <c r="G74" s="89">
        <f t="shared" si="9"/>
        <v>13.496571428571421</v>
      </c>
    </row>
    <row r="75" spans="1:7" x14ac:dyDescent="0.3">
      <c r="A75" s="90">
        <v>43556</v>
      </c>
      <c r="B75" s="88">
        <v>10.88</v>
      </c>
      <c r="C75" s="89"/>
      <c r="D75" s="92"/>
      <c r="E75" s="90">
        <v>45474</v>
      </c>
      <c r="F75" s="8"/>
      <c r="G75" s="89">
        <f t="shared" si="9"/>
        <v>13.582857142857135</v>
      </c>
    </row>
    <row r="76" spans="1:7" x14ac:dyDescent="0.3">
      <c r="A76" s="90">
        <v>43647</v>
      </c>
      <c r="B76" s="88">
        <v>12.72</v>
      </c>
      <c r="C76" s="89"/>
      <c r="D76" s="92"/>
      <c r="E76" s="90">
        <v>45658</v>
      </c>
      <c r="F76" s="8"/>
      <c r="G76" s="89">
        <f t="shared" si="9"/>
        <v>13.669142857142848</v>
      </c>
    </row>
    <row r="77" spans="1:7" x14ac:dyDescent="0.3">
      <c r="A77" s="90">
        <v>43739</v>
      </c>
      <c r="B77" s="88">
        <v>13.61</v>
      </c>
      <c r="C77" s="89"/>
      <c r="D77" s="92"/>
      <c r="E77" s="90">
        <v>45839</v>
      </c>
      <c r="F77" s="8"/>
      <c r="G77" s="89">
        <f t="shared" si="9"/>
        <v>13.755428571428562</v>
      </c>
    </row>
    <row r="78" spans="1:7" x14ac:dyDescent="0.3">
      <c r="A78" s="90">
        <v>43831</v>
      </c>
      <c r="B78" s="88"/>
      <c r="C78" s="89">
        <f>B77+$C$58</f>
        <v>13.705855</v>
      </c>
      <c r="D78" s="92"/>
      <c r="E78" s="90">
        <v>46023</v>
      </c>
      <c r="F78" s="8"/>
      <c r="G78" s="89">
        <f t="shared" si="9"/>
        <v>13.841714285714275</v>
      </c>
    </row>
    <row r="79" spans="1:7" x14ac:dyDescent="0.3">
      <c r="A79" s="90">
        <v>43922</v>
      </c>
      <c r="B79" s="88"/>
      <c r="C79" s="89">
        <f t="shared" ref="C79:C121" si="10">C78+$C$58</f>
        <v>13.80171</v>
      </c>
      <c r="D79" s="92"/>
      <c r="E79" s="90">
        <v>46204</v>
      </c>
      <c r="F79" s="8"/>
      <c r="G79" s="89">
        <f t="shared" si="9"/>
        <v>13.927999999999988</v>
      </c>
    </row>
    <row r="80" spans="1:7" x14ac:dyDescent="0.3">
      <c r="A80" s="90">
        <v>44013</v>
      </c>
      <c r="B80" s="88"/>
      <c r="C80" s="89">
        <f t="shared" si="10"/>
        <v>13.897565</v>
      </c>
      <c r="D80" s="92"/>
      <c r="E80" s="90">
        <v>46388</v>
      </c>
      <c r="F80" s="8"/>
      <c r="G80" s="89">
        <f t="shared" si="9"/>
        <v>14.014285714285702</v>
      </c>
    </row>
    <row r="81" spans="1:7" x14ac:dyDescent="0.3">
      <c r="A81" s="90">
        <v>44105</v>
      </c>
      <c r="B81" s="88"/>
      <c r="C81" s="89">
        <f t="shared" si="10"/>
        <v>13.99342</v>
      </c>
      <c r="D81" s="92"/>
      <c r="E81" s="90">
        <v>46569</v>
      </c>
      <c r="F81" s="8"/>
      <c r="G81" s="89">
        <f t="shared" si="9"/>
        <v>14.100571428571415</v>
      </c>
    </row>
    <row r="82" spans="1:7" x14ac:dyDescent="0.3">
      <c r="A82" s="90">
        <v>44197</v>
      </c>
      <c r="B82" s="88"/>
      <c r="C82" s="89">
        <f t="shared" si="10"/>
        <v>14.089275000000001</v>
      </c>
      <c r="D82" s="92"/>
      <c r="E82" s="90">
        <v>46753</v>
      </c>
      <c r="F82" s="8"/>
      <c r="G82" s="89">
        <f t="shared" si="9"/>
        <v>14.186857142857129</v>
      </c>
    </row>
    <row r="83" spans="1:7" x14ac:dyDescent="0.3">
      <c r="A83" s="90">
        <v>44287</v>
      </c>
      <c r="B83" s="88"/>
      <c r="C83" s="89">
        <f t="shared" si="10"/>
        <v>14.185130000000001</v>
      </c>
      <c r="D83" s="92"/>
      <c r="E83" s="90">
        <v>46935</v>
      </c>
      <c r="F83" s="8"/>
      <c r="G83" s="89">
        <f t="shared" si="9"/>
        <v>14.273142857142842</v>
      </c>
    </row>
    <row r="84" spans="1:7" x14ac:dyDescent="0.3">
      <c r="A84" s="90">
        <v>44378</v>
      </c>
      <c r="B84" s="88"/>
      <c r="C84" s="89">
        <f t="shared" si="10"/>
        <v>14.280985000000001</v>
      </c>
      <c r="D84" s="92"/>
      <c r="E84" s="90">
        <v>47119</v>
      </c>
      <c r="F84" s="8"/>
      <c r="G84" s="89">
        <f t="shared" si="9"/>
        <v>14.359428571428555</v>
      </c>
    </row>
    <row r="85" spans="1:7" x14ac:dyDescent="0.3">
      <c r="A85" s="90">
        <v>44470</v>
      </c>
      <c r="B85" s="88"/>
      <c r="C85" s="89">
        <f t="shared" si="10"/>
        <v>14.376840000000001</v>
      </c>
      <c r="D85" s="92"/>
      <c r="E85" s="90">
        <v>47300</v>
      </c>
      <c r="F85" s="8"/>
      <c r="G85" s="89">
        <f t="shared" si="9"/>
        <v>14.445714285714269</v>
      </c>
    </row>
    <row r="86" spans="1:7" x14ac:dyDescent="0.3">
      <c r="A86" s="90">
        <v>44562</v>
      </c>
      <c r="B86" s="88"/>
      <c r="C86" s="89">
        <f t="shared" si="10"/>
        <v>14.472695000000002</v>
      </c>
      <c r="D86" s="92"/>
      <c r="E86" s="90">
        <v>47484</v>
      </c>
      <c r="F86" s="8"/>
      <c r="G86" s="89">
        <f t="shared" si="9"/>
        <v>14.531999999999982</v>
      </c>
    </row>
    <row r="87" spans="1:7" x14ac:dyDescent="0.3">
      <c r="A87" s="90">
        <v>44652</v>
      </c>
      <c r="B87" s="88"/>
      <c r="C87" s="89">
        <f t="shared" si="10"/>
        <v>14.568550000000002</v>
      </c>
      <c r="D87" s="92"/>
      <c r="E87" s="90">
        <v>47665</v>
      </c>
      <c r="F87" s="8"/>
      <c r="G87" s="89">
        <f t="shared" si="9"/>
        <v>14.618285714285696</v>
      </c>
    </row>
    <row r="88" spans="1:7" ht="15" thickBot="1" x14ac:dyDescent="0.35">
      <c r="A88" s="90">
        <v>44743</v>
      </c>
      <c r="B88" s="88"/>
      <c r="C88" s="89">
        <f t="shared" si="10"/>
        <v>14.664405000000002</v>
      </c>
      <c r="D88" s="92"/>
      <c r="E88" s="93">
        <v>47849</v>
      </c>
      <c r="F88" s="83"/>
      <c r="G88" s="94">
        <f t="shared" si="9"/>
        <v>14.704571428571409</v>
      </c>
    </row>
    <row r="89" spans="1:7" x14ac:dyDescent="0.3">
      <c r="A89" s="90">
        <v>44835</v>
      </c>
      <c r="B89" s="88"/>
      <c r="C89" s="89">
        <f t="shared" si="10"/>
        <v>14.760260000000002</v>
      </c>
      <c r="D89" s="92"/>
    </row>
    <row r="90" spans="1:7" x14ac:dyDescent="0.3">
      <c r="A90" s="90">
        <v>44927</v>
      </c>
      <c r="B90" s="88"/>
      <c r="C90" s="89">
        <f t="shared" si="10"/>
        <v>14.856115000000003</v>
      </c>
      <c r="D90" s="92"/>
    </row>
    <row r="91" spans="1:7" x14ac:dyDescent="0.3">
      <c r="A91" s="90">
        <v>45017</v>
      </c>
      <c r="B91" s="88"/>
      <c r="C91" s="89">
        <f t="shared" si="10"/>
        <v>14.951970000000003</v>
      </c>
      <c r="D91" s="92"/>
    </row>
    <row r="92" spans="1:7" x14ac:dyDescent="0.3">
      <c r="A92" s="90">
        <v>45108</v>
      </c>
      <c r="B92" s="88"/>
      <c r="C92" s="89">
        <f t="shared" si="10"/>
        <v>15.047825000000003</v>
      </c>
      <c r="D92" s="92"/>
    </row>
    <row r="93" spans="1:7" x14ac:dyDescent="0.3">
      <c r="A93" s="90">
        <v>45200</v>
      </c>
      <c r="B93" s="8"/>
      <c r="C93" s="89">
        <f t="shared" si="10"/>
        <v>15.143680000000003</v>
      </c>
      <c r="D93" s="92"/>
    </row>
    <row r="94" spans="1:7" x14ac:dyDescent="0.3">
      <c r="A94" s="90">
        <v>45292</v>
      </c>
      <c r="B94" s="8"/>
      <c r="C94" s="89">
        <f t="shared" si="10"/>
        <v>15.239535000000004</v>
      </c>
      <c r="D94" s="92"/>
    </row>
    <row r="95" spans="1:7" x14ac:dyDescent="0.3">
      <c r="A95" s="90">
        <v>45383</v>
      </c>
      <c r="B95" s="8"/>
      <c r="C95" s="89">
        <f t="shared" si="10"/>
        <v>15.335390000000004</v>
      </c>
      <c r="D95" s="92"/>
    </row>
    <row r="96" spans="1:7" x14ac:dyDescent="0.3">
      <c r="A96" s="90">
        <v>45474</v>
      </c>
      <c r="B96" s="8"/>
      <c r="C96" s="89">
        <f t="shared" si="10"/>
        <v>15.431245000000004</v>
      </c>
      <c r="D96" s="92"/>
    </row>
    <row r="97" spans="1:4" x14ac:dyDescent="0.3">
      <c r="A97" s="90">
        <v>45566</v>
      </c>
      <c r="B97" s="8"/>
      <c r="C97" s="89">
        <f t="shared" si="10"/>
        <v>15.527100000000004</v>
      </c>
      <c r="D97" s="92"/>
    </row>
    <row r="98" spans="1:4" x14ac:dyDescent="0.3">
      <c r="A98" s="90">
        <v>45658</v>
      </c>
      <c r="B98" s="8"/>
      <c r="C98" s="89">
        <f t="shared" si="10"/>
        <v>15.622955000000005</v>
      </c>
      <c r="D98" s="92"/>
    </row>
    <row r="99" spans="1:4" x14ac:dyDescent="0.3">
      <c r="A99" s="90">
        <v>45748</v>
      </c>
      <c r="B99" s="8"/>
      <c r="C99" s="89">
        <f t="shared" si="10"/>
        <v>15.718810000000005</v>
      </c>
      <c r="D99" s="87"/>
    </row>
    <row r="100" spans="1:4" x14ac:dyDescent="0.3">
      <c r="A100" s="90">
        <v>45839</v>
      </c>
      <c r="B100" s="8"/>
      <c r="C100" s="89">
        <f t="shared" si="10"/>
        <v>15.814665000000005</v>
      </c>
      <c r="D100" s="87"/>
    </row>
    <row r="101" spans="1:4" x14ac:dyDescent="0.3">
      <c r="A101" s="90">
        <v>45931</v>
      </c>
      <c r="B101" s="8"/>
      <c r="C101" s="89">
        <f t="shared" si="10"/>
        <v>15.910520000000005</v>
      </c>
      <c r="D101" s="87"/>
    </row>
    <row r="102" spans="1:4" x14ac:dyDescent="0.3">
      <c r="A102" s="90">
        <v>46023</v>
      </c>
      <c r="B102" s="8"/>
      <c r="C102" s="89">
        <f t="shared" si="10"/>
        <v>16.006375000000006</v>
      </c>
      <c r="D102" s="87"/>
    </row>
    <row r="103" spans="1:4" x14ac:dyDescent="0.3">
      <c r="A103" s="90">
        <v>46113</v>
      </c>
      <c r="B103" s="8"/>
      <c r="C103" s="89">
        <f t="shared" si="10"/>
        <v>16.102230000000006</v>
      </c>
      <c r="D103" s="87"/>
    </row>
    <row r="104" spans="1:4" x14ac:dyDescent="0.3">
      <c r="A104" s="90">
        <v>46204</v>
      </c>
      <c r="B104" s="8"/>
      <c r="C104" s="89">
        <f t="shared" si="10"/>
        <v>16.198085000000006</v>
      </c>
    </row>
    <row r="105" spans="1:4" x14ac:dyDescent="0.3">
      <c r="A105" s="90">
        <v>46296</v>
      </c>
      <c r="B105" s="8"/>
      <c r="C105" s="89">
        <f t="shared" si="10"/>
        <v>16.293940000000006</v>
      </c>
    </row>
    <row r="106" spans="1:4" x14ac:dyDescent="0.3">
      <c r="A106" s="90">
        <v>46388</v>
      </c>
      <c r="B106" s="8"/>
      <c r="C106" s="89">
        <f t="shared" si="10"/>
        <v>16.389795000000007</v>
      </c>
    </row>
    <row r="107" spans="1:4" x14ac:dyDescent="0.3">
      <c r="A107" s="90">
        <v>46478</v>
      </c>
      <c r="B107" s="8"/>
      <c r="C107" s="89">
        <f t="shared" si="10"/>
        <v>16.485650000000007</v>
      </c>
    </row>
    <row r="108" spans="1:4" x14ac:dyDescent="0.3">
      <c r="A108" s="90">
        <v>46569</v>
      </c>
      <c r="B108" s="8"/>
      <c r="C108" s="89">
        <f t="shared" si="10"/>
        <v>16.581505000000007</v>
      </c>
    </row>
    <row r="109" spans="1:4" x14ac:dyDescent="0.3">
      <c r="A109" s="90">
        <v>46661</v>
      </c>
      <c r="B109" s="8"/>
      <c r="C109" s="89">
        <f t="shared" si="10"/>
        <v>16.677360000000007</v>
      </c>
    </row>
    <row r="110" spans="1:4" x14ac:dyDescent="0.3">
      <c r="A110" s="90">
        <v>46753</v>
      </c>
      <c r="B110" s="8"/>
      <c r="C110" s="89">
        <f t="shared" si="10"/>
        <v>16.773215000000008</v>
      </c>
    </row>
    <row r="111" spans="1:4" x14ac:dyDescent="0.3">
      <c r="A111" s="90">
        <v>46844</v>
      </c>
      <c r="B111" s="8"/>
      <c r="C111" s="89">
        <f t="shared" si="10"/>
        <v>16.869070000000008</v>
      </c>
    </row>
    <row r="112" spans="1:4" x14ac:dyDescent="0.3">
      <c r="A112" s="90">
        <v>46935</v>
      </c>
      <c r="B112" s="8"/>
      <c r="C112" s="89">
        <f t="shared" si="10"/>
        <v>16.964925000000008</v>
      </c>
    </row>
    <row r="113" spans="1:3" x14ac:dyDescent="0.3">
      <c r="A113" s="90">
        <v>47027</v>
      </c>
      <c r="B113" s="8"/>
      <c r="C113" s="89">
        <f t="shared" si="10"/>
        <v>17.060780000000008</v>
      </c>
    </row>
    <row r="114" spans="1:3" x14ac:dyDescent="0.3">
      <c r="A114" s="90">
        <v>47119</v>
      </c>
      <c r="B114" s="95"/>
      <c r="C114" s="89">
        <f t="shared" si="10"/>
        <v>17.156635000000009</v>
      </c>
    </row>
    <row r="115" spans="1:3" x14ac:dyDescent="0.3">
      <c r="A115" s="90">
        <v>47209</v>
      </c>
      <c r="B115" s="8"/>
      <c r="C115" s="89">
        <f t="shared" si="10"/>
        <v>17.252490000000009</v>
      </c>
    </row>
    <row r="116" spans="1:3" x14ac:dyDescent="0.3">
      <c r="A116" s="90">
        <v>47300</v>
      </c>
      <c r="B116" s="8"/>
      <c r="C116" s="89">
        <f t="shared" si="10"/>
        <v>17.348345000000009</v>
      </c>
    </row>
    <row r="117" spans="1:3" x14ac:dyDescent="0.3">
      <c r="A117" s="90">
        <v>47392</v>
      </c>
      <c r="B117" s="8"/>
      <c r="C117" s="89">
        <f t="shared" si="10"/>
        <v>17.444200000000009</v>
      </c>
    </row>
    <row r="118" spans="1:3" x14ac:dyDescent="0.3">
      <c r="A118" s="90">
        <v>47484</v>
      </c>
      <c r="B118" s="8"/>
      <c r="C118" s="89">
        <f t="shared" si="10"/>
        <v>17.540055000000009</v>
      </c>
    </row>
    <row r="119" spans="1:3" x14ac:dyDescent="0.3">
      <c r="A119" s="90">
        <v>47574</v>
      </c>
      <c r="B119" s="8"/>
      <c r="C119" s="89">
        <f t="shared" si="10"/>
        <v>17.63591000000001</v>
      </c>
    </row>
    <row r="120" spans="1:3" x14ac:dyDescent="0.3">
      <c r="A120" s="90">
        <v>47665</v>
      </c>
      <c r="B120" s="8"/>
      <c r="C120" s="89">
        <f t="shared" si="10"/>
        <v>17.73176500000001</v>
      </c>
    </row>
    <row r="121" spans="1:3" ht="15" thickBot="1" x14ac:dyDescent="0.35">
      <c r="A121" s="96">
        <v>47757</v>
      </c>
      <c r="B121" s="97"/>
      <c r="C121" s="98">
        <f t="shared" si="10"/>
        <v>17.82762000000001</v>
      </c>
    </row>
    <row r="122" spans="1:3" x14ac:dyDescent="0.3">
      <c r="C122" s="8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"/>
  <sheetViews>
    <sheetView workbookViewId="0">
      <selection activeCell="G3" sqref="G3"/>
    </sheetView>
  </sheetViews>
  <sheetFormatPr defaultColWidth="9.109375" defaultRowHeight="14.4" x14ac:dyDescent="0.3"/>
  <cols>
    <col min="1" max="1" width="88.77734375" style="4" bestFit="1" customWidth="1"/>
    <col min="2" max="2" width="9.109375" style="4"/>
    <col min="3" max="3" width="15.109375" style="4" bestFit="1" customWidth="1"/>
    <col min="4" max="4" width="15" style="4" customWidth="1"/>
    <col min="5" max="12" width="15" style="4" bestFit="1" customWidth="1"/>
    <col min="13" max="16384" width="9.109375" style="4"/>
  </cols>
  <sheetData>
    <row r="1" spans="1:12" ht="18" x14ac:dyDescent="0.35">
      <c r="C1" s="6">
        <v>2015</v>
      </c>
      <c r="D1" s="6">
        <v>2016</v>
      </c>
      <c r="E1" s="6">
        <v>2017</v>
      </c>
      <c r="F1" s="6">
        <v>2018</v>
      </c>
      <c r="G1" s="6">
        <v>2019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</row>
    <row r="2" spans="1:12" ht="23.4" x14ac:dyDescent="0.45">
      <c r="A2" s="2" t="s">
        <v>322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">
      <c r="A3" s="4" t="s">
        <v>174</v>
      </c>
      <c r="C3" s="10">
        <v>1039190000</v>
      </c>
      <c r="D3" s="10">
        <f t="shared" ref="D3:L3" si="0">C24</f>
        <v>957547000</v>
      </c>
      <c r="E3" s="10">
        <f t="shared" si="0"/>
        <v>950467000</v>
      </c>
      <c r="F3" s="10">
        <f t="shared" si="0"/>
        <v>1129773000</v>
      </c>
      <c r="G3" s="10">
        <f t="shared" si="0"/>
        <v>1128564000</v>
      </c>
      <c r="H3" s="10">
        <f t="shared" si="0"/>
        <v>1128564000</v>
      </c>
      <c r="I3" s="10">
        <f t="shared" si="0"/>
        <v>1128564000</v>
      </c>
      <c r="J3" s="10">
        <f t="shared" si="0"/>
        <v>1128564000</v>
      </c>
      <c r="K3" s="10">
        <f t="shared" si="0"/>
        <v>1128564000</v>
      </c>
      <c r="L3" s="10">
        <f t="shared" si="0"/>
        <v>1128564000</v>
      </c>
    </row>
    <row r="4" spans="1:12" x14ac:dyDescent="0.3">
      <c r="A4" s="4" t="s">
        <v>323</v>
      </c>
      <c r="B4" s="4" t="s">
        <v>20</v>
      </c>
      <c r="C4" s="10">
        <v>18049000</v>
      </c>
      <c r="D4" s="10">
        <v>10909000</v>
      </c>
      <c r="E4" s="10">
        <v>179306000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3"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A6" s="4" t="s">
        <v>324</v>
      </c>
    </row>
    <row r="7" spans="1:12" x14ac:dyDescent="0.3">
      <c r="A7" s="4" t="s">
        <v>325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 x14ac:dyDescent="0.3">
      <c r="A8" s="4" t="s">
        <v>326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</row>
    <row r="9" spans="1:12" x14ac:dyDescent="0.3">
      <c r="C9" s="21">
        <f t="shared" ref="C9:L9" si="1">C7-C8</f>
        <v>0</v>
      </c>
      <c r="D9" s="21">
        <f t="shared" si="1"/>
        <v>0</v>
      </c>
      <c r="E9" s="21">
        <f t="shared" si="1"/>
        <v>0</v>
      </c>
      <c r="F9" s="21">
        <f t="shared" si="1"/>
        <v>0</v>
      </c>
      <c r="G9" s="21">
        <f t="shared" si="1"/>
        <v>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</row>
    <row r="10" spans="1:12" x14ac:dyDescent="0.3"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4" t="s">
        <v>327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">
      <c r="A12" s="4" t="s">
        <v>325</v>
      </c>
      <c r="C12" s="10">
        <v>99692000</v>
      </c>
      <c r="D12" s="10">
        <v>0</v>
      </c>
      <c r="E12" s="10">
        <v>0</v>
      </c>
      <c r="F12" s="10">
        <v>1209000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2" x14ac:dyDescent="0.3">
      <c r="A13" s="4" t="s">
        <v>326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r="14" spans="1:12" x14ac:dyDescent="0.3">
      <c r="C14" s="21">
        <f t="shared" ref="C14:L14" si="2">C12-C13</f>
        <v>99692000</v>
      </c>
      <c r="D14" s="21">
        <f t="shared" si="2"/>
        <v>0</v>
      </c>
      <c r="E14" s="21">
        <f t="shared" si="2"/>
        <v>0</v>
      </c>
      <c r="F14" s="21">
        <f t="shared" si="2"/>
        <v>1209000</v>
      </c>
      <c r="G14" s="21">
        <f t="shared" si="2"/>
        <v>0</v>
      </c>
      <c r="H14" s="21">
        <f t="shared" si="2"/>
        <v>0</v>
      </c>
      <c r="I14" s="21">
        <f t="shared" si="2"/>
        <v>0</v>
      </c>
      <c r="J14" s="21">
        <f t="shared" si="2"/>
        <v>0</v>
      </c>
      <c r="K14" s="21">
        <f t="shared" si="2"/>
        <v>0</v>
      </c>
      <c r="L14" s="21">
        <f t="shared" si="2"/>
        <v>0</v>
      </c>
    </row>
    <row r="15" spans="1:12" x14ac:dyDescent="0.3">
      <c r="A15" s="4" t="s">
        <v>328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">
      <c r="A16" s="4" t="s">
        <v>325</v>
      </c>
      <c r="C16" s="10">
        <v>0</v>
      </c>
      <c r="D16" s="10">
        <v>17989000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spans="1:12" x14ac:dyDescent="0.3">
      <c r="A17" s="4" t="s">
        <v>329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1:12" x14ac:dyDescent="0.3">
      <c r="C18" s="21">
        <f t="shared" ref="C18:L18" si="3">C16-C17</f>
        <v>0</v>
      </c>
      <c r="D18" s="21">
        <f t="shared" si="3"/>
        <v>17989000</v>
      </c>
      <c r="E18" s="21">
        <f t="shared" si="3"/>
        <v>0</v>
      </c>
      <c r="F18" s="21">
        <f t="shared" si="3"/>
        <v>0</v>
      </c>
      <c r="G18" s="21">
        <f t="shared" si="3"/>
        <v>0</v>
      </c>
      <c r="H18" s="21">
        <f t="shared" si="3"/>
        <v>0</v>
      </c>
      <c r="I18" s="21">
        <f t="shared" si="3"/>
        <v>0</v>
      </c>
      <c r="J18" s="21">
        <f t="shared" si="3"/>
        <v>0</v>
      </c>
      <c r="K18" s="21">
        <f t="shared" si="3"/>
        <v>0</v>
      </c>
      <c r="L18" s="21">
        <f t="shared" si="3"/>
        <v>0</v>
      </c>
    </row>
    <row r="19" spans="1:12" x14ac:dyDescent="0.3">
      <c r="A19" s="4" t="s">
        <v>330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">
      <c r="A20" s="4" t="s">
        <v>325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  <row r="21" spans="1:12" x14ac:dyDescent="0.3">
      <c r="A21" s="4" t="s">
        <v>326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1:12" x14ac:dyDescent="0.3">
      <c r="C22" s="21">
        <f t="shared" ref="C22:L22" si="4">C20-C21</f>
        <v>0</v>
      </c>
      <c r="D22" s="21">
        <f t="shared" si="4"/>
        <v>0</v>
      </c>
      <c r="E22" s="21">
        <f t="shared" si="4"/>
        <v>0</v>
      </c>
      <c r="F22" s="21">
        <f t="shared" si="4"/>
        <v>0</v>
      </c>
      <c r="G22" s="21">
        <f t="shared" si="4"/>
        <v>0</v>
      </c>
      <c r="H22" s="21">
        <f t="shared" si="4"/>
        <v>0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</row>
    <row r="23" spans="1:12" x14ac:dyDescent="0.3">
      <c r="A23" s="4" t="s">
        <v>180</v>
      </c>
      <c r="B23" s="4" t="s">
        <v>331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</row>
    <row r="24" spans="1:12" x14ac:dyDescent="0.3">
      <c r="A24" s="4" t="s">
        <v>332</v>
      </c>
      <c r="C24" s="10">
        <f t="shared" ref="C24:L24" si="5">C3+C4-C12+C13-C16+C17-C20+C21-C23+C9</f>
        <v>957547000</v>
      </c>
      <c r="D24" s="10">
        <f t="shared" si="5"/>
        <v>950467000</v>
      </c>
      <c r="E24" s="10">
        <f t="shared" si="5"/>
        <v>1129773000</v>
      </c>
      <c r="F24" s="10">
        <f t="shared" si="5"/>
        <v>1128564000</v>
      </c>
      <c r="G24" s="10">
        <f t="shared" si="5"/>
        <v>1128564000</v>
      </c>
      <c r="H24" s="10">
        <f t="shared" si="5"/>
        <v>1128564000</v>
      </c>
      <c r="I24" s="10">
        <f t="shared" si="5"/>
        <v>1128564000</v>
      </c>
      <c r="J24" s="10">
        <f t="shared" si="5"/>
        <v>1128564000</v>
      </c>
      <c r="K24" s="10">
        <f t="shared" si="5"/>
        <v>1128564000</v>
      </c>
      <c r="L24" s="10">
        <f t="shared" si="5"/>
        <v>1128564000</v>
      </c>
    </row>
    <row r="25" spans="1:12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"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23.4" x14ac:dyDescent="0.45">
      <c r="A27" s="2" t="s">
        <v>333</v>
      </c>
      <c r="C27" s="10"/>
      <c r="D27" s="10"/>
      <c r="E27" s="10"/>
      <c r="F27" s="10"/>
      <c r="G27" s="12"/>
      <c r="H27" s="10"/>
      <c r="I27" s="10"/>
      <c r="J27" s="10"/>
      <c r="K27" s="10"/>
      <c r="L27" s="10"/>
    </row>
    <row r="28" spans="1:12" x14ac:dyDescent="0.3">
      <c r="A28" s="4" t="s">
        <v>174</v>
      </c>
      <c r="C28" s="10">
        <v>2895093000</v>
      </c>
      <c r="D28" s="10">
        <f t="shared" ref="D28:L28" si="6">C48</f>
        <v>3723938000</v>
      </c>
      <c r="E28" s="10">
        <f t="shared" si="6"/>
        <v>4736495000</v>
      </c>
      <c r="F28" s="10">
        <f t="shared" si="6"/>
        <v>4644346000</v>
      </c>
      <c r="G28" s="10">
        <f t="shared" si="6"/>
        <v>6052415000</v>
      </c>
      <c r="H28" s="10">
        <f t="shared" si="6"/>
        <v>6574182000</v>
      </c>
      <c r="I28" s="10">
        <f t="shared" si="6"/>
        <v>7818760911.0935926</v>
      </c>
      <c r="J28" s="10">
        <f t="shared" si="6"/>
        <v>9116434991.1567116</v>
      </c>
      <c r="K28" s="10">
        <f t="shared" si="6"/>
        <v>10428049673.380657</v>
      </c>
      <c r="L28" s="10">
        <f t="shared" si="6"/>
        <v>12295689386.189562</v>
      </c>
    </row>
    <row r="29" spans="1:12" x14ac:dyDescent="0.3">
      <c r="A29" s="4" t="s">
        <v>323</v>
      </c>
      <c r="B29" s="4" t="s">
        <v>334</v>
      </c>
      <c r="C29" s="10">
        <v>1258689000</v>
      </c>
      <c r="D29" s="10">
        <v>1419610000</v>
      </c>
      <c r="E29" s="10">
        <v>390466000</v>
      </c>
      <c r="F29" s="10">
        <v>1950434000</v>
      </c>
      <c r="G29" s="10">
        <v>1149589000</v>
      </c>
      <c r="H29" s="10">
        <f>H28*AVERAGE(C29/C28,D29/D28,E29/E28,F29/F28,G29/G28)</f>
        <v>1983185931.2507071</v>
      </c>
      <c r="I29" s="10">
        <f>I28*AVERAGE(D29/D28,E29/E28,F29/F28,G29/G28,H29/H28)</f>
        <v>2150488039.1703825</v>
      </c>
      <c r="J29" s="10">
        <f>J28*AVERAGE(E29/E28,F29/F28,G29/G28,H29/H28,I29/I28)</f>
        <v>2313824620.7825727</v>
      </c>
      <c r="K29" s="10">
        <f>K28*AVERAGE(F29/F28,G29/G28,H29/H28,I29/I28,J29/J28)</f>
        <v>3004134593.9115667</v>
      </c>
      <c r="L29" s="10">
        <f>L28*AVERAGE(G29/G28,H29/H28,I29/I28,J29/J28,K29/K28)</f>
        <v>3217865222.2047248</v>
      </c>
    </row>
    <row r="30" spans="1:12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3">
      <c r="A31" s="4" t="s">
        <v>324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x14ac:dyDescent="0.3">
      <c r="A32" s="4" t="s">
        <v>325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</row>
    <row r="33" spans="1:12" x14ac:dyDescent="0.3">
      <c r="A33" s="4" t="s">
        <v>326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</row>
    <row r="34" spans="1:12" x14ac:dyDescent="0.3">
      <c r="C34" s="21">
        <f t="shared" ref="C34:L34" si="7">C32-C33</f>
        <v>0</v>
      </c>
      <c r="D34" s="21">
        <f t="shared" si="7"/>
        <v>0</v>
      </c>
      <c r="E34" s="21">
        <f t="shared" si="7"/>
        <v>0</v>
      </c>
      <c r="F34" s="21">
        <f t="shared" si="7"/>
        <v>0</v>
      </c>
      <c r="G34" s="21">
        <f t="shared" si="7"/>
        <v>0</v>
      </c>
      <c r="H34" s="21">
        <f t="shared" si="7"/>
        <v>0</v>
      </c>
      <c r="I34" s="21">
        <f t="shared" si="7"/>
        <v>0</v>
      </c>
      <c r="J34" s="21">
        <f t="shared" si="7"/>
        <v>0</v>
      </c>
      <c r="K34" s="21">
        <f t="shared" si="7"/>
        <v>0</v>
      </c>
      <c r="L34" s="21">
        <f t="shared" si="7"/>
        <v>0</v>
      </c>
    </row>
    <row r="35" spans="1:12" x14ac:dyDescent="0.3">
      <c r="A35" s="4" t="s">
        <v>327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3">
      <c r="A36" s="4" t="s">
        <v>325</v>
      </c>
      <c r="C36" s="10">
        <v>0</v>
      </c>
      <c r="D36" s="10">
        <v>0</v>
      </c>
      <c r="E36" s="10">
        <v>0</v>
      </c>
      <c r="F36" s="10">
        <v>21361000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</row>
    <row r="37" spans="1:12" x14ac:dyDescent="0.3">
      <c r="A37" s="4" t="s">
        <v>326</v>
      </c>
      <c r="C37" s="10">
        <v>0</v>
      </c>
      <c r="D37" s="10">
        <v>0</v>
      </c>
      <c r="E37" s="10">
        <v>0</v>
      </c>
      <c r="F37" s="10">
        <v>19298000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</row>
    <row r="38" spans="1:12" x14ac:dyDescent="0.3">
      <c r="C38" s="21">
        <f t="shared" ref="C38:L38" si="8">C36-C37</f>
        <v>0</v>
      </c>
      <c r="D38" s="21">
        <f t="shared" si="8"/>
        <v>0</v>
      </c>
      <c r="E38" s="21">
        <f t="shared" si="8"/>
        <v>0</v>
      </c>
      <c r="F38" s="21">
        <f t="shared" si="8"/>
        <v>2063000</v>
      </c>
      <c r="G38" s="21">
        <f t="shared" si="8"/>
        <v>0</v>
      </c>
      <c r="H38" s="21">
        <f t="shared" si="8"/>
        <v>0</v>
      </c>
      <c r="I38" s="21">
        <f t="shared" si="8"/>
        <v>0</v>
      </c>
      <c r="J38" s="21">
        <f t="shared" si="8"/>
        <v>0</v>
      </c>
      <c r="K38" s="21">
        <f t="shared" si="8"/>
        <v>0</v>
      </c>
      <c r="L38" s="21">
        <f t="shared" si="8"/>
        <v>0</v>
      </c>
    </row>
    <row r="39" spans="1:12" x14ac:dyDescent="0.3">
      <c r="A39" s="4" t="s">
        <v>335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3">
      <c r="A40" s="4" t="s">
        <v>325</v>
      </c>
      <c r="C40" s="10">
        <v>127752000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</row>
    <row r="41" spans="1:12" x14ac:dyDescent="0.3">
      <c r="A41" s="4" t="s">
        <v>329</v>
      </c>
      <c r="C41" s="10">
        <v>66937000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</row>
    <row r="42" spans="1:12" x14ac:dyDescent="0.3">
      <c r="C42" s="21">
        <f t="shared" ref="C42:L42" si="9">C40-C41</f>
        <v>60815000</v>
      </c>
      <c r="D42" s="21">
        <f t="shared" si="9"/>
        <v>0</v>
      </c>
      <c r="E42" s="21">
        <f t="shared" si="9"/>
        <v>0</v>
      </c>
      <c r="F42" s="21">
        <f t="shared" si="9"/>
        <v>0</v>
      </c>
      <c r="G42" s="21">
        <f t="shared" si="9"/>
        <v>0</v>
      </c>
      <c r="H42" s="21">
        <f t="shared" si="9"/>
        <v>0</v>
      </c>
      <c r="I42" s="21">
        <f t="shared" si="9"/>
        <v>0</v>
      </c>
      <c r="J42" s="21">
        <f t="shared" si="9"/>
        <v>0</v>
      </c>
      <c r="K42" s="21">
        <f t="shared" si="9"/>
        <v>0</v>
      </c>
      <c r="L42" s="21">
        <f t="shared" si="9"/>
        <v>0</v>
      </c>
    </row>
    <row r="43" spans="1:12" x14ac:dyDescent="0.3">
      <c r="A43" s="4" t="s">
        <v>330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3">
      <c r="A44" s="4" t="s">
        <v>325</v>
      </c>
      <c r="B44" s="4" t="s">
        <v>336</v>
      </c>
      <c r="C44" s="10">
        <v>8101000</v>
      </c>
      <c r="D44" s="10">
        <v>9450000</v>
      </c>
      <c r="E44" s="10">
        <v>11159000</v>
      </c>
      <c r="F44" s="10">
        <v>21500000</v>
      </c>
      <c r="G44" s="10">
        <v>45500000</v>
      </c>
      <c r="H44" s="10">
        <f>H28*AVERAGE(C44/C28,D44/D28,E44/E28,F44/F28,G44/G28)</f>
        <v>26084678.7960549</v>
      </c>
      <c r="I44" s="10">
        <f>I28*AVERAGE(D44/D28,E44/E28,F44/F28,G44/G28,H44/H28)</f>
        <v>32851756.128797188</v>
      </c>
      <c r="J44" s="10">
        <f>J28*AVERAGE(E44/E28,F44/F28,G44/G28,H44/H28,I44/I28)</f>
        <v>41338126.781699307</v>
      </c>
      <c r="K44" s="10">
        <f>K28*AVERAGE(F44/F28,G44/G28,H44/H28,I44/I28,J44/J28)</f>
        <v>51829095.472939864</v>
      </c>
      <c r="L44" s="10">
        <f>L28*AVERAGE(G44/G28,H44/H28,I44/I28,J44/J28,K44/K28)</f>
        <v>61949831.308969043</v>
      </c>
    </row>
    <row r="45" spans="1:12" x14ac:dyDescent="0.3">
      <c r="A45" s="4" t="s">
        <v>326</v>
      </c>
      <c r="B45" s="4" t="s">
        <v>336</v>
      </c>
      <c r="C45" s="10">
        <v>4438000</v>
      </c>
      <c r="D45" s="10">
        <v>8756000</v>
      </c>
      <c r="E45" s="10">
        <v>8648000</v>
      </c>
      <c r="F45" s="10">
        <v>19687000</v>
      </c>
      <c r="G45" s="10">
        <v>42906000</v>
      </c>
      <c r="H45" s="10">
        <f>H44*G45/G44</f>
        <v>24597565.459857836</v>
      </c>
      <c r="I45" s="10">
        <f>I44*H45/H44</f>
        <v>30978845.021146644</v>
      </c>
      <c r="J45" s="10">
        <f>J44*I45/I44</f>
        <v>38981399.290012978</v>
      </c>
      <c r="K45" s="10">
        <f>K44*J45/J44</f>
        <v>48874267.480482586</v>
      </c>
      <c r="L45" s="10">
        <f>L44*K45/K44</f>
        <v>58418010.156980783</v>
      </c>
    </row>
    <row r="46" spans="1:12" x14ac:dyDescent="0.3">
      <c r="C46" s="21">
        <f t="shared" ref="C46:L46" si="10">C44-C45</f>
        <v>3663000</v>
      </c>
      <c r="D46" s="21">
        <f t="shared" si="10"/>
        <v>694000</v>
      </c>
      <c r="E46" s="21">
        <f t="shared" si="10"/>
        <v>2511000</v>
      </c>
      <c r="F46" s="21">
        <f t="shared" si="10"/>
        <v>1813000</v>
      </c>
      <c r="G46" s="21">
        <f t="shared" si="10"/>
        <v>2594000</v>
      </c>
      <c r="H46" s="21">
        <f t="shared" si="10"/>
        <v>1487113.3361970633</v>
      </c>
      <c r="I46" s="21">
        <f t="shared" si="10"/>
        <v>1872911.1076505445</v>
      </c>
      <c r="J46" s="21">
        <f t="shared" si="10"/>
        <v>2356727.4916863292</v>
      </c>
      <c r="K46" s="21">
        <f t="shared" si="10"/>
        <v>2954827.9924572781</v>
      </c>
      <c r="L46" s="21">
        <f t="shared" si="10"/>
        <v>3531821.1519882604</v>
      </c>
    </row>
    <row r="47" spans="1:12" x14ac:dyDescent="0.3">
      <c r="A47" s="4" t="s">
        <v>180</v>
      </c>
      <c r="B47" s="4" t="s">
        <v>331</v>
      </c>
      <c r="C47" s="10">
        <v>365366000</v>
      </c>
      <c r="D47" s="10">
        <v>406359000</v>
      </c>
      <c r="E47" s="10">
        <v>480104000</v>
      </c>
      <c r="F47" s="10">
        <v>540552000</v>
      </c>
      <c r="G47" s="10">
        <v>625228000</v>
      </c>
      <c r="H47" s="10">
        <f>(H28+H29)*AVERAGE(C49:G49)</f>
        <v>737119906.82091773</v>
      </c>
      <c r="I47" s="10">
        <f>(I28+I29)*AVERAGE(D49:H49)</f>
        <v>850941047.99961329</v>
      </c>
      <c r="J47" s="10">
        <f>(J28+J29)*AVERAGE(E49:I49)</f>
        <v>999853211.06694221</v>
      </c>
      <c r="K47" s="10">
        <f>(K28+K29)*AVERAGE(F49:J49)</f>
        <v>1133540053.1102071</v>
      </c>
      <c r="L47" s="10">
        <f>(L28+L29)*AVERAGE(G49:K49)</f>
        <v>1346779135.4596779</v>
      </c>
    </row>
    <row r="48" spans="1:12" x14ac:dyDescent="0.3">
      <c r="A48" s="4" t="s">
        <v>332</v>
      </c>
      <c r="C48" s="10">
        <f t="shared" ref="C48:L48" si="11">C28+C29-C42-C46-C47+C34</f>
        <v>3723938000</v>
      </c>
      <c r="D48" s="10">
        <f t="shared" si="11"/>
        <v>4736495000</v>
      </c>
      <c r="E48" s="10">
        <f t="shared" si="11"/>
        <v>4644346000</v>
      </c>
      <c r="F48" s="10">
        <f t="shared" si="11"/>
        <v>6052415000</v>
      </c>
      <c r="G48" s="10">
        <f t="shared" si="11"/>
        <v>6574182000</v>
      </c>
      <c r="H48" s="10">
        <f t="shared" si="11"/>
        <v>7818760911.0935926</v>
      </c>
      <c r="I48" s="10">
        <f t="shared" si="11"/>
        <v>9116434991.1567116</v>
      </c>
      <c r="J48" s="10">
        <f t="shared" si="11"/>
        <v>10428049673.380657</v>
      </c>
      <c r="K48" s="10">
        <f t="shared" si="11"/>
        <v>12295689386.189562</v>
      </c>
      <c r="L48" s="10">
        <f t="shared" si="11"/>
        <v>14163243651.782619</v>
      </c>
    </row>
    <row r="49" spans="1:12" x14ac:dyDescent="0.3">
      <c r="A49" s="4" t="s">
        <v>337</v>
      </c>
      <c r="C49" s="12">
        <f>C47/(C28+C29-C42)</f>
        <v>8.926678372926046E-2</v>
      </c>
      <c r="D49" s="12">
        <f>D47/(D28+D29-D42)</f>
        <v>7.9003637178072406E-2</v>
      </c>
      <c r="E49" s="12">
        <f>E47/(E28+E29-E42)</f>
        <v>9.3642998259592769E-2</v>
      </c>
      <c r="F49" s="12">
        <f>F47/(F28+F29-F42)</f>
        <v>8.19666463475658E-2</v>
      </c>
      <c r="G49" s="12">
        <f>G47/(G28+G29-G42)</f>
        <v>8.6813059254063171E-2</v>
      </c>
      <c r="H49" s="10"/>
      <c r="I49" s="10"/>
      <c r="J49" s="10"/>
      <c r="K49" s="10"/>
      <c r="L49" s="10"/>
    </row>
    <row r="50" spans="1:12" x14ac:dyDescent="0.3"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3.4" x14ac:dyDescent="0.45">
      <c r="A51" s="2" t="s">
        <v>338</v>
      </c>
      <c r="C51" s="10"/>
      <c r="D51" s="10"/>
      <c r="E51" s="10"/>
      <c r="F51" s="10"/>
      <c r="G51" s="12"/>
      <c r="H51" s="10"/>
      <c r="I51" s="10"/>
      <c r="J51" s="10"/>
      <c r="K51" s="10"/>
      <c r="L51" s="10"/>
    </row>
    <row r="52" spans="1:12" x14ac:dyDescent="0.3">
      <c r="A52" s="4" t="s">
        <v>174</v>
      </c>
      <c r="C52" s="10">
        <v>12966319000</v>
      </c>
      <c r="D52" s="10">
        <f>C76</f>
        <v>15710060000</v>
      </c>
      <c r="E52" s="10">
        <v>16343743000</v>
      </c>
      <c r="F52" s="10">
        <f t="shared" ref="F52:L52" si="12">E76</f>
        <v>16745130000</v>
      </c>
      <c r="G52" s="10">
        <f t="shared" si="12"/>
        <v>17722595000</v>
      </c>
      <c r="H52" s="10">
        <f t="shared" si="12"/>
        <v>18952193000</v>
      </c>
      <c r="I52" s="10">
        <f t="shared" si="12"/>
        <v>20441230398.404308</v>
      </c>
      <c r="J52" s="10">
        <f t="shared" si="12"/>
        <v>21491860058.001549</v>
      </c>
      <c r="K52" s="10">
        <f t="shared" si="12"/>
        <v>22715137840.256744</v>
      </c>
      <c r="L52" s="10">
        <f t="shared" si="12"/>
        <v>24151774660.554661</v>
      </c>
    </row>
    <row r="53" spans="1:12" x14ac:dyDescent="0.3">
      <c r="A53" s="4" t="s">
        <v>323</v>
      </c>
      <c r="B53" s="4" t="s">
        <v>339</v>
      </c>
      <c r="C53" s="10">
        <v>4394745000</v>
      </c>
      <c r="D53" s="10">
        <v>2004393000</v>
      </c>
      <c r="E53" s="10">
        <v>2168063000</v>
      </c>
      <c r="F53" s="10">
        <v>2802516000</v>
      </c>
      <c r="G53" s="10">
        <v>3188288000</v>
      </c>
      <c r="H53" s="10">
        <f>H52*AVERAGE(C53/C52,D53/D52,E53/E52,F53/F52,G53/G52)</f>
        <v>3587417772.0922875</v>
      </c>
      <c r="I53" s="10">
        <f>I52*AVERAGE(D53/D52,E53/E52,F53/F52,G53/G52,H53/H52)</f>
        <v>3257477681.703845</v>
      </c>
      <c r="J53" s="10">
        <f>J52*AVERAGE(E53/E52,F53/F52,G53/G52,H53/H52,I53/I52)</f>
        <v>3561470327.8626342</v>
      </c>
      <c r="K53" s="10">
        <f>K52*AVERAGE(F53/F52,G53/G52,H53/H52,I53/I52,J53/J52)</f>
        <v>3914368517.5126629</v>
      </c>
      <c r="L53" s="10">
        <f>L52*AVERAGE(G53/G52,H53/H52,I53/I52,J53/J52,K53/K52)</f>
        <v>4185900086.9867454</v>
      </c>
    </row>
    <row r="54" spans="1:12" x14ac:dyDescent="0.3"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3">
      <c r="A55" s="4" t="s">
        <v>324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3">
      <c r="A56" s="4" t="s">
        <v>325</v>
      </c>
      <c r="C56" s="4">
        <v>0</v>
      </c>
      <c r="D56" s="10">
        <v>300000000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</row>
    <row r="57" spans="1:12" x14ac:dyDescent="0.3">
      <c r="A57" s="4" t="s">
        <v>326</v>
      </c>
      <c r="C57" s="10">
        <v>0</v>
      </c>
      <c r="D57" s="10">
        <v>118809000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</row>
    <row r="58" spans="1:12" x14ac:dyDescent="0.3">
      <c r="C58" s="21">
        <f t="shared" ref="C58:L58" si="13">C56-C57</f>
        <v>0</v>
      </c>
      <c r="D58" s="21">
        <f t="shared" si="13"/>
        <v>181191000</v>
      </c>
      <c r="E58" s="21">
        <f t="shared" si="13"/>
        <v>0</v>
      </c>
      <c r="F58" s="21">
        <f t="shared" si="13"/>
        <v>0</v>
      </c>
      <c r="G58" s="21">
        <f t="shared" si="13"/>
        <v>0</v>
      </c>
      <c r="H58" s="21">
        <f t="shared" si="13"/>
        <v>0</v>
      </c>
      <c r="I58" s="21">
        <f t="shared" si="13"/>
        <v>0</v>
      </c>
      <c r="J58" s="21">
        <f t="shared" si="13"/>
        <v>0</v>
      </c>
      <c r="K58" s="21">
        <f t="shared" si="13"/>
        <v>0</v>
      </c>
      <c r="L58" s="21">
        <f t="shared" si="13"/>
        <v>0</v>
      </c>
    </row>
    <row r="59" spans="1:12" x14ac:dyDescent="0.3">
      <c r="A59" s="4" t="s">
        <v>327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3">
      <c r="A60" s="4" t="s">
        <v>325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</row>
    <row r="61" spans="1:12" x14ac:dyDescent="0.3">
      <c r="A61" s="4" t="s">
        <v>326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</row>
    <row r="62" spans="1:12" x14ac:dyDescent="0.3">
      <c r="C62" s="21">
        <f t="shared" ref="C62:L62" si="14">C60-C61</f>
        <v>0</v>
      </c>
      <c r="D62" s="21">
        <f t="shared" si="14"/>
        <v>0</v>
      </c>
      <c r="E62" s="21">
        <f t="shared" si="14"/>
        <v>0</v>
      </c>
      <c r="F62" s="21">
        <f t="shared" si="14"/>
        <v>0</v>
      </c>
      <c r="G62" s="21">
        <f t="shared" si="14"/>
        <v>0</v>
      </c>
      <c r="H62" s="21">
        <f t="shared" si="14"/>
        <v>0</v>
      </c>
      <c r="I62" s="21">
        <f t="shared" si="14"/>
        <v>0</v>
      </c>
      <c r="J62" s="21">
        <f t="shared" si="14"/>
        <v>0</v>
      </c>
      <c r="K62" s="21">
        <f t="shared" si="14"/>
        <v>0</v>
      </c>
      <c r="L62" s="21">
        <f t="shared" si="14"/>
        <v>0</v>
      </c>
    </row>
    <row r="63" spans="1:12" x14ac:dyDescent="0.3">
      <c r="A63" s="4" t="s">
        <v>335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3">
      <c r="A64" s="4" t="s">
        <v>325</v>
      </c>
      <c r="C64" s="10">
        <v>42325000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</row>
    <row r="65" spans="1:12" x14ac:dyDescent="0.3">
      <c r="A65" s="4" t="s">
        <v>329</v>
      </c>
      <c r="C65" s="10">
        <v>10628000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</row>
    <row r="66" spans="1:12" x14ac:dyDescent="0.3">
      <c r="C66" s="21">
        <f t="shared" ref="C66:L66" si="15">C64-C65</f>
        <v>31697000</v>
      </c>
      <c r="D66" s="21">
        <f t="shared" si="15"/>
        <v>0</v>
      </c>
      <c r="E66" s="21">
        <f t="shared" si="15"/>
        <v>0</v>
      </c>
      <c r="F66" s="21">
        <f t="shared" si="15"/>
        <v>0</v>
      </c>
      <c r="G66" s="21">
        <f t="shared" si="15"/>
        <v>0</v>
      </c>
      <c r="H66" s="21">
        <f t="shared" si="15"/>
        <v>0</v>
      </c>
      <c r="I66" s="21">
        <f t="shared" si="15"/>
        <v>0</v>
      </c>
      <c r="J66" s="21">
        <f t="shared" si="15"/>
        <v>0</v>
      </c>
      <c r="K66" s="21">
        <f t="shared" si="15"/>
        <v>0</v>
      </c>
      <c r="L66" s="21">
        <f t="shared" si="15"/>
        <v>0</v>
      </c>
    </row>
    <row r="67" spans="1:12" x14ac:dyDescent="0.3">
      <c r="A67" s="4" t="s">
        <v>340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spans="1:12" x14ac:dyDescent="0.3">
      <c r="A68" s="4" t="s">
        <v>341</v>
      </c>
      <c r="C68" s="43">
        <v>0</v>
      </c>
      <c r="D68" s="43">
        <v>0</v>
      </c>
      <c r="E68" s="43">
        <v>0</v>
      </c>
      <c r="F68" s="43">
        <v>0</v>
      </c>
      <c r="G68" s="43">
        <v>55074000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</row>
    <row r="69" spans="1:12" x14ac:dyDescent="0.3">
      <c r="A69" s="4" t="s">
        <v>342</v>
      </c>
      <c r="C69" s="26">
        <v>0</v>
      </c>
      <c r="D69" s="26">
        <v>0</v>
      </c>
      <c r="E69" s="26">
        <v>0</v>
      </c>
      <c r="F69" s="26">
        <v>0</v>
      </c>
      <c r="G69" s="26">
        <v>40561000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</row>
    <row r="70" spans="1:12" x14ac:dyDescent="0.3">
      <c r="C70" s="43">
        <f t="shared" ref="C70:L70" si="16">C68-C69</f>
        <v>0</v>
      </c>
      <c r="D70" s="43">
        <f t="shared" si="16"/>
        <v>0</v>
      </c>
      <c r="E70" s="43">
        <f t="shared" si="16"/>
        <v>0</v>
      </c>
      <c r="F70" s="43">
        <f t="shared" si="16"/>
        <v>0</v>
      </c>
      <c r="G70" s="43">
        <f t="shared" si="16"/>
        <v>14513000</v>
      </c>
      <c r="H70" s="43">
        <f t="shared" si="16"/>
        <v>0</v>
      </c>
      <c r="I70" s="43">
        <f t="shared" si="16"/>
        <v>0</v>
      </c>
      <c r="J70" s="43">
        <f t="shared" si="16"/>
        <v>0</v>
      </c>
      <c r="K70" s="43">
        <f t="shared" si="16"/>
        <v>0</v>
      </c>
      <c r="L70" s="43">
        <f t="shared" si="16"/>
        <v>0</v>
      </c>
    </row>
    <row r="71" spans="1:12" x14ac:dyDescent="0.3">
      <c r="A71" s="4" t="s">
        <v>330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x14ac:dyDescent="0.3">
      <c r="A72" s="4" t="s">
        <v>325</v>
      </c>
      <c r="B72" s="4" t="s">
        <v>336</v>
      </c>
      <c r="C72" s="10">
        <v>145922000</v>
      </c>
      <c r="D72" s="10">
        <v>129086000</v>
      </c>
      <c r="E72" s="10">
        <v>360424000</v>
      </c>
      <c r="F72" s="10">
        <v>271875000</v>
      </c>
      <c r="G72" s="10">
        <v>398869000</v>
      </c>
      <c r="H72" s="10">
        <f>H52*AVERAGE(C72/C52,D72/D52,E72/E52,F72/F52,G72/G52)</f>
        <v>304242304.32604331</v>
      </c>
      <c r="I72" s="10">
        <f>I52*AVERAGE(D72/D52,E72/E52,F72/F52,G72/G52,H72/H52)</f>
        <v>347766424.72410911</v>
      </c>
      <c r="J72" s="10">
        <f>J52*AVERAGE(E72/E52,F72/F52,G72/G52,H72/H52,I72/I52)</f>
        <v>403450182.52785814</v>
      </c>
      <c r="K72" s="10">
        <f>K52*AVERAGE(F72/F52,G72/G52,H72/H52,I72/I52,J72/J52)</f>
        <v>411510485.97796685</v>
      </c>
      <c r="L72" s="10">
        <f>L52*AVERAGE(G72/G52,H72/H52,I72/I52,J72/J52,K72/K52)</f>
        <v>446618198.59344774</v>
      </c>
    </row>
    <row r="73" spans="1:12" x14ac:dyDescent="0.3">
      <c r="A73" s="4" t="s">
        <v>326</v>
      </c>
      <c r="B73" s="4" t="s">
        <v>336</v>
      </c>
      <c r="C73" s="10">
        <v>105647000</v>
      </c>
      <c r="D73" s="10">
        <v>96013000</v>
      </c>
      <c r="E73" s="10">
        <v>262897000</v>
      </c>
      <c r="F73" s="10">
        <v>217434000</v>
      </c>
      <c r="G73" s="10">
        <v>313389000</v>
      </c>
      <c r="H73" s="10">
        <f>H72*G73/G72</f>
        <v>239041368.24479812</v>
      </c>
      <c r="I73" s="10">
        <f>I72*H73/H72</f>
        <v>273238010.66982853</v>
      </c>
      <c r="J73" s="10">
        <f>J72*I73/I72</f>
        <v>316988407.85376388</v>
      </c>
      <c r="K73" s="10">
        <f>K72*J73/J72</f>
        <v>323321340.31511366</v>
      </c>
      <c r="L73" s="10">
        <f>L72*K73/K72</f>
        <v>350905261.22361481</v>
      </c>
    </row>
    <row r="74" spans="1:12" x14ac:dyDescent="0.3">
      <c r="C74" s="21">
        <f t="shared" ref="C74:L74" si="17">C72-C73</f>
        <v>40275000</v>
      </c>
      <c r="D74" s="21">
        <f t="shared" si="17"/>
        <v>33073000</v>
      </c>
      <c r="E74" s="21">
        <f t="shared" si="17"/>
        <v>97527000</v>
      </c>
      <c r="F74" s="21">
        <f t="shared" si="17"/>
        <v>54441000</v>
      </c>
      <c r="G74" s="21">
        <f t="shared" si="17"/>
        <v>85480000</v>
      </c>
      <c r="H74" s="21">
        <f t="shared" si="17"/>
        <v>65200936.081245184</v>
      </c>
      <c r="I74" s="21">
        <f t="shared" si="17"/>
        <v>74528414.054280579</v>
      </c>
      <c r="J74" s="21">
        <f t="shared" si="17"/>
        <v>86461774.67409426</v>
      </c>
      <c r="K74" s="21">
        <f t="shared" si="17"/>
        <v>88189145.662853181</v>
      </c>
      <c r="L74" s="21">
        <f t="shared" si="17"/>
        <v>95712937.369832933</v>
      </c>
    </row>
    <row r="75" spans="1:12" x14ac:dyDescent="0.3">
      <c r="A75" s="4" t="s">
        <v>180</v>
      </c>
      <c r="B75" s="4" t="s">
        <v>331</v>
      </c>
      <c r="C75" s="10">
        <v>1579032000</v>
      </c>
      <c r="D75" s="10">
        <v>1599124000</v>
      </c>
      <c r="E75" s="10">
        <v>1669149000</v>
      </c>
      <c r="F75" s="10">
        <v>1770610000</v>
      </c>
      <c r="G75" s="10">
        <v>1858697000</v>
      </c>
      <c r="H75" s="10">
        <f>(H52+H53)*AVERAGE(C77:G77)</f>
        <v>2033179437.6067345</v>
      </c>
      <c r="I75" s="10">
        <f>(I52+I53)*AVERAGE(D77:H77)</f>
        <v>2132319608.0523243</v>
      </c>
      <c r="J75" s="10">
        <f>(J52+J53)*AVERAGE(E77:I77)</f>
        <v>2251730770.933342</v>
      </c>
      <c r="K75" s="10">
        <f>(K52+K53)*AVERAGE(F77:J77)</f>
        <v>2389542551.5518942</v>
      </c>
      <c r="L75" s="10">
        <f>(L52+L53)*AVERAGE(G77:K77)</f>
        <v>2518839163.3309302</v>
      </c>
    </row>
    <row r="76" spans="1:12" x14ac:dyDescent="0.3">
      <c r="A76" s="4" t="s">
        <v>332</v>
      </c>
      <c r="C76" s="10">
        <f t="shared" ref="C76:L76" si="18">C52+C53-C66-C74-C75+C58-C70</f>
        <v>15710060000</v>
      </c>
      <c r="D76" s="10">
        <f t="shared" si="18"/>
        <v>16263447000</v>
      </c>
      <c r="E76" s="10">
        <f t="shared" si="18"/>
        <v>16745130000</v>
      </c>
      <c r="F76" s="10">
        <f t="shared" si="18"/>
        <v>17722595000</v>
      </c>
      <c r="G76" s="10">
        <f t="shared" si="18"/>
        <v>18952193000</v>
      </c>
      <c r="H76" s="10">
        <f t="shared" si="18"/>
        <v>20441230398.404308</v>
      </c>
      <c r="I76" s="10">
        <f t="shared" si="18"/>
        <v>21491860058.001549</v>
      </c>
      <c r="J76" s="10">
        <f t="shared" si="18"/>
        <v>22715137840.256744</v>
      </c>
      <c r="K76" s="10">
        <f t="shared" si="18"/>
        <v>24151774660.554661</v>
      </c>
      <c r="L76" s="10">
        <f t="shared" si="18"/>
        <v>25723122646.840645</v>
      </c>
    </row>
    <row r="77" spans="1:12" x14ac:dyDescent="0.3">
      <c r="A77" s="4" t="s">
        <v>337</v>
      </c>
      <c r="C77" s="12">
        <f>C75/(C52+C53-C66)</f>
        <v>9.1118850446181912E-2</v>
      </c>
      <c r="D77" s="12">
        <f>D75/(D52+D53-D66)</f>
        <v>9.0272276541646532E-2</v>
      </c>
      <c r="E77" s="12">
        <f>E75/(E52+E53-E66)</f>
        <v>9.0166729275360818E-2</v>
      </c>
      <c r="F77" s="12">
        <f>F75/(F52+F53-F66)</f>
        <v>9.0579193013828871E-2</v>
      </c>
      <c r="G77" s="12">
        <f>G75/(G52+G53-G66)</f>
        <v>8.8886585994479531E-2</v>
      </c>
      <c r="H77" s="10"/>
      <c r="I77" s="10"/>
      <c r="J77" s="10"/>
      <c r="K77" s="10"/>
      <c r="L77" s="10"/>
    </row>
    <row r="78" spans="1:12" x14ac:dyDescent="0.3"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3.4" x14ac:dyDescent="0.45">
      <c r="A79" s="2" t="s">
        <v>343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3">
      <c r="A80" s="4" t="s">
        <v>174</v>
      </c>
      <c r="C80" s="10">
        <v>98383000</v>
      </c>
      <c r="D80" s="10">
        <f t="shared" ref="D80:L80" si="19">C100</f>
        <v>88864000</v>
      </c>
      <c r="E80" s="10">
        <f t="shared" si="19"/>
        <v>80296000</v>
      </c>
      <c r="F80" s="10">
        <f t="shared" si="19"/>
        <v>0</v>
      </c>
      <c r="G80" s="10">
        <f t="shared" si="19"/>
        <v>0</v>
      </c>
      <c r="H80" s="10">
        <f t="shared" si="19"/>
        <v>0</v>
      </c>
      <c r="I80" s="10">
        <f t="shared" si="19"/>
        <v>0</v>
      </c>
      <c r="J80" s="10">
        <f t="shared" si="19"/>
        <v>0</v>
      </c>
      <c r="K80" s="10">
        <f t="shared" si="19"/>
        <v>0</v>
      </c>
      <c r="L80" s="10">
        <f t="shared" si="19"/>
        <v>0</v>
      </c>
    </row>
    <row r="81" spans="1:12" x14ac:dyDescent="0.3">
      <c r="A81" s="4" t="s">
        <v>323</v>
      </c>
      <c r="B81" s="4" t="s">
        <v>20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</row>
    <row r="82" spans="1:12" x14ac:dyDescent="0.3"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3">
      <c r="A83" s="4" t="s">
        <v>324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3">
      <c r="A84" s="4" t="s">
        <v>325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</row>
    <row r="85" spans="1:12" x14ac:dyDescent="0.3">
      <c r="A85" s="4" t="s">
        <v>326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</row>
    <row r="86" spans="1:12" x14ac:dyDescent="0.3">
      <c r="C86" s="21">
        <f t="shared" ref="C86:L86" si="20">C84-C85</f>
        <v>0</v>
      </c>
      <c r="D86" s="21">
        <f t="shared" si="20"/>
        <v>0</v>
      </c>
      <c r="E86" s="21">
        <f t="shared" si="20"/>
        <v>0</v>
      </c>
      <c r="F86" s="21">
        <f t="shared" si="20"/>
        <v>0</v>
      </c>
      <c r="G86" s="21">
        <f t="shared" si="20"/>
        <v>0</v>
      </c>
      <c r="H86" s="21">
        <f t="shared" si="20"/>
        <v>0</v>
      </c>
      <c r="I86" s="21">
        <f t="shared" si="20"/>
        <v>0</v>
      </c>
      <c r="J86" s="21">
        <f t="shared" si="20"/>
        <v>0</v>
      </c>
      <c r="K86" s="21">
        <f t="shared" si="20"/>
        <v>0</v>
      </c>
      <c r="L86" s="21">
        <f t="shared" si="20"/>
        <v>0</v>
      </c>
    </row>
    <row r="87" spans="1:12" x14ac:dyDescent="0.3">
      <c r="A87" s="4" t="s">
        <v>327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x14ac:dyDescent="0.3">
      <c r="A88" s="4" t="s">
        <v>325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</row>
    <row r="89" spans="1:12" x14ac:dyDescent="0.3">
      <c r="A89" s="4" t="s">
        <v>326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</row>
    <row r="90" spans="1:12" x14ac:dyDescent="0.3">
      <c r="C90" s="21">
        <f t="shared" ref="C90:L90" si="21">C88-C89</f>
        <v>0</v>
      </c>
      <c r="D90" s="21">
        <f t="shared" si="21"/>
        <v>0</v>
      </c>
      <c r="E90" s="21">
        <f t="shared" si="21"/>
        <v>0</v>
      </c>
      <c r="F90" s="21">
        <f t="shared" si="21"/>
        <v>0</v>
      </c>
      <c r="G90" s="21">
        <f t="shared" si="21"/>
        <v>0</v>
      </c>
      <c r="H90" s="21">
        <f t="shared" si="21"/>
        <v>0</v>
      </c>
      <c r="I90" s="21">
        <f t="shared" si="21"/>
        <v>0</v>
      </c>
      <c r="J90" s="21">
        <f t="shared" si="21"/>
        <v>0</v>
      </c>
      <c r="K90" s="21">
        <f t="shared" si="21"/>
        <v>0</v>
      </c>
      <c r="L90" s="21">
        <f t="shared" si="21"/>
        <v>0</v>
      </c>
    </row>
    <row r="91" spans="1:12" x14ac:dyDescent="0.3">
      <c r="A91" s="4" t="s">
        <v>335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3">
      <c r="A92" s="4" t="s">
        <v>325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</row>
    <row r="93" spans="1:12" x14ac:dyDescent="0.3">
      <c r="A93" s="4" t="s">
        <v>329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</row>
    <row r="94" spans="1:12" x14ac:dyDescent="0.3">
      <c r="C94" s="21">
        <f t="shared" ref="C94:L94" si="22">C92-C93</f>
        <v>0</v>
      </c>
      <c r="D94" s="21">
        <f t="shared" si="22"/>
        <v>0</v>
      </c>
      <c r="E94" s="21">
        <f t="shared" si="22"/>
        <v>0</v>
      </c>
      <c r="F94" s="21">
        <f t="shared" si="22"/>
        <v>0</v>
      </c>
      <c r="G94" s="21">
        <f t="shared" si="22"/>
        <v>0</v>
      </c>
      <c r="H94" s="21">
        <f t="shared" si="22"/>
        <v>0</v>
      </c>
      <c r="I94" s="21">
        <f t="shared" si="22"/>
        <v>0</v>
      </c>
      <c r="J94" s="21">
        <f t="shared" si="22"/>
        <v>0</v>
      </c>
      <c r="K94" s="21">
        <f t="shared" si="22"/>
        <v>0</v>
      </c>
      <c r="L94" s="21">
        <f t="shared" si="22"/>
        <v>0</v>
      </c>
    </row>
    <row r="95" spans="1:12" x14ac:dyDescent="0.3">
      <c r="A95" s="4" t="s">
        <v>330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x14ac:dyDescent="0.3">
      <c r="A96" s="4" t="s">
        <v>325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</row>
    <row r="97" spans="1:12" x14ac:dyDescent="0.3">
      <c r="A97" s="4" t="s">
        <v>326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</row>
    <row r="98" spans="1:12" x14ac:dyDescent="0.3">
      <c r="C98" s="21">
        <f t="shared" ref="C98:L98" si="23">C96-C97</f>
        <v>0</v>
      </c>
      <c r="D98" s="21">
        <f t="shared" si="23"/>
        <v>0</v>
      </c>
      <c r="E98" s="21">
        <f t="shared" si="23"/>
        <v>0</v>
      </c>
      <c r="F98" s="21">
        <f t="shared" si="23"/>
        <v>0</v>
      </c>
      <c r="G98" s="21">
        <f t="shared" si="23"/>
        <v>0</v>
      </c>
      <c r="H98" s="21">
        <f t="shared" si="23"/>
        <v>0</v>
      </c>
      <c r="I98" s="21">
        <f t="shared" si="23"/>
        <v>0</v>
      </c>
      <c r="J98" s="21">
        <f t="shared" si="23"/>
        <v>0</v>
      </c>
      <c r="K98" s="21">
        <f t="shared" si="23"/>
        <v>0</v>
      </c>
      <c r="L98" s="21">
        <f t="shared" si="23"/>
        <v>0</v>
      </c>
    </row>
    <row r="99" spans="1:12" x14ac:dyDescent="0.3">
      <c r="A99" s="4" t="s">
        <v>180</v>
      </c>
      <c r="B99" s="4" t="s">
        <v>20</v>
      </c>
      <c r="C99" s="10">
        <v>9519000</v>
      </c>
      <c r="D99" s="10">
        <v>8568000</v>
      </c>
      <c r="E99" s="10">
        <v>80296000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</row>
    <row r="100" spans="1:12" x14ac:dyDescent="0.3">
      <c r="A100" s="4" t="s">
        <v>332</v>
      </c>
      <c r="C100" s="10">
        <f t="shared" ref="C100:L100" si="24">C80+C81-C90-C94-C98-C99+C86</f>
        <v>88864000</v>
      </c>
      <c r="D100" s="10">
        <f t="shared" si="24"/>
        <v>80296000</v>
      </c>
      <c r="E100" s="10">
        <f t="shared" si="24"/>
        <v>0</v>
      </c>
      <c r="F100" s="10">
        <f t="shared" si="24"/>
        <v>0</v>
      </c>
      <c r="G100" s="10">
        <f t="shared" si="24"/>
        <v>0</v>
      </c>
      <c r="H100" s="10">
        <f t="shared" si="24"/>
        <v>0</v>
      </c>
      <c r="I100" s="10">
        <f t="shared" si="24"/>
        <v>0</v>
      </c>
      <c r="J100" s="10">
        <f t="shared" si="24"/>
        <v>0</v>
      </c>
      <c r="K100" s="10">
        <f t="shared" si="24"/>
        <v>0</v>
      </c>
      <c r="L100" s="10">
        <f t="shared" si="24"/>
        <v>0</v>
      </c>
    </row>
    <row r="101" spans="1:12" x14ac:dyDescent="0.3"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x14ac:dyDescent="0.3"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3.4" x14ac:dyDescent="0.45">
      <c r="A103" s="2" t="s">
        <v>344</v>
      </c>
      <c r="C103" s="10"/>
      <c r="D103" s="10"/>
      <c r="E103" s="10"/>
      <c r="F103" s="10"/>
      <c r="G103" s="12"/>
      <c r="H103" s="10"/>
      <c r="I103" s="10"/>
      <c r="J103" s="10"/>
      <c r="K103" s="10"/>
      <c r="L103" s="10"/>
    </row>
    <row r="104" spans="1:12" x14ac:dyDescent="0.3">
      <c r="A104" s="4" t="s">
        <v>174</v>
      </c>
      <c r="C104" s="10">
        <v>235062000</v>
      </c>
      <c r="D104" s="10">
        <f t="shared" ref="D104:L104" si="25">C125</f>
        <v>259657000</v>
      </c>
      <c r="E104" s="10">
        <f t="shared" si="25"/>
        <v>305793000</v>
      </c>
      <c r="F104" s="10">
        <f t="shared" si="25"/>
        <v>275324000</v>
      </c>
      <c r="G104" s="10">
        <f t="shared" si="25"/>
        <v>413668000</v>
      </c>
      <c r="H104" s="10">
        <f t="shared" si="25"/>
        <v>396010000</v>
      </c>
      <c r="I104" s="10">
        <f t="shared" si="25"/>
        <v>455988303.13313329</v>
      </c>
      <c r="J104" s="10">
        <f t="shared" si="25"/>
        <v>526286684.40256655</v>
      </c>
      <c r="K104" s="10">
        <f t="shared" si="25"/>
        <v>604570673.08861375</v>
      </c>
      <c r="L104" s="10">
        <f t="shared" si="25"/>
        <v>715224414.0092895</v>
      </c>
    </row>
    <row r="105" spans="1:12" x14ac:dyDescent="0.3">
      <c r="A105" s="4" t="s">
        <v>323</v>
      </c>
      <c r="B105" s="4" t="s">
        <v>345</v>
      </c>
      <c r="C105" s="10">
        <v>64370000</v>
      </c>
      <c r="D105" s="10">
        <v>73895000</v>
      </c>
      <c r="E105" s="10">
        <v>24310000</v>
      </c>
      <c r="F105" s="10">
        <v>175282000</v>
      </c>
      <c r="G105" s="10">
        <v>26873000</v>
      </c>
      <c r="H105" s="10">
        <f>H104*AVERAGE(C105/C104,D105/D104,E105/E104,F105/F104,G105/G104)</f>
        <v>106093421.86694013</v>
      </c>
      <c r="I105" s="10">
        <f>I104*AVERAGE(D105/D104,E105/E104,F105/F104,G105/G104,H105/H104)</f>
        <v>121620548.26854859</v>
      </c>
      <c r="J105" s="10">
        <f>J104*AVERAGE(E105/E104,F105/F104,G105/G104,H105/H104,I105/I104)</f>
        <v>138489651.38363299</v>
      </c>
      <c r="K105" s="10">
        <f>K104*AVERAGE(F105/F104,G105/G104,H105/H104,I105/I104,J105/J104)</f>
        <v>181295160.72226781</v>
      </c>
      <c r="L105" s="10">
        <f>L104*AVERAGE(G105/G104,H105/H104,I105/I104,J105/J104,K105/K104)</f>
        <v>166304885.13580063</v>
      </c>
    </row>
    <row r="106" spans="1:12" x14ac:dyDescent="0.3"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3">
      <c r="A107" s="4" t="s">
        <v>324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x14ac:dyDescent="0.3">
      <c r="A108" s="4" t="s">
        <v>325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</row>
    <row r="109" spans="1:12" x14ac:dyDescent="0.3">
      <c r="A109" s="4" t="s">
        <v>326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</row>
    <row r="110" spans="1:12" x14ac:dyDescent="0.3">
      <c r="C110" s="21">
        <f t="shared" ref="C110:L110" si="26">C108-C109</f>
        <v>0</v>
      </c>
      <c r="D110" s="21">
        <f t="shared" si="26"/>
        <v>0</v>
      </c>
      <c r="E110" s="21">
        <f t="shared" si="26"/>
        <v>0</v>
      </c>
      <c r="F110" s="21">
        <f t="shared" si="26"/>
        <v>0</v>
      </c>
      <c r="G110" s="21">
        <f t="shared" si="26"/>
        <v>0</v>
      </c>
      <c r="H110" s="21">
        <f t="shared" si="26"/>
        <v>0</v>
      </c>
      <c r="I110" s="21">
        <f t="shared" si="26"/>
        <v>0</v>
      </c>
      <c r="J110" s="21">
        <f t="shared" si="26"/>
        <v>0</v>
      </c>
      <c r="K110" s="21">
        <f t="shared" si="26"/>
        <v>0</v>
      </c>
      <c r="L110" s="21">
        <f t="shared" si="26"/>
        <v>0</v>
      </c>
    </row>
    <row r="111" spans="1:12" x14ac:dyDescent="0.3">
      <c r="A111" s="4" t="s">
        <v>327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3">
      <c r="A112" s="4" t="s">
        <v>325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</row>
    <row r="113" spans="1:12" x14ac:dyDescent="0.3">
      <c r="A113" s="4" t="s">
        <v>326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</row>
    <row r="114" spans="1:12" x14ac:dyDescent="0.3">
      <c r="C114" s="21">
        <f t="shared" ref="C114:L114" si="27">C112-C113</f>
        <v>0</v>
      </c>
      <c r="D114" s="21">
        <f t="shared" si="27"/>
        <v>0</v>
      </c>
      <c r="E114" s="21">
        <f t="shared" si="27"/>
        <v>0</v>
      </c>
      <c r="F114" s="21">
        <f t="shared" si="27"/>
        <v>0</v>
      </c>
      <c r="G114" s="21">
        <f t="shared" si="27"/>
        <v>0</v>
      </c>
      <c r="H114" s="21">
        <f t="shared" si="27"/>
        <v>0</v>
      </c>
      <c r="I114" s="21">
        <f t="shared" si="27"/>
        <v>0</v>
      </c>
      <c r="J114" s="21">
        <f t="shared" si="27"/>
        <v>0</v>
      </c>
      <c r="K114" s="21">
        <f t="shared" si="27"/>
        <v>0</v>
      </c>
      <c r="L114" s="21">
        <f t="shared" si="27"/>
        <v>0</v>
      </c>
    </row>
    <row r="115" spans="1:12" x14ac:dyDescent="0.3">
      <c r="A115" s="4" t="s">
        <v>335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3">
      <c r="A116" s="4" t="s">
        <v>325</v>
      </c>
      <c r="C116" s="10">
        <v>17513000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</row>
    <row r="117" spans="1:12" x14ac:dyDescent="0.3">
      <c r="A117" s="4" t="s">
        <v>329</v>
      </c>
      <c r="C117" s="10">
        <v>6217000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</row>
    <row r="118" spans="1:12" x14ac:dyDescent="0.3">
      <c r="C118" s="21">
        <f t="shared" ref="C118:L118" si="28">C116-C117</f>
        <v>11296000</v>
      </c>
      <c r="D118" s="21">
        <f t="shared" si="28"/>
        <v>0</v>
      </c>
      <c r="E118" s="21">
        <f t="shared" si="28"/>
        <v>0</v>
      </c>
      <c r="F118" s="21">
        <f t="shared" si="28"/>
        <v>0</v>
      </c>
      <c r="G118" s="21">
        <f t="shared" si="28"/>
        <v>0</v>
      </c>
      <c r="H118" s="21">
        <f t="shared" si="28"/>
        <v>0</v>
      </c>
      <c r="I118" s="21">
        <f t="shared" si="28"/>
        <v>0</v>
      </c>
      <c r="J118" s="21">
        <f t="shared" si="28"/>
        <v>0</v>
      </c>
      <c r="K118" s="21">
        <f t="shared" si="28"/>
        <v>0</v>
      </c>
      <c r="L118" s="21">
        <f t="shared" si="28"/>
        <v>0</v>
      </c>
    </row>
    <row r="119" spans="1:12" x14ac:dyDescent="0.3">
      <c r="A119" s="4" t="s">
        <v>330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3">
      <c r="A120" s="4" t="s">
        <v>325</v>
      </c>
      <c r="B120" s="4" t="s">
        <v>336</v>
      </c>
      <c r="C120" s="10">
        <v>0</v>
      </c>
      <c r="D120" s="10">
        <v>0</v>
      </c>
      <c r="E120" s="10">
        <v>0</v>
      </c>
      <c r="F120" s="10">
        <v>1440000</v>
      </c>
      <c r="G120" s="10">
        <v>15660000</v>
      </c>
      <c r="H120" s="10">
        <f>H104*AVERAGE(C120/C104,D120/D104,E120/E104/F120/F104,G120/G104)</f>
        <v>3747882.7223763987</v>
      </c>
      <c r="I120" s="10">
        <f>I104*AVERAGE(D120/D104,E120/E104,F120/F104/G120/G104,H120/H104)</f>
        <v>1078881.0149481087</v>
      </c>
      <c r="J120" s="10">
        <f>J104*AVERAGE(E120/E104,F120/F104,G120/G104/H120/H104,I120/I104)</f>
        <v>999448.58794883254</v>
      </c>
      <c r="K120" s="10">
        <f>K104*AVERAGE(F120/F104,G120/G104,H120/H104/I120/I104,J120/J104)</f>
        <v>6799259.3529253108</v>
      </c>
      <c r="L120" s="10">
        <f>L104*AVERAGE(G120/G104,H120/H104,I120/I104/J120/J104,K120/K104)</f>
        <v>10472133.954115648</v>
      </c>
    </row>
    <row r="121" spans="1:12" x14ac:dyDescent="0.3">
      <c r="A121" s="4" t="s">
        <v>326</v>
      </c>
      <c r="B121" s="4" t="s">
        <v>336</v>
      </c>
      <c r="C121" s="10">
        <v>0</v>
      </c>
      <c r="D121" s="10">
        <v>0</v>
      </c>
      <c r="E121" s="10">
        <v>0</v>
      </c>
      <c r="F121" s="10">
        <v>1332000</v>
      </c>
      <c r="G121" s="10">
        <v>13053000</v>
      </c>
      <c r="H121" s="10">
        <f>H120*G121/G120</f>
        <v>3123953.5871761898</v>
      </c>
      <c r="I121" s="10">
        <f>I120*H121/H120</f>
        <v>899274.1946435289</v>
      </c>
      <c r="J121" s="10">
        <f>J120*I121/I120</f>
        <v>833065.28853742732</v>
      </c>
      <c r="K121" s="10">
        <f>K120*J121/J120</f>
        <v>5667352.0008770172</v>
      </c>
      <c r="L121" s="10">
        <f>L120*K121/K120</f>
        <v>8728784.4510262813</v>
      </c>
    </row>
    <row r="122" spans="1:12" x14ac:dyDescent="0.3">
      <c r="C122" s="21">
        <f t="shared" ref="C122:L122" si="29">C120-C121</f>
        <v>0</v>
      </c>
      <c r="D122" s="21">
        <f t="shared" si="29"/>
        <v>0</v>
      </c>
      <c r="E122" s="21">
        <f t="shared" si="29"/>
        <v>0</v>
      </c>
      <c r="F122" s="21">
        <f t="shared" si="29"/>
        <v>108000</v>
      </c>
      <c r="G122" s="21">
        <f t="shared" si="29"/>
        <v>2607000</v>
      </c>
      <c r="H122" s="21">
        <f t="shared" si="29"/>
        <v>623929.13520020898</v>
      </c>
      <c r="I122" s="21">
        <f t="shared" si="29"/>
        <v>179606.8203045798</v>
      </c>
      <c r="J122" s="21">
        <f t="shared" si="29"/>
        <v>166383.29941140523</v>
      </c>
      <c r="K122" s="21">
        <f t="shared" si="29"/>
        <v>1131907.3520482937</v>
      </c>
      <c r="L122" s="21">
        <f t="shared" si="29"/>
        <v>1743349.5030893665</v>
      </c>
    </row>
    <row r="123" spans="1:12" x14ac:dyDescent="0.3">
      <c r="A123" s="4" t="s">
        <v>346</v>
      </c>
      <c r="C123" s="43">
        <v>0</v>
      </c>
      <c r="D123" s="43">
        <v>0</v>
      </c>
      <c r="E123" s="43">
        <v>26198000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</row>
    <row r="124" spans="1:12" x14ac:dyDescent="0.3">
      <c r="A124" s="4" t="s">
        <v>180</v>
      </c>
      <c r="B124" s="4" t="s">
        <v>331</v>
      </c>
      <c r="C124" s="10">
        <v>28479000</v>
      </c>
      <c r="D124" s="10">
        <v>27759000</v>
      </c>
      <c r="E124" s="10">
        <v>28581000</v>
      </c>
      <c r="F124" s="10">
        <v>36830000</v>
      </c>
      <c r="G124" s="10">
        <v>41924000</v>
      </c>
      <c r="H124" s="10">
        <f>(H104+H105-H123)*AVERAGE(C126:G126)</f>
        <v>45491189.598606661</v>
      </c>
      <c r="I124" s="10">
        <f>(I104+I105-I123)*AVERAGE(D126:H126)</f>
        <v>51142560.178810686</v>
      </c>
      <c r="J124" s="10">
        <f>(J104+J105-J123)*AVERAGE(E126:I126)</f>
        <v>60039279.398174457</v>
      </c>
      <c r="K124" s="10">
        <f>(K104+K105-K123)*AVERAGE(F126:J126)</f>
        <v>69509512.449543893</v>
      </c>
      <c r="L124" s="10">
        <f>(L104+L105-L123)*AVERAGE(G126:K126)</f>
        <v>83890567.13758482</v>
      </c>
    </row>
    <row r="125" spans="1:12" x14ac:dyDescent="0.3">
      <c r="A125" s="4" t="s">
        <v>332</v>
      </c>
      <c r="C125" s="10">
        <f t="shared" ref="C125:L125" si="30">C104+C105-C114-C118-C122-C124+C110-C123</f>
        <v>259657000</v>
      </c>
      <c r="D125" s="10">
        <f t="shared" si="30"/>
        <v>305793000</v>
      </c>
      <c r="E125" s="10">
        <f t="shared" si="30"/>
        <v>275324000</v>
      </c>
      <c r="F125" s="10">
        <f t="shared" si="30"/>
        <v>413668000</v>
      </c>
      <c r="G125" s="10">
        <f t="shared" si="30"/>
        <v>396010000</v>
      </c>
      <c r="H125" s="10">
        <f t="shared" si="30"/>
        <v>455988303.13313329</v>
      </c>
      <c r="I125" s="10">
        <f t="shared" si="30"/>
        <v>526286684.40256655</v>
      </c>
      <c r="J125" s="10">
        <f t="shared" si="30"/>
        <v>604570673.08861375</v>
      </c>
      <c r="K125" s="10">
        <f t="shared" si="30"/>
        <v>715224414.0092895</v>
      </c>
      <c r="L125" s="10">
        <f t="shared" si="30"/>
        <v>795895382.50441599</v>
      </c>
    </row>
    <row r="126" spans="1:12" x14ac:dyDescent="0.3">
      <c r="A126" s="4" t="s">
        <v>337</v>
      </c>
      <c r="C126" s="12">
        <f>C124/(C104+C105-C118-C123)</f>
        <v>9.88387428158925E-2</v>
      </c>
      <c r="D126" s="12">
        <f>D124/(D104+D105-D118-D123)</f>
        <v>8.3222406101597354E-2</v>
      </c>
      <c r="E126" s="12">
        <f>E124/(E104+E105-E118-E123)</f>
        <v>9.4045836692387419E-2</v>
      </c>
      <c r="F126" s="12">
        <f>F124/(F104+F105-F118-F123)</f>
        <v>8.1734375485457367E-2</v>
      </c>
      <c r="G126" s="12">
        <f>G124/(G104+G105-G118-G123)</f>
        <v>9.5164808723819119E-2</v>
      </c>
      <c r="H126" s="10"/>
      <c r="I126" s="10"/>
      <c r="J126" s="10"/>
      <c r="K126" s="10"/>
      <c r="L126" s="10"/>
    </row>
    <row r="127" spans="1:12" x14ac:dyDescent="0.3"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ht="23.4" x14ac:dyDescent="0.45">
      <c r="A128" s="2" t="s">
        <v>347</v>
      </c>
      <c r="C128" s="10"/>
      <c r="D128" s="10"/>
      <c r="E128" s="10"/>
      <c r="F128" s="10"/>
      <c r="G128" s="12"/>
      <c r="H128" s="10"/>
      <c r="I128" s="10"/>
      <c r="J128" s="10"/>
      <c r="K128" s="10"/>
      <c r="L128" s="10"/>
    </row>
    <row r="129" spans="1:12" x14ac:dyDescent="0.3">
      <c r="A129" s="4" t="s">
        <v>174</v>
      </c>
      <c r="C129" s="10">
        <v>209029000</v>
      </c>
      <c r="D129" s="10">
        <f t="shared" ref="D129:L129" si="31">C149</f>
        <v>195249000</v>
      </c>
      <c r="E129" s="10">
        <f t="shared" si="31"/>
        <v>186568000</v>
      </c>
      <c r="F129" s="10">
        <f t="shared" si="31"/>
        <v>188647000</v>
      </c>
      <c r="G129" s="10">
        <f t="shared" si="31"/>
        <v>185848000</v>
      </c>
      <c r="H129" s="10">
        <f t="shared" si="31"/>
        <v>182343000</v>
      </c>
      <c r="I129" s="10">
        <f t="shared" si="31"/>
        <v>177859215.0889788</v>
      </c>
      <c r="J129" s="10">
        <f t="shared" si="31"/>
        <v>174624478.8311252</v>
      </c>
      <c r="K129" s="10">
        <f t="shared" si="31"/>
        <v>172396913.57199478</v>
      </c>
      <c r="L129" s="10">
        <f t="shared" si="31"/>
        <v>169307409.4104026</v>
      </c>
    </row>
    <row r="130" spans="1:12" x14ac:dyDescent="0.3">
      <c r="A130" s="4" t="s">
        <v>323</v>
      </c>
      <c r="B130" s="4" t="s">
        <v>348</v>
      </c>
      <c r="C130" s="10">
        <v>10523000</v>
      </c>
      <c r="D130" s="10">
        <v>11493000</v>
      </c>
      <c r="E130" s="10">
        <v>21845000</v>
      </c>
      <c r="F130" s="10">
        <v>16782000</v>
      </c>
      <c r="G130" s="10">
        <v>16458000</v>
      </c>
      <c r="H130" s="10">
        <f>H129*AVERAGE(C130/C129,D130/D129,E130/E129,F130/F129,G130/G129)</f>
        <v>14726396.774028653</v>
      </c>
      <c r="I130" s="10">
        <f>I129*AVERAGE(D130/D129,E130/E129,F130/F129,G130/G129,H130/H129)</f>
        <v>15446364.181722704</v>
      </c>
      <c r="J130" s="10">
        <f>J129*AVERAGE(E130/E129,F130/F129,G130/G129,H130/H129,I130/I129)</f>
        <v>16142733.736788774</v>
      </c>
      <c r="K130" s="10">
        <f>K129*AVERAGE(F130/F129,G130/G129,H130/H129,I130/I129,J130/J129)</f>
        <v>15087029.03180301</v>
      </c>
      <c r="L130" s="10">
        <f>L129*AVERAGE(G130/G129,H130/H129,I130/I129,J130/J129,K130/K129)</f>
        <v>14767676.693730893</v>
      </c>
    </row>
    <row r="131" spans="1:12" x14ac:dyDescent="0.3"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3">
      <c r="A132" s="4" t="s">
        <v>324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1:12" x14ac:dyDescent="0.3">
      <c r="A133" s="4" t="s">
        <v>325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</row>
    <row r="134" spans="1:12" x14ac:dyDescent="0.3">
      <c r="A134" s="4" t="s">
        <v>326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</row>
    <row r="135" spans="1:12" x14ac:dyDescent="0.3">
      <c r="C135" s="21">
        <f t="shared" ref="C135:L135" si="32">C133-C134</f>
        <v>0</v>
      </c>
      <c r="D135" s="21">
        <f t="shared" si="32"/>
        <v>0</v>
      </c>
      <c r="E135" s="21">
        <f t="shared" si="32"/>
        <v>0</v>
      </c>
      <c r="F135" s="21">
        <f t="shared" si="32"/>
        <v>0</v>
      </c>
      <c r="G135" s="21">
        <f t="shared" si="32"/>
        <v>0</v>
      </c>
      <c r="H135" s="21">
        <f t="shared" si="32"/>
        <v>0</v>
      </c>
      <c r="I135" s="21">
        <f t="shared" si="32"/>
        <v>0</v>
      </c>
      <c r="J135" s="21">
        <f t="shared" si="32"/>
        <v>0</v>
      </c>
      <c r="K135" s="21">
        <f t="shared" si="32"/>
        <v>0</v>
      </c>
      <c r="L135" s="21">
        <f t="shared" si="32"/>
        <v>0</v>
      </c>
    </row>
    <row r="136" spans="1:12" x14ac:dyDescent="0.3">
      <c r="A136" s="4" t="s">
        <v>327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1:12" x14ac:dyDescent="0.3">
      <c r="A137" s="4" t="s">
        <v>325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</row>
    <row r="138" spans="1:12" x14ac:dyDescent="0.3">
      <c r="A138" s="4" t="s">
        <v>326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</row>
    <row r="139" spans="1:12" x14ac:dyDescent="0.3">
      <c r="C139" s="21">
        <f t="shared" ref="C139:L139" si="33">C137-C138</f>
        <v>0</v>
      </c>
      <c r="D139" s="21">
        <f t="shared" si="33"/>
        <v>0</v>
      </c>
      <c r="E139" s="21">
        <f t="shared" si="33"/>
        <v>0</v>
      </c>
      <c r="F139" s="21">
        <f t="shared" si="33"/>
        <v>0</v>
      </c>
      <c r="G139" s="21">
        <f t="shared" si="33"/>
        <v>0</v>
      </c>
      <c r="H139" s="21">
        <f t="shared" si="33"/>
        <v>0</v>
      </c>
      <c r="I139" s="21">
        <f t="shared" si="33"/>
        <v>0</v>
      </c>
      <c r="J139" s="21">
        <f t="shared" si="33"/>
        <v>0</v>
      </c>
      <c r="K139" s="21">
        <f t="shared" si="33"/>
        <v>0</v>
      </c>
      <c r="L139" s="21">
        <f t="shared" si="33"/>
        <v>0</v>
      </c>
    </row>
    <row r="140" spans="1:12" x14ac:dyDescent="0.3">
      <c r="A140" s="4" t="s">
        <v>335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1:12" x14ac:dyDescent="0.3">
      <c r="A141" s="4" t="s">
        <v>325</v>
      </c>
      <c r="C141" s="10">
        <v>2820000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</row>
    <row r="142" spans="1:12" x14ac:dyDescent="0.3">
      <c r="A142" s="4" t="s">
        <v>329</v>
      </c>
      <c r="C142" s="10">
        <v>364000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</row>
    <row r="143" spans="1:12" x14ac:dyDescent="0.3">
      <c r="C143" s="21">
        <f t="shared" ref="C143:L143" si="34">C141-C142</f>
        <v>2456000</v>
      </c>
      <c r="D143" s="21">
        <f t="shared" si="34"/>
        <v>0</v>
      </c>
      <c r="E143" s="21">
        <f t="shared" si="34"/>
        <v>0</v>
      </c>
      <c r="F143" s="21">
        <f t="shared" si="34"/>
        <v>0</v>
      </c>
      <c r="G143" s="21">
        <f t="shared" si="34"/>
        <v>0</v>
      </c>
      <c r="H143" s="21">
        <f t="shared" si="34"/>
        <v>0</v>
      </c>
      <c r="I143" s="21">
        <f t="shared" si="34"/>
        <v>0</v>
      </c>
      <c r="J143" s="21">
        <f t="shared" si="34"/>
        <v>0</v>
      </c>
      <c r="K143" s="21">
        <f t="shared" si="34"/>
        <v>0</v>
      </c>
      <c r="L143" s="21">
        <f t="shared" si="34"/>
        <v>0</v>
      </c>
    </row>
    <row r="144" spans="1:12" x14ac:dyDescent="0.3">
      <c r="A144" s="4" t="s">
        <v>330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 x14ac:dyDescent="0.3">
      <c r="A145" s="4" t="s">
        <v>325</v>
      </c>
      <c r="B145" s="4" t="s">
        <v>336</v>
      </c>
      <c r="C145" s="10">
        <v>1136000</v>
      </c>
      <c r="D145" s="10">
        <v>0</v>
      </c>
      <c r="E145" s="10">
        <v>0</v>
      </c>
      <c r="F145" s="10">
        <v>0</v>
      </c>
      <c r="G145" s="10">
        <v>668000</v>
      </c>
      <c r="H145" s="10">
        <f>H129*AVERAGE(C145/C129,D145/D129,E145/E129,F145/F129,G145/G129)</f>
        <v>329274.54315643857</v>
      </c>
      <c r="I145" s="10">
        <f>I129*AVERAGE(D145/D129,E145/E129,F145/F129,G145/G129,H145/H129)</f>
        <v>192092.672976175</v>
      </c>
      <c r="J145" s="10">
        <f>J129*AVERAGE(E145/E129,F145/F129,G145/G129,H145/H129,I145/I129)</f>
        <v>226318.88635488026</v>
      </c>
      <c r="K145" s="10">
        <f>K129*AVERAGE(F145/F129,G145/G129,H145/H129,I145/I129,J145/J129)</f>
        <v>268118.26899731113</v>
      </c>
      <c r="L145" s="10">
        <f>L129*AVERAGE(G145/G129,H145/H129,I145/I129,J145/J129,K145/K129)</f>
        <v>315976.0248532223</v>
      </c>
    </row>
    <row r="146" spans="1:12" x14ac:dyDescent="0.3">
      <c r="A146" s="4" t="s">
        <v>326</v>
      </c>
      <c r="B146" s="4" t="s">
        <v>336</v>
      </c>
      <c r="C146" s="10">
        <v>975000</v>
      </c>
      <c r="D146" s="10">
        <v>0</v>
      </c>
      <c r="E146" s="10">
        <v>0</v>
      </c>
      <c r="F146" s="10">
        <v>0</v>
      </c>
      <c r="G146" s="10">
        <v>524000</v>
      </c>
      <c r="H146" s="10">
        <f>H145*G146/G145</f>
        <v>258293.20451193684</v>
      </c>
      <c r="I146" s="10">
        <f>I145*H146/H145</f>
        <v>150683.47401125103</v>
      </c>
      <c r="J146" s="10">
        <f>J145*I146/I145</f>
        <v>177531.58151191202</v>
      </c>
      <c r="K146" s="10">
        <f>K145*J146/J145</f>
        <v>210320.3187942979</v>
      </c>
      <c r="L146" s="10">
        <f>L145*K146/K145</f>
        <v>247861.4326692941</v>
      </c>
    </row>
    <row r="147" spans="1:12" x14ac:dyDescent="0.3">
      <c r="C147" s="21">
        <f t="shared" ref="C147:L147" si="35">C145-C146</f>
        <v>161000</v>
      </c>
      <c r="D147" s="21">
        <f t="shared" si="35"/>
        <v>0</v>
      </c>
      <c r="E147" s="21">
        <f t="shared" si="35"/>
        <v>0</v>
      </c>
      <c r="F147" s="21">
        <f t="shared" si="35"/>
        <v>0</v>
      </c>
      <c r="G147" s="21">
        <f t="shared" si="35"/>
        <v>144000</v>
      </c>
      <c r="H147" s="21">
        <f t="shared" si="35"/>
        <v>70981.338644501724</v>
      </c>
      <c r="I147" s="21">
        <f t="shared" si="35"/>
        <v>41409.198964923969</v>
      </c>
      <c r="J147" s="21">
        <f t="shared" si="35"/>
        <v>48787.304842968239</v>
      </c>
      <c r="K147" s="21">
        <f t="shared" si="35"/>
        <v>57797.950203013228</v>
      </c>
      <c r="L147" s="21">
        <f t="shared" si="35"/>
        <v>68114.592183928209</v>
      </c>
    </row>
    <row r="148" spans="1:12" x14ac:dyDescent="0.3">
      <c r="A148" s="4" t="s">
        <v>180</v>
      </c>
      <c r="B148" s="4" t="s">
        <v>331</v>
      </c>
      <c r="C148" s="10">
        <v>21686000</v>
      </c>
      <c r="D148" s="10">
        <v>20174000</v>
      </c>
      <c r="E148" s="10">
        <v>19766000</v>
      </c>
      <c r="F148" s="10">
        <v>19581000</v>
      </c>
      <c r="G148" s="10">
        <v>19819000</v>
      </c>
      <c r="H148" s="10">
        <f>(H129+H130)*AVERAGE(C150:G150)</f>
        <v>19139200.346405357</v>
      </c>
      <c r="I148" s="10">
        <f>(I129+I130)*AVERAGE(D150:H150)</f>
        <v>18639691.240611367</v>
      </c>
      <c r="J148" s="10">
        <f>(J129+J130)*AVERAGE(E150:I150)</f>
        <v>18321511.691076219</v>
      </c>
      <c r="K148" s="10">
        <f>(K129+K130)*AVERAGE(F150:J150)</f>
        <v>18118735.243192211</v>
      </c>
      <c r="L148" s="10">
        <f>(L129+L130)*AVERAGE(G150:K150)</f>
        <v>18033000.165579971</v>
      </c>
    </row>
    <row r="149" spans="1:12" x14ac:dyDescent="0.3">
      <c r="A149" s="4" t="s">
        <v>332</v>
      </c>
      <c r="C149" s="10">
        <f t="shared" ref="C149:L149" si="36">C129+C130-C139-C143-C147-C148+C135</f>
        <v>195249000</v>
      </c>
      <c r="D149" s="10">
        <f t="shared" si="36"/>
        <v>186568000</v>
      </c>
      <c r="E149" s="10">
        <f t="shared" si="36"/>
        <v>188647000</v>
      </c>
      <c r="F149" s="10">
        <f t="shared" si="36"/>
        <v>185848000</v>
      </c>
      <c r="G149" s="10">
        <f t="shared" si="36"/>
        <v>182343000</v>
      </c>
      <c r="H149" s="10">
        <f t="shared" si="36"/>
        <v>177859215.0889788</v>
      </c>
      <c r="I149" s="10">
        <f t="shared" si="36"/>
        <v>174624478.8311252</v>
      </c>
      <c r="J149" s="10">
        <f t="shared" si="36"/>
        <v>172396913.57199478</v>
      </c>
      <c r="K149" s="10">
        <f t="shared" si="36"/>
        <v>169307409.4104026</v>
      </c>
      <c r="L149" s="10">
        <f t="shared" si="36"/>
        <v>165973971.34636959</v>
      </c>
    </row>
    <row r="150" spans="1:12" x14ac:dyDescent="0.3">
      <c r="A150" s="4" t="s">
        <v>337</v>
      </c>
      <c r="C150" s="12">
        <f>C148/(C129+C130-C143)</f>
        <v>9.9891292331503109E-2</v>
      </c>
      <c r="D150" s="12">
        <f>D148/(D129+D130-D143)</f>
        <v>9.7580559344497012E-2</v>
      </c>
      <c r="E150" s="12">
        <f>E148/(E129+E130-E143)</f>
        <v>9.484053298018838E-2</v>
      </c>
      <c r="F150" s="12">
        <f>F148/(F129+F130-F143)</f>
        <v>9.531760364894927E-2</v>
      </c>
      <c r="G150" s="12">
        <f>G148/(G129+G130-G143)</f>
        <v>9.7965458266190825E-2</v>
      </c>
      <c r="H150" s="10"/>
      <c r="I150" s="10"/>
      <c r="J150" s="10"/>
      <c r="K150" s="10"/>
      <c r="L150" s="10"/>
    </row>
    <row r="151" spans="1:12" x14ac:dyDescent="0.3"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1:12" ht="23.4" x14ac:dyDescent="0.45">
      <c r="A152" s="2" t="s">
        <v>349</v>
      </c>
      <c r="C152" s="10"/>
      <c r="D152" s="10"/>
      <c r="E152" s="10"/>
      <c r="F152" s="10"/>
      <c r="G152" s="12"/>
      <c r="H152" s="10"/>
      <c r="I152" s="10"/>
      <c r="J152" s="10"/>
      <c r="K152" s="10"/>
      <c r="L152" s="10"/>
    </row>
    <row r="153" spans="1:12" x14ac:dyDescent="0.3">
      <c r="A153" s="4" t="s">
        <v>174</v>
      </c>
      <c r="C153" s="10">
        <v>160859000</v>
      </c>
      <c r="D153" s="10">
        <f t="shared" ref="D153:L153" si="37">C173</f>
        <v>137975000</v>
      </c>
      <c r="E153" s="10">
        <f t="shared" si="37"/>
        <v>155403000</v>
      </c>
      <c r="F153" s="10">
        <f t="shared" si="37"/>
        <v>171077000</v>
      </c>
      <c r="G153" s="10">
        <f t="shared" si="37"/>
        <v>173139000</v>
      </c>
      <c r="H153" s="10">
        <f t="shared" si="37"/>
        <v>180930000</v>
      </c>
      <c r="I153" s="10">
        <f t="shared" si="37"/>
        <v>194135855.0125601</v>
      </c>
      <c r="J153" s="10">
        <f t="shared" si="37"/>
        <v>208164700.02244201</v>
      </c>
      <c r="K153" s="10">
        <f t="shared" si="37"/>
        <v>220753585.09032178</v>
      </c>
      <c r="L153" s="10">
        <f t="shared" si="37"/>
        <v>232041156.09533384</v>
      </c>
    </row>
    <row r="154" spans="1:12" x14ac:dyDescent="0.3">
      <c r="A154" s="4" t="s">
        <v>323</v>
      </c>
      <c r="B154" s="4" t="s">
        <v>345</v>
      </c>
      <c r="C154" s="10">
        <v>33763000</v>
      </c>
      <c r="D154" s="10">
        <v>32620000</v>
      </c>
      <c r="E154" s="10">
        <v>32773000</v>
      </c>
      <c r="F154" s="10">
        <v>20661000</v>
      </c>
      <c r="G154" s="10">
        <v>26937000</v>
      </c>
      <c r="H154" s="10">
        <f>H153*AVERAGE(C154/C153,D154/D153,E154/E153,F154/F153,G154/G153)</f>
        <v>33781523.776371241</v>
      </c>
      <c r="I154" s="10">
        <f>I153*AVERAGE(D154/D153,E154/E153,F154/F153,G154/G153,H154/H153)</f>
        <v>35347125.652654082</v>
      </c>
      <c r="J154" s="10">
        <f>J153*AVERAGE(E154/E153,F154/F153,G154/G153,H154/H153,I154/I153)</f>
        <v>35638854.502391972</v>
      </c>
      <c r="K154" s="10">
        <f>K153*AVERAGE(F154/F153,G154/G153,H154/H153,I154/I153,J154/J153)</f>
        <v>36042000.584693216</v>
      </c>
      <c r="L154" s="10">
        <f>L153*AVERAGE(G154/G153,H154/H153,I154/I153,J154/J153,K154/K153)</f>
        <v>39857149.519016735</v>
      </c>
    </row>
    <row r="155" spans="1:12" x14ac:dyDescent="0.3"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 x14ac:dyDescent="0.3">
      <c r="A156" s="4" t="s">
        <v>324</v>
      </c>
    </row>
    <row r="157" spans="1:12" x14ac:dyDescent="0.3">
      <c r="A157" s="4" t="s">
        <v>325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</row>
    <row r="158" spans="1:12" x14ac:dyDescent="0.3">
      <c r="A158" s="4" t="s">
        <v>326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</row>
    <row r="159" spans="1:12" x14ac:dyDescent="0.3">
      <c r="C159" s="21">
        <f t="shared" ref="C159:L159" si="38">C157-C158</f>
        <v>0</v>
      </c>
      <c r="D159" s="21">
        <f t="shared" si="38"/>
        <v>0</v>
      </c>
      <c r="E159" s="21">
        <f t="shared" si="38"/>
        <v>0</v>
      </c>
      <c r="F159" s="21">
        <f t="shared" si="38"/>
        <v>0</v>
      </c>
      <c r="G159" s="21">
        <f t="shared" si="38"/>
        <v>0</v>
      </c>
      <c r="H159" s="21">
        <f t="shared" si="38"/>
        <v>0</v>
      </c>
      <c r="I159" s="21">
        <f t="shared" si="38"/>
        <v>0</v>
      </c>
      <c r="J159" s="21">
        <f t="shared" si="38"/>
        <v>0</v>
      </c>
      <c r="K159" s="21">
        <f t="shared" si="38"/>
        <v>0</v>
      </c>
      <c r="L159" s="21">
        <f t="shared" si="38"/>
        <v>0</v>
      </c>
    </row>
    <row r="160" spans="1:12" x14ac:dyDescent="0.3">
      <c r="A160" s="4" t="s">
        <v>327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1:12" x14ac:dyDescent="0.3">
      <c r="A161" s="4" t="s">
        <v>325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</row>
    <row r="162" spans="1:12" x14ac:dyDescent="0.3">
      <c r="A162" s="4" t="s">
        <v>326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x14ac:dyDescent="0.3">
      <c r="C163" s="21">
        <f t="shared" ref="C163:L163" si="39">C161-C162</f>
        <v>0</v>
      </c>
      <c r="D163" s="21">
        <f t="shared" si="39"/>
        <v>0</v>
      </c>
      <c r="E163" s="21">
        <f t="shared" si="39"/>
        <v>0</v>
      </c>
      <c r="F163" s="21">
        <f t="shared" si="39"/>
        <v>0</v>
      </c>
      <c r="G163" s="21">
        <f t="shared" si="39"/>
        <v>0</v>
      </c>
      <c r="H163" s="21">
        <f t="shared" si="39"/>
        <v>0</v>
      </c>
      <c r="I163" s="21">
        <f t="shared" si="39"/>
        <v>0</v>
      </c>
      <c r="J163" s="21">
        <f t="shared" si="39"/>
        <v>0</v>
      </c>
      <c r="K163" s="21">
        <f t="shared" si="39"/>
        <v>0</v>
      </c>
      <c r="L163" s="21">
        <f t="shared" si="39"/>
        <v>0</v>
      </c>
    </row>
    <row r="164" spans="1:12" x14ac:dyDescent="0.3">
      <c r="A164" s="4" t="s">
        <v>335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x14ac:dyDescent="0.3">
      <c r="A165" s="4" t="s">
        <v>325</v>
      </c>
      <c r="C165" s="10">
        <v>56973000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</row>
    <row r="166" spans="1:12" x14ac:dyDescent="0.3">
      <c r="A166" s="4" t="s">
        <v>329</v>
      </c>
      <c r="C166" s="10">
        <v>17959000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</row>
    <row r="167" spans="1:12" x14ac:dyDescent="0.3">
      <c r="C167" s="21">
        <f t="shared" ref="C167:L167" si="40">C165-C166</f>
        <v>39014000</v>
      </c>
      <c r="D167" s="21">
        <f t="shared" si="40"/>
        <v>0</v>
      </c>
      <c r="E167" s="21">
        <f t="shared" si="40"/>
        <v>0</v>
      </c>
      <c r="F167" s="21">
        <f t="shared" si="40"/>
        <v>0</v>
      </c>
      <c r="G167" s="21">
        <f t="shared" si="40"/>
        <v>0</v>
      </c>
      <c r="H167" s="21">
        <f t="shared" si="40"/>
        <v>0</v>
      </c>
      <c r="I167" s="21">
        <f t="shared" si="40"/>
        <v>0</v>
      </c>
      <c r="J167" s="21">
        <f t="shared" si="40"/>
        <v>0</v>
      </c>
      <c r="K167" s="21">
        <f t="shared" si="40"/>
        <v>0</v>
      </c>
      <c r="L167" s="21">
        <f t="shared" si="40"/>
        <v>0</v>
      </c>
    </row>
    <row r="168" spans="1:12" x14ac:dyDescent="0.3">
      <c r="A168" s="4" t="s">
        <v>330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1:12" x14ac:dyDescent="0.3">
      <c r="A169" s="4" t="s">
        <v>325</v>
      </c>
      <c r="B169" s="4" t="s">
        <v>336</v>
      </c>
      <c r="C169" s="10">
        <v>2887000</v>
      </c>
      <c r="D169" s="10">
        <v>570000</v>
      </c>
      <c r="E169" s="10">
        <v>90000</v>
      </c>
      <c r="F169" s="10">
        <v>407000</v>
      </c>
      <c r="G169" s="10">
        <v>383000</v>
      </c>
      <c r="H169" s="10">
        <f>H153*AVERAGE(C169/C153,D169/D153,E169/E153,F169/F153,G169/G153)</f>
        <v>986027.20035977208</v>
      </c>
      <c r="I169" s="10">
        <f>I153*AVERAGE(D169/D153,E169/E153,F169/F153,G169/G153,H169/H153)</f>
        <v>572748.74317827786</v>
      </c>
      <c r="J169" s="10">
        <f>J153*AVERAGE(E169/E153,F169/F153,G169/G153,H169/H153,I169/I153)</f>
        <v>564971.46127159614</v>
      </c>
      <c r="K169" s="10">
        <f>K153*AVERAGE(F169/F153,G169/G153,H169/H153,I169/I153,J169/J153)</f>
        <v>693396.71932602616</v>
      </c>
      <c r="L169" s="10">
        <f>L153*AVERAGE(G169/G153,H169/H153,I169/I153,J169/J153,K169/K153)</f>
        <v>764214.46892912325</v>
      </c>
    </row>
    <row r="170" spans="1:12" x14ac:dyDescent="0.3">
      <c r="A170" s="4" t="s">
        <v>326</v>
      </c>
      <c r="B170" s="4" t="s">
        <v>336</v>
      </c>
      <c r="C170" s="10">
        <v>1701000</v>
      </c>
      <c r="D170" s="10">
        <v>309000</v>
      </c>
      <c r="E170" s="10">
        <v>42000</v>
      </c>
      <c r="F170" s="10">
        <v>330000</v>
      </c>
      <c r="G170" s="10">
        <v>328000</v>
      </c>
      <c r="H170" s="10">
        <f>H169*G170/G169</f>
        <v>844430.60500784661</v>
      </c>
      <c r="I170" s="10">
        <f>I169*H170/H169</f>
        <v>490500.2291448437</v>
      </c>
      <c r="J170" s="10">
        <f>J169*I170/I169</f>
        <v>483839.78928742436</v>
      </c>
      <c r="K170" s="10">
        <f>K169*J170/J169</f>
        <v>593822.77790845057</v>
      </c>
      <c r="L170" s="10">
        <f>L169*K170/K169</f>
        <v>654470.87678525434</v>
      </c>
    </row>
    <row r="171" spans="1:12" x14ac:dyDescent="0.3">
      <c r="C171" s="21">
        <f t="shared" ref="C171:L171" si="41">C169-C170</f>
        <v>1186000</v>
      </c>
      <c r="D171" s="21">
        <f t="shared" si="41"/>
        <v>261000</v>
      </c>
      <c r="E171" s="21">
        <f t="shared" si="41"/>
        <v>48000</v>
      </c>
      <c r="F171" s="21">
        <f t="shared" si="41"/>
        <v>77000</v>
      </c>
      <c r="G171" s="21">
        <f t="shared" si="41"/>
        <v>55000</v>
      </c>
      <c r="H171" s="21">
        <f t="shared" si="41"/>
        <v>141596.59535192547</v>
      </c>
      <c r="I171" s="21">
        <f t="shared" si="41"/>
        <v>82248.514033434156</v>
      </c>
      <c r="J171" s="21">
        <f t="shared" si="41"/>
        <v>81131.671984171786</v>
      </c>
      <c r="K171" s="21">
        <f t="shared" si="41"/>
        <v>99573.941417575581</v>
      </c>
      <c r="L171" s="21">
        <f t="shared" si="41"/>
        <v>109743.59214386891</v>
      </c>
    </row>
    <row r="172" spans="1:12" x14ac:dyDescent="0.3">
      <c r="A172" s="4" t="s">
        <v>180</v>
      </c>
      <c r="B172" s="4" t="s">
        <v>331</v>
      </c>
      <c r="C172" s="10">
        <v>16447000</v>
      </c>
      <c r="D172" s="10">
        <v>14931000</v>
      </c>
      <c r="E172" s="10">
        <v>17051000</v>
      </c>
      <c r="F172" s="10">
        <v>18522000</v>
      </c>
      <c r="G172" s="10">
        <v>19091000</v>
      </c>
      <c r="H172" s="10">
        <f>(H153+H154)*AVERAGE(C174:G174)</f>
        <v>20434072.168459207</v>
      </c>
      <c r="I172" s="10">
        <f>(I153+I154)*AVERAGE(D174:H174)</f>
        <v>21236032.128738724</v>
      </c>
      <c r="J172" s="10">
        <f>(J153+J154)*AVERAGE(E174:I174)</f>
        <v>22968837.762528036</v>
      </c>
      <c r="K172" s="10">
        <f>(K153+K154)*AVERAGE(F174:J174)</f>
        <v>24654855.638263576</v>
      </c>
      <c r="L172" s="10">
        <f>(L153+L154)*AVERAGE(G174:K174)</f>
        <v>25944193.968709722</v>
      </c>
    </row>
    <row r="173" spans="1:12" x14ac:dyDescent="0.3">
      <c r="A173" s="4" t="s">
        <v>332</v>
      </c>
      <c r="C173" s="10">
        <f t="shared" ref="C173:L173" si="42">C153+C154-C163-C167-C171-C172+C159</f>
        <v>137975000</v>
      </c>
      <c r="D173" s="10">
        <f t="shared" si="42"/>
        <v>155403000</v>
      </c>
      <c r="E173" s="10">
        <f t="shared" si="42"/>
        <v>171077000</v>
      </c>
      <c r="F173" s="10">
        <f t="shared" si="42"/>
        <v>173139000</v>
      </c>
      <c r="G173" s="10">
        <f t="shared" si="42"/>
        <v>180930000</v>
      </c>
      <c r="H173" s="10">
        <f t="shared" si="42"/>
        <v>194135855.0125601</v>
      </c>
      <c r="I173" s="10">
        <f t="shared" si="42"/>
        <v>208164700.02244201</v>
      </c>
      <c r="J173" s="10">
        <f t="shared" si="42"/>
        <v>220753585.09032178</v>
      </c>
      <c r="K173" s="10">
        <f t="shared" si="42"/>
        <v>232041156.09533384</v>
      </c>
      <c r="L173" s="10">
        <f t="shared" si="42"/>
        <v>245844368.05349696</v>
      </c>
    </row>
    <row r="174" spans="1:12" x14ac:dyDescent="0.3">
      <c r="A174" s="4" t="s">
        <v>337</v>
      </c>
      <c r="C174" s="12">
        <f>C172/(C153+C154-C167)</f>
        <v>0.10569507994447586</v>
      </c>
      <c r="D174" s="12">
        <f>D172/(D153+D154-D167)</f>
        <v>8.7523080981271428E-2</v>
      </c>
      <c r="E174" s="12">
        <f>E172/(E153+E154-E167)</f>
        <v>9.0611980273786238E-2</v>
      </c>
      <c r="F174" s="12">
        <f>F172/(F153+F154-F167)</f>
        <v>9.6600569527167279E-2</v>
      </c>
      <c r="G174" s="12">
        <f>G172/(G153+G154-G167)</f>
        <v>9.5418740878466177E-2</v>
      </c>
      <c r="H174" s="10"/>
      <c r="I174" s="10"/>
      <c r="J174" s="10"/>
      <c r="K174" s="10"/>
      <c r="L174" s="10"/>
    </row>
    <row r="175" spans="1:12" x14ac:dyDescent="0.3"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 ht="23.4" x14ac:dyDescent="0.45">
      <c r="A176" s="2" t="s">
        <v>350</v>
      </c>
      <c r="C176" s="10"/>
      <c r="D176" s="10"/>
      <c r="E176" s="10"/>
      <c r="F176" s="10"/>
      <c r="G176" s="12"/>
      <c r="H176" s="10"/>
      <c r="I176" s="10"/>
      <c r="J176" s="10"/>
      <c r="K176" s="10"/>
      <c r="L176" s="10"/>
    </row>
    <row r="177" spans="1:12" x14ac:dyDescent="0.3">
      <c r="A177" s="4" t="s">
        <v>174</v>
      </c>
      <c r="C177" s="10">
        <v>32204000</v>
      </c>
      <c r="D177" s="10">
        <f t="shared" ref="D177:L177" si="43">C197</f>
        <v>27458000</v>
      </c>
      <c r="E177" s="10">
        <f t="shared" si="43"/>
        <v>49711000</v>
      </c>
      <c r="F177" s="10">
        <f t="shared" si="43"/>
        <v>45450000</v>
      </c>
      <c r="G177" s="10">
        <f t="shared" si="43"/>
        <v>43888000</v>
      </c>
      <c r="H177" s="10">
        <f t="shared" si="43"/>
        <v>41835000</v>
      </c>
      <c r="I177" s="10">
        <f t="shared" si="43"/>
        <v>47127956.612852544</v>
      </c>
      <c r="J177" s="10">
        <f t="shared" si="43"/>
        <v>53994369.923508406</v>
      </c>
      <c r="K177" s="10">
        <f t="shared" si="43"/>
        <v>54747338.140498333</v>
      </c>
      <c r="L177" s="10">
        <f t="shared" si="43"/>
        <v>56596715.822938144</v>
      </c>
    </row>
    <row r="178" spans="1:12" x14ac:dyDescent="0.3">
      <c r="A178" s="4" t="s">
        <v>323</v>
      </c>
      <c r="B178" s="4" t="s">
        <v>345</v>
      </c>
      <c r="C178" s="10">
        <v>13363000</v>
      </c>
      <c r="D178" s="10">
        <v>36409000</v>
      </c>
      <c r="E178" s="10">
        <v>12983000</v>
      </c>
      <c r="F178" s="10">
        <v>14838000</v>
      </c>
      <c r="G178" s="10">
        <v>13669000</v>
      </c>
      <c r="H178" s="10">
        <f>H177*AVERAGE(C178/C177,D178/D177,E178/E177,F178/F177,G178/G177)</f>
        <v>22089108.59401067</v>
      </c>
      <c r="I178" s="10">
        <f>I177*AVERAGE(D178/D177,E178/E177,F178/F177,G178/G177,H178/H177)</f>
        <v>25949447.78507955</v>
      </c>
      <c r="J178" s="10">
        <f>J177*AVERAGE(E178/E177,F178/F177,G178/G177,H178/H177,I178/I177)</f>
        <v>21357067.146535579</v>
      </c>
      <c r="K178" s="10">
        <f>K177*AVERAGE(F178/F177,G178/G177,H178/H177,I178/I177,J178/J177)</f>
        <v>23126210.034336824</v>
      </c>
      <c r="L178" s="10">
        <f>L177*AVERAGE(G178/G177,H178/H177,I178/I177,J178/J177,K178/K177)</f>
        <v>24993491.831789419</v>
      </c>
    </row>
    <row r="179" spans="1:12" x14ac:dyDescent="0.3"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 x14ac:dyDescent="0.3">
      <c r="A180" s="4" t="s">
        <v>324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 x14ac:dyDescent="0.3">
      <c r="A181" s="4" t="s">
        <v>325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</row>
    <row r="182" spans="1:12" x14ac:dyDescent="0.3">
      <c r="A182" s="4" t="s">
        <v>326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</row>
    <row r="183" spans="1:12" x14ac:dyDescent="0.3">
      <c r="C183" s="21">
        <f t="shared" ref="C183:L183" si="44">C181-C182</f>
        <v>0</v>
      </c>
      <c r="D183" s="21">
        <f t="shared" si="44"/>
        <v>0</v>
      </c>
      <c r="E183" s="21">
        <f t="shared" si="44"/>
        <v>0</v>
      </c>
      <c r="F183" s="21">
        <f t="shared" si="44"/>
        <v>0</v>
      </c>
      <c r="G183" s="21">
        <f t="shared" si="44"/>
        <v>0</v>
      </c>
      <c r="H183" s="21">
        <f t="shared" si="44"/>
        <v>0</v>
      </c>
      <c r="I183" s="21">
        <f t="shared" si="44"/>
        <v>0</v>
      </c>
      <c r="J183" s="21">
        <f t="shared" si="44"/>
        <v>0</v>
      </c>
      <c r="K183" s="21">
        <f t="shared" si="44"/>
        <v>0</v>
      </c>
      <c r="L183" s="21">
        <f t="shared" si="44"/>
        <v>0</v>
      </c>
    </row>
    <row r="184" spans="1:12" x14ac:dyDescent="0.3">
      <c r="A184" s="4" t="s">
        <v>327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 x14ac:dyDescent="0.3">
      <c r="A185" s="4" t="s">
        <v>325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</row>
    <row r="186" spans="1:12" x14ac:dyDescent="0.3">
      <c r="A186" s="4" t="s">
        <v>326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</row>
    <row r="187" spans="1:12" x14ac:dyDescent="0.3">
      <c r="C187" s="21">
        <f t="shared" ref="C187:L187" si="45">C185-C186</f>
        <v>0</v>
      </c>
      <c r="D187" s="21">
        <f t="shared" si="45"/>
        <v>0</v>
      </c>
      <c r="E187" s="21">
        <f t="shared" si="45"/>
        <v>0</v>
      </c>
      <c r="F187" s="21">
        <f t="shared" si="45"/>
        <v>0</v>
      </c>
      <c r="G187" s="21">
        <f t="shared" si="45"/>
        <v>0</v>
      </c>
      <c r="H187" s="21">
        <f t="shared" si="45"/>
        <v>0</v>
      </c>
      <c r="I187" s="21">
        <f t="shared" si="45"/>
        <v>0</v>
      </c>
      <c r="J187" s="21">
        <f t="shared" si="45"/>
        <v>0</v>
      </c>
      <c r="K187" s="21">
        <f t="shared" si="45"/>
        <v>0</v>
      </c>
      <c r="L187" s="21">
        <f t="shared" si="45"/>
        <v>0</v>
      </c>
    </row>
    <row r="188" spans="1:12" x14ac:dyDescent="0.3">
      <c r="A188" s="4" t="s">
        <v>335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 x14ac:dyDescent="0.3">
      <c r="A189" s="4" t="s">
        <v>325</v>
      </c>
      <c r="C189" s="10">
        <v>14173000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</row>
    <row r="190" spans="1:12" x14ac:dyDescent="0.3">
      <c r="A190" s="4" t="s">
        <v>329</v>
      </c>
      <c r="C190" s="10">
        <v>6117000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</row>
    <row r="191" spans="1:12" x14ac:dyDescent="0.3">
      <c r="C191" s="21">
        <f t="shared" ref="C191:L191" si="46">C189-C190</f>
        <v>8056000</v>
      </c>
      <c r="D191" s="21">
        <f t="shared" si="46"/>
        <v>0</v>
      </c>
      <c r="E191" s="21">
        <f t="shared" si="46"/>
        <v>0</v>
      </c>
      <c r="F191" s="21">
        <f t="shared" si="46"/>
        <v>0</v>
      </c>
      <c r="G191" s="21">
        <f t="shared" si="46"/>
        <v>0</v>
      </c>
      <c r="H191" s="21">
        <f t="shared" si="46"/>
        <v>0</v>
      </c>
      <c r="I191" s="21">
        <f t="shared" si="46"/>
        <v>0</v>
      </c>
      <c r="J191" s="21">
        <f t="shared" si="46"/>
        <v>0</v>
      </c>
      <c r="K191" s="21">
        <f t="shared" si="46"/>
        <v>0</v>
      </c>
      <c r="L191" s="21">
        <f t="shared" si="46"/>
        <v>0</v>
      </c>
    </row>
    <row r="192" spans="1:12" x14ac:dyDescent="0.3">
      <c r="A192" s="4" t="s">
        <v>330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 x14ac:dyDescent="0.3">
      <c r="A193" s="4" t="s">
        <v>325</v>
      </c>
      <c r="B193" s="4" t="s">
        <v>336</v>
      </c>
      <c r="C193" s="10">
        <v>346000</v>
      </c>
      <c r="D193" s="10">
        <v>864000</v>
      </c>
      <c r="E193" s="10">
        <v>1098000</v>
      </c>
      <c r="F193" s="10">
        <v>676000</v>
      </c>
      <c r="G193" s="10">
        <v>704000</v>
      </c>
      <c r="H193" s="10">
        <f>H177*AVERAGE(C193/C177,D193/D177,E193/E177,F193/F177,G193/G177)</f>
        <v>796640.74156352691</v>
      </c>
      <c r="I193" s="10">
        <f>I177*AVERAGE(D193/D177,E193/E177,F193/F177,G193/G177,H193/H177)</f>
        <v>975649.28171907121</v>
      </c>
      <c r="J193" s="10">
        <f>J177*AVERAGE(E193/E177,F193/F177,G193/G177,H193/H177,I193/I177)</f>
        <v>1001558.4762600557</v>
      </c>
      <c r="K193" s="10">
        <f>K177*AVERAGE(F193/F177,G193/G177,H193/H177,I193/I177,J193/J177)</f>
        <v>976782.4317534772</v>
      </c>
      <c r="L193" s="10">
        <f>L177*AVERAGE(G193/G177,H193/H177,I193/I177,J193/J177,K193/K177)</f>
        <v>1043375.9331700341</v>
      </c>
    </row>
    <row r="194" spans="1:12" x14ac:dyDescent="0.3">
      <c r="A194" s="4" t="s">
        <v>326</v>
      </c>
      <c r="B194" s="4" t="s">
        <v>336</v>
      </c>
      <c r="C194" s="10">
        <v>264000</v>
      </c>
      <c r="D194" s="10">
        <v>698000</v>
      </c>
      <c r="E194" s="10">
        <v>670000</v>
      </c>
      <c r="F194" s="10">
        <v>456000</v>
      </c>
      <c r="G194" s="10">
        <v>435000</v>
      </c>
      <c r="H194" s="10">
        <f>H193*G194/G193</f>
        <v>492242.50366496335</v>
      </c>
      <c r="I194" s="10">
        <f>I193*H194/H193</f>
        <v>602851.47378948296</v>
      </c>
      <c r="J194" s="10">
        <f>J193*I194/I193</f>
        <v>618860.7062118242</v>
      </c>
      <c r="K194" s="10">
        <f>K193*J194/J193</f>
        <v>603551.64462040144</v>
      </c>
      <c r="L194" s="10">
        <f>L193*K194/K193</f>
        <v>644699.61779682501</v>
      </c>
    </row>
    <row r="195" spans="1:12" x14ac:dyDescent="0.3">
      <c r="C195" s="21">
        <f t="shared" ref="C195:L195" si="47">C193-C194</f>
        <v>82000</v>
      </c>
      <c r="D195" s="21">
        <f t="shared" si="47"/>
        <v>166000</v>
      </c>
      <c r="E195" s="21">
        <f t="shared" si="47"/>
        <v>428000</v>
      </c>
      <c r="F195" s="21">
        <f t="shared" si="47"/>
        <v>220000</v>
      </c>
      <c r="G195" s="21">
        <f t="shared" si="47"/>
        <v>269000</v>
      </c>
      <c r="H195" s="21">
        <f t="shared" si="47"/>
        <v>304398.23789856356</v>
      </c>
      <c r="I195" s="21">
        <f t="shared" si="47"/>
        <v>372797.80792958825</v>
      </c>
      <c r="J195" s="21">
        <f t="shared" si="47"/>
        <v>382697.77004823147</v>
      </c>
      <c r="K195" s="21">
        <f t="shared" si="47"/>
        <v>373230.78713307576</v>
      </c>
      <c r="L195" s="21">
        <f t="shared" si="47"/>
        <v>398676.31537320907</v>
      </c>
    </row>
    <row r="196" spans="1:12" x14ac:dyDescent="0.3">
      <c r="A196" s="4" t="s">
        <v>180</v>
      </c>
      <c r="B196" s="4" t="s">
        <v>331</v>
      </c>
      <c r="C196" s="10">
        <v>9971000</v>
      </c>
      <c r="D196" s="10">
        <v>13990000</v>
      </c>
      <c r="E196" s="10">
        <v>16816000</v>
      </c>
      <c r="F196" s="10">
        <v>16180000</v>
      </c>
      <c r="G196" s="10">
        <v>15453000</v>
      </c>
      <c r="H196" s="10">
        <f>(H177+H178)*AVERAGE(C198:G198)</f>
        <v>16491753.743259558</v>
      </c>
      <c r="I196" s="10">
        <f>(I177+I178)*AVERAGE(D198:H198)</f>
        <v>18710236.666494105</v>
      </c>
      <c r="J196" s="10">
        <f>(J177+J178)*AVERAGE(E198:I198)</f>
        <v>20221401.159497418</v>
      </c>
      <c r="K196" s="10">
        <f>(K177+K178)*AVERAGE(F198:J198)</f>
        <v>20903601.56476393</v>
      </c>
      <c r="L196" s="10">
        <f>(L177+L178)*AVERAGE(G198:K198)</f>
        <v>21905475.943647254</v>
      </c>
    </row>
    <row r="197" spans="1:12" x14ac:dyDescent="0.3">
      <c r="A197" s="4" t="s">
        <v>332</v>
      </c>
      <c r="C197" s="10">
        <f t="shared" ref="C197:L197" si="48">C177+C178-C187-C191-C195-C196+C183</f>
        <v>27458000</v>
      </c>
      <c r="D197" s="10">
        <f t="shared" si="48"/>
        <v>49711000</v>
      </c>
      <c r="E197" s="10">
        <f t="shared" si="48"/>
        <v>45450000</v>
      </c>
      <c r="F197" s="10">
        <f t="shared" si="48"/>
        <v>43888000</v>
      </c>
      <c r="G197" s="10">
        <f t="shared" si="48"/>
        <v>41835000</v>
      </c>
      <c r="H197" s="10">
        <f t="shared" si="48"/>
        <v>47127956.612852544</v>
      </c>
      <c r="I197" s="10">
        <f t="shared" si="48"/>
        <v>53994369.923508406</v>
      </c>
      <c r="J197" s="10">
        <f t="shared" si="48"/>
        <v>54747338.140498333</v>
      </c>
      <c r="K197" s="10">
        <f t="shared" si="48"/>
        <v>56596715.822938144</v>
      </c>
      <c r="L197" s="10">
        <f t="shared" si="48"/>
        <v>59286055.395707101</v>
      </c>
    </row>
    <row r="198" spans="1:12" x14ac:dyDescent="0.3">
      <c r="A198" s="4" t="s">
        <v>351</v>
      </c>
      <c r="C198" s="12">
        <f>C196/(C177+C178-C191)</f>
        <v>0.26581536082749058</v>
      </c>
      <c r="D198" s="12">
        <f>D196/(D177+D178-D191)</f>
        <v>0.21904896112233235</v>
      </c>
      <c r="E198" s="12">
        <f>E196/(E177+E178-E191)</f>
        <v>0.26822343445943791</v>
      </c>
      <c r="F198" s="12">
        <f>F196/(F177+F178-F191)</f>
        <v>0.26837845010615713</v>
      </c>
      <c r="G198" s="12">
        <f>G196/(G177+G178-G191)</f>
        <v>0.26848167903122122</v>
      </c>
      <c r="H198" s="10"/>
      <c r="I198" s="10"/>
      <c r="J198" s="10"/>
      <c r="K198" s="10"/>
      <c r="L198" s="10"/>
    </row>
    <row r="199" spans="1:12" x14ac:dyDescent="0.3"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 ht="23.4" x14ac:dyDescent="0.45">
      <c r="A200" s="2" t="s">
        <v>352</v>
      </c>
      <c r="C200" s="10"/>
      <c r="D200" s="10"/>
      <c r="E200" s="10"/>
      <c r="F200" s="10"/>
      <c r="G200" s="12"/>
      <c r="H200" s="10"/>
      <c r="I200" s="10"/>
      <c r="J200" s="10"/>
      <c r="K200" s="10"/>
      <c r="L200" s="10"/>
    </row>
    <row r="201" spans="1:12" x14ac:dyDescent="0.3">
      <c r="A201" s="4" t="s">
        <v>174</v>
      </c>
      <c r="C201" s="10">
        <v>348784000</v>
      </c>
      <c r="D201" s="10">
        <f t="shared" ref="D201:L201" si="49">C221</f>
        <v>352474000</v>
      </c>
      <c r="E201" s="10">
        <f t="shared" si="49"/>
        <v>330754000</v>
      </c>
      <c r="F201" s="10">
        <f t="shared" si="49"/>
        <v>281406000</v>
      </c>
      <c r="G201" s="10">
        <f t="shared" si="49"/>
        <v>307979000</v>
      </c>
      <c r="H201" s="10">
        <f t="shared" si="49"/>
        <v>315236000</v>
      </c>
      <c r="I201" s="10">
        <f t="shared" si="49"/>
        <v>312874996.28094387</v>
      </c>
      <c r="J201" s="10">
        <f t="shared" si="49"/>
        <v>308042575.0346173</v>
      </c>
      <c r="K201" s="10">
        <f t="shared" si="49"/>
        <v>306350152.0911566</v>
      </c>
      <c r="L201" s="10">
        <f t="shared" si="49"/>
        <v>313930204.14357603</v>
      </c>
    </row>
    <row r="202" spans="1:12" x14ac:dyDescent="0.3">
      <c r="A202" s="4" t="s">
        <v>323</v>
      </c>
      <c r="B202" s="4" t="s">
        <v>345</v>
      </c>
      <c r="C202" s="10">
        <v>109726000</v>
      </c>
      <c r="D202" s="10">
        <v>72603000</v>
      </c>
      <c r="E202" s="10">
        <v>40009000</v>
      </c>
      <c r="F202" s="10">
        <v>116552000</v>
      </c>
      <c r="G202" s="10">
        <v>90849000</v>
      </c>
      <c r="H202" s="10">
        <f>H201*AVERAGE(C202/C201,D202/D201,E202/E201,F202/F201,G202/G201)</f>
        <v>85157966.159256622</v>
      </c>
      <c r="I202" s="10">
        <f>I201*AVERAGE(D202/D201,E202/E201,F202/F201,G202/G201,H202/H201)</f>
        <v>81738361.252066731</v>
      </c>
      <c r="J202" s="10">
        <f>J201*AVERAGE(E202/E201,F202/F201,G202/G201,H202/H201,I202/I201)</f>
        <v>83880880.938427746</v>
      </c>
      <c r="K202" s="10">
        <f>K201*AVERAGE(F202/F201,G202/G201,H202/H201,I202/I201,J202/J201)</f>
        <v>92692627.740619227</v>
      </c>
      <c r="L202" s="10">
        <f>L201*AVERAGE(G202/G201,H202/H201,I202/I201,J202/J201,K202/K201)</f>
        <v>87978798.757513955</v>
      </c>
    </row>
    <row r="203" spans="1:12" x14ac:dyDescent="0.3"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 x14ac:dyDescent="0.3">
      <c r="A204" s="4" t="s">
        <v>324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 x14ac:dyDescent="0.3">
      <c r="A205" s="4" t="s">
        <v>325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</row>
    <row r="206" spans="1:12" x14ac:dyDescent="0.3">
      <c r="A206" s="4" t="s">
        <v>326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</row>
    <row r="207" spans="1:12" x14ac:dyDescent="0.3">
      <c r="C207" s="21">
        <f t="shared" ref="C207:L207" si="50">C205-C206</f>
        <v>0</v>
      </c>
      <c r="D207" s="21">
        <f t="shared" si="50"/>
        <v>0</v>
      </c>
      <c r="E207" s="21">
        <f t="shared" si="50"/>
        <v>0</v>
      </c>
      <c r="F207" s="21">
        <f t="shared" si="50"/>
        <v>0</v>
      </c>
      <c r="G207" s="21">
        <f t="shared" si="50"/>
        <v>0</v>
      </c>
      <c r="H207" s="21">
        <f t="shared" si="50"/>
        <v>0</v>
      </c>
      <c r="I207" s="21">
        <f t="shared" si="50"/>
        <v>0</v>
      </c>
      <c r="J207" s="21">
        <f t="shared" si="50"/>
        <v>0</v>
      </c>
      <c r="K207" s="21">
        <f t="shared" si="50"/>
        <v>0</v>
      </c>
      <c r="L207" s="21">
        <f t="shared" si="50"/>
        <v>0</v>
      </c>
    </row>
    <row r="208" spans="1:12" x14ac:dyDescent="0.3">
      <c r="A208" s="4" t="s">
        <v>327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 x14ac:dyDescent="0.3">
      <c r="A209" s="4" t="s">
        <v>325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</row>
    <row r="210" spans="1:12" x14ac:dyDescent="0.3">
      <c r="A210" s="4" t="s">
        <v>326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</row>
    <row r="211" spans="1:12" x14ac:dyDescent="0.3">
      <c r="C211" s="21">
        <f t="shared" ref="C211:L211" si="51">C209-C210</f>
        <v>0</v>
      </c>
      <c r="D211" s="21">
        <f t="shared" si="51"/>
        <v>0</v>
      </c>
      <c r="E211" s="21">
        <f t="shared" si="51"/>
        <v>0</v>
      </c>
      <c r="F211" s="21">
        <f t="shared" si="51"/>
        <v>0</v>
      </c>
      <c r="G211" s="21">
        <f t="shared" si="51"/>
        <v>0</v>
      </c>
      <c r="H211" s="21">
        <f t="shared" si="51"/>
        <v>0</v>
      </c>
      <c r="I211" s="21">
        <f t="shared" si="51"/>
        <v>0</v>
      </c>
      <c r="J211" s="21">
        <f t="shared" si="51"/>
        <v>0</v>
      </c>
      <c r="K211" s="21">
        <f t="shared" si="51"/>
        <v>0</v>
      </c>
      <c r="L211" s="21">
        <f t="shared" si="51"/>
        <v>0</v>
      </c>
    </row>
    <row r="212" spans="1:12" x14ac:dyDescent="0.3">
      <c r="A212" s="4" t="s">
        <v>335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 x14ac:dyDescent="0.3">
      <c r="A213" s="4" t="s">
        <v>325</v>
      </c>
      <c r="C213" s="10">
        <v>15269000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</row>
    <row r="214" spans="1:12" x14ac:dyDescent="0.3">
      <c r="A214" s="4" t="s">
        <v>329</v>
      </c>
      <c r="C214" s="10">
        <v>6371000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</row>
    <row r="215" spans="1:12" x14ac:dyDescent="0.3">
      <c r="C215" s="21">
        <f t="shared" ref="C215:L215" si="52">C213-C214</f>
        <v>8898000</v>
      </c>
      <c r="D215" s="21">
        <f t="shared" si="52"/>
        <v>0</v>
      </c>
      <c r="E215" s="21">
        <f t="shared" si="52"/>
        <v>0</v>
      </c>
      <c r="F215" s="21">
        <f t="shared" si="52"/>
        <v>0</v>
      </c>
      <c r="G215" s="21">
        <f t="shared" si="52"/>
        <v>0</v>
      </c>
      <c r="H215" s="21">
        <f t="shared" si="52"/>
        <v>0</v>
      </c>
      <c r="I215" s="21">
        <f t="shared" si="52"/>
        <v>0</v>
      </c>
      <c r="J215" s="21">
        <f t="shared" si="52"/>
        <v>0</v>
      </c>
      <c r="K215" s="21">
        <f t="shared" si="52"/>
        <v>0</v>
      </c>
      <c r="L215" s="21">
        <f t="shared" si="52"/>
        <v>0</v>
      </c>
    </row>
    <row r="216" spans="1:12" x14ac:dyDescent="0.3">
      <c r="A216" s="4" t="s">
        <v>330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 x14ac:dyDescent="0.3">
      <c r="A217" s="4" t="s">
        <v>325</v>
      </c>
      <c r="B217" s="4" t="s">
        <v>336</v>
      </c>
      <c r="C217" s="10">
        <v>78889000</v>
      </c>
      <c r="D217" s="10">
        <v>67879000</v>
      </c>
      <c r="E217" s="10">
        <v>54013000</v>
      </c>
      <c r="F217" s="10">
        <v>76250000</v>
      </c>
      <c r="G217" s="10">
        <v>60294000</v>
      </c>
      <c r="H217" s="10">
        <f>H201*AVERAGE(C217/C201,D217/D201,E217/E201,F217/F201,G217/G201)</f>
        <v>66123793.210438788</v>
      </c>
      <c r="I217" s="10">
        <f>I201*AVERAGE(D217/D201,E217/E201,F217/F201,G217/G201,H217/H201)</f>
        <v>64600860.875789821</v>
      </c>
      <c r="J217" s="10">
        <f>J201*AVERAGE(E217/E201,F217/F201,G217/G201,H217/H201,I217/I201)</f>
        <v>64459213.70996765</v>
      </c>
      <c r="K217" s="10">
        <f>K201*AVERAGE(F217/F201,G217/G201,H217/H201,I217/I201,J217/J201)</f>
        <v>66920522.9852456</v>
      </c>
      <c r="L217" s="10">
        <f>L201*AVERAGE(G217/G201,H217/H201,I217/I201,J217/J201,K217/K201)</f>
        <v>65279055.916215353</v>
      </c>
    </row>
    <row r="218" spans="1:12" x14ac:dyDescent="0.3">
      <c r="A218" s="4" t="s">
        <v>326</v>
      </c>
      <c r="B218" s="4" t="s">
        <v>336</v>
      </c>
      <c r="C218" s="10">
        <v>49917000</v>
      </c>
      <c r="D218" s="10">
        <v>42531000</v>
      </c>
      <c r="E218" s="10">
        <v>27494000</v>
      </c>
      <c r="F218" s="10">
        <v>45266000</v>
      </c>
      <c r="G218" s="10">
        <v>37795000</v>
      </c>
      <c r="H218" s="10">
        <f>H217*G218/G217</f>
        <v>41449377.456936575</v>
      </c>
      <c r="I218" s="10">
        <f>I217*H218/H217</f>
        <v>40494734.746417157</v>
      </c>
      <c r="J218" s="10">
        <f>J217*I218/I217</f>
        <v>40405943.910973348</v>
      </c>
      <c r="K218" s="10">
        <f>K217*J218/J217</f>
        <v>41948803.632655941</v>
      </c>
      <c r="L218" s="10">
        <f>L217*K218/K217</f>
        <v>40919858.001681082</v>
      </c>
    </row>
    <row r="219" spans="1:12" x14ac:dyDescent="0.3">
      <c r="C219" s="21">
        <f t="shared" ref="C219:L219" si="53">C217-C218</f>
        <v>28972000</v>
      </c>
      <c r="D219" s="21">
        <f t="shared" si="53"/>
        <v>25348000</v>
      </c>
      <c r="E219" s="21">
        <f t="shared" si="53"/>
        <v>26519000</v>
      </c>
      <c r="F219" s="21">
        <f t="shared" si="53"/>
        <v>30984000</v>
      </c>
      <c r="G219" s="21">
        <f t="shared" si="53"/>
        <v>22499000</v>
      </c>
      <c r="H219" s="21">
        <f t="shared" si="53"/>
        <v>24674415.753502212</v>
      </c>
      <c r="I219" s="21">
        <f t="shared" si="53"/>
        <v>24106126.129372664</v>
      </c>
      <c r="J219" s="21">
        <f t="shared" si="53"/>
        <v>24053269.798994303</v>
      </c>
      <c r="K219" s="21">
        <f t="shared" si="53"/>
        <v>24971719.352589659</v>
      </c>
      <c r="L219" s="21">
        <f t="shared" si="53"/>
        <v>24359197.914534271</v>
      </c>
    </row>
    <row r="220" spans="1:12" x14ac:dyDescent="0.3">
      <c r="A220" s="4" t="s">
        <v>180</v>
      </c>
      <c r="B220" s="4" t="s">
        <v>331</v>
      </c>
      <c r="C220" s="10">
        <v>68166000</v>
      </c>
      <c r="D220" s="10">
        <v>68975000</v>
      </c>
      <c r="E220" s="10">
        <v>62838000</v>
      </c>
      <c r="F220" s="10">
        <v>58995000</v>
      </c>
      <c r="G220" s="10">
        <v>61093000</v>
      </c>
      <c r="H220" s="10">
        <f>(H201+H202)*AVERAGE(C222:G222)</f>
        <v>62844554.124810562</v>
      </c>
      <c r="I220" s="10">
        <f>(I201+I202)*AVERAGE(D222:H222)</f>
        <v>62464656.369020611</v>
      </c>
      <c r="J220" s="10">
        <f>(J201+J202)*AVERAGE(E222:I222)</f>
        <v>61520034.082894169</v>
      </c>
      <c r="K220" s="10">
        <f>(K201+K202)*AVERAGE(F222:J222)</f>
        <v>60140856.335610129</v>
      </c>
      <c r="L220" s="10">
        <f>(L201+L202)*AVERAGE(G222:K222)</f>
        <v>61564952.095229745</v>
      </c>
    </row>
    <row r="221" spans="1:12" x14ac:dyDescent="0.3">
      <c r="A221" s="4" t="s">
        <v>332</v>
      </c>
      <c r="C221" s="10">
        <f t="shared" ref="C221:L221" si="54">C201+C202-C211-C215-C219-C220+C207</f>
        <v>352474000</v>
      </c>
      <c r="D221" s="10">
        <f t="shared" si="54"/>
        <v>330754000</v>
      </c>
      <c r="E221" s="10">
        <f t="shared" si="54"/>
        <v>281406000</v>
      </c>
      <c r="F221" s="10">
        <f t="shared" si="54"/>
        <v>307979000</v>
      </c>
      <c r="G221" s="10">
        <f t="shared" si="54"/>
        <v>315236000</v>
      </c>
      <c r="H221" s="10">
        <f t="shared" si="54"/>
        <v>312874996.28094387</v>
      </c>
      <c r="I221" s="10">
        <f t="shared" si="54"/>
        <v>308042575.0346173</v>
      </c>
      <c r="J221" s="10">
        <f t="shared" si="54"/>
        <v>306350152.0911566</v>
      </c>
      <c r="K221" s="10">
        <f t="shared" si="54"/>
        <v>313930204.14357603</v>
      </c>
      <c r="L221" s="10">
        <f t="shared" si="54"/>
        <v>315984852.89132595</v>
      </c>
    </row>
    <row r="222" spans="1:12" x14ac:dyDescent="0.3">
      <c r="A222" s="4" t="s">
        <v>337</v>
      </c>
      <c r="C222" s="12">
        <f>C220/(C201+C202-C215)</f>
        <v>0.15161072213375087</v>
      </c>
      <c r="D222" s="12">
        <f>D220/(D201+D202-D215)</f>
        <v>0.16226471909795168</v>
      </c>
      <c r="E222" s="12">
        <f>E220/(E201+E202-E215)</f>
        <v>0.16948293114469351</v>
      </c>
      <c r="F222" s="12">
        <f>F220/(F201+F202-F215)</f>
        <v>0.14824428708557186</v>
      </c>
      <c r="G222" s="12">
        <f>G220/(G201+G202-G215)</f>
        <v>0.15318132127132497</v>
      </c>
      <c r="H222" s="10"/>
      <c r="I222" s="10"/>
      <c r="J222" s="10"/>
      <c r="K222" s="10"/>
      <c r="L222" s="10"/>
    </row>
    <row r="223" spans="1:12" x14ac:dyDescent="0.3"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 ht="21" x14ac:dyDescent="0.4">
      <c r="A224" s="99" t="s">
        <v>353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 x14ac:dyDescent="0.3">
      <c r="A225" s="11" t="s">
        <v>338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 x14ac:dyDescent="0.3">
      <c r="A226" s="4" t="s">
        <v>174</v>
      </c>
      <c r="C226" s="10">
        <v>200675000</v>
      </c>
      <c r="D226" s="10">
        <f t="shared" ref="D226:L226" si="55">C246</f>
        <v>181191000</v>
      </c>
      <c r="E226" s="10">
        <f t="shared" si="55"/>
        <v>0</v>
      </c>
      <c r="F226" s="10">
        <f t="shared" si="55"/>
        <v>0</v>
      </c>
      <c r="G226" s="10">
        <f t="shared" si="55"/>
        <v>0</v>
      </c>
      <c r="H226" s="10">
        <f t="shared" si="55"/>
        <v>0</v>
      </c>
      <c r="I226" s="10">
        <f t="shared" si="55"/>
        <v>0</v>
      </c>
      <c r="J226" s="10">
        <f t="shared" si="55"/>
        <v>0</v>
      </c>
      <c r="K226" s="10">
        <f t="shared" si="55"/>
        <v>0</v>
      </c>
      <c r="L226" s="10">
        <f t="shared" si="55"/>
        <v>0</v>
      </c>
    </row>
    <row r="227" spans="1:12" x14ac:dyDescent="0.3">
      <c r="A227" s="4" t="s">
        <v>323</v>
      </c>
      <c r="C227" s="10">
        <v>0</v>
      </c>
      <c r="D227" s="10">
        <v>0</v>
      </c>
      <c r="E227" s="10"/>
      <c r="F227" s="10"/>
      <c r="G227" s="10"/>
      <c r="H227" s="10"/>
      <c r="I227" s="10"/>
      <c r="J227" s="10"/>
      <c r="K227" s="10"/>
      <c r="L227" s="10"/>
    </row>
    <row r="228" spans="1:12" x14ac:dyDescent="0.3"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 x14ac:dyDescent="0.3">
      <c r="A229" s="4" t="s">
        <v>324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 x14ac:dyDescent="0.3">
      <c r="A230" s="4" t="s">
        <v>325</v>
      </c>
      <c r="C230" s="10">
        <v>0</v>
      </c>
      <c r="D230" s="10">
        <v>-300000000</v>
      </c>
      <c r="E230" s="10"/>
      <c r="F230" s="10"/>
      <c r="G230" s="10"/>
      <c r="H230" s="10"/>
      <c r="I230" s="10"/>
      <c r="J230" s="10"/>
      <c r="K230" s="10"/>
      <c r="L230" s="10"/>
    </row>
    <row r="231" spans="1:12" x14ac:dyDescent="0.3">
      <c r="A231" s="4" t="s">
        <v>326</v>
      </c>
      <c r="C231" s="10">
        <v>0</v>
      </c>
      <c r="D231" s="10">
        <v>-118809000</v>
      </c>
      <c r="E231" s="10"/>
      <c r="F231" s="10"/>
      <c r="G231" s="10"/>
      <c r="H231" s="10"/>
      <c r="I231" s="10"/>
      <c r="J231" s="10"/>
      <c r="K231" s="10"/>
      <c r="L231" s="10"/>
    </row>
    <row r="232" spans="1:12" x14ac:dyDescent="0.3">
      <c r="C232" s="21">
        <f t="shared" ref="C232:L232" si="56">C230-C231</f>
        <v>0</v>
      </c>
      <c r="D232" s="21">
        <f t="shared" si="56"/>
        <v>-181191000</v>
      </c>
      <c r="E232" s="21">
        <f t="shared" si="56"/>
        <v>0</v>
      </c>
      <c r="F232" s="21">
        <f t="shared" si="56"/>
        <v>0</v>
      </c>
      <c r="G232" s="21">
        <f t="shared" si="56"/>
        <v>0</v>
      </c>
      <c r="H232" s="21">
        <f t="shared" si="56"/>
        <v>0</v>
      </c>
      <c r="I232" s="21">
        <f t="shared" si="56"/>
        <v>0</v>
      </c>
      <c r="J232" s="21">
        <f t="shared" si="56"/>
        <v>0</v>
      </c>
      <c r="K232" s="21">
        <f t="shared" si="56"/>
        <v>0</v>
      </c>
      <c r="L232" s="21">
        <f t="shared" si="56"/>
        <v>0</v>
      </c>
    </row>
    <row r="233" spans="1:12" x14ac:dyDescent="0.3">
      <c r="A233" s="4" t="s">
        <v>327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1:12" x14ac:dyDescent="0.3">
      <c r="A234" s="4" t="s">
        <v>325</v>
      </c>
      <c r="C234" s="10">
        <v>0</v>
      </c>
      <c r="D234" s="10">
        <v>0</v>
      </c>
      <c r="E234" s="10"/>
      <c r="F234" s="10"/>
      <c r="G234" s="10"/>
      <c r="H234" s="10"/>
      <c r="I234" s="10"/>
      <c r="J234" s="10"/>
      <c r="K234" s="10"/>
      <c r="L234" s="10"/>
    </row>
    <row r="235" spans="1:12" x14ac:dyDescent="0.3">
      <c r="A235" s="4" t="s">
        <v>326</v>
      </c>
      <c r="C235" s="10">
        <v>0</v>
      </c>
      <c r="D235" s="10">
        <v>0</v>
      </c>
      <c r="E235" s="10"/>
      <c r="F235" s="10"/>
      <c r="G235" s="10"/>
      <c r="H235" s="10"/>
      <c r="I235" s="10"/>
      <c r="J235" s="10"/>
      <c r="K235" s="10"/>
      <c r="L235" s="10"/>
    </row>
    <row r="236" spans="1:12" x14ac:dyDescent="0.3">
      <c r="C236" s="21">
        <f t="shared" ref="C236:L236" si="57">C234-C235</f>
        <v>0</v>
      </c>
      <c r="D236" s="21">
        <f t="shared" si="57"/>
        <v>0</v>
      </c>
      <c r="E236" s="21">
        <f t="shared" si="57"/>
        <v>0</v>
      </c>
      <c r="F236" s="21">
        <f t="shared" si="57"/>
        <v>0</v>
      </c>
      <c r="G236" s="21">
        <f t="shared" si="57"/>
        <v>0</v>
      </c>
      <c r="H236" s="21">
        <f t="shared" si="57"/>
        <v>0</v>
      </c>
      <c r="I236" s="21">
        <f t="shared" si="57"/>
        <v>0</v>
      </c>
      <c r="J236" s="21">
        <f t="shared" si="57"/>
        <v>0</v>
      </c>
      <c r="K236" s="21">
        <f t="shared" si="57"/>
        <v>0</v>
      </c>
      <c r="L236" s="21">
        <f t="shared" si="57"/>
        <v>0</v>
      </c>
    </row>
    <row r="237" spans="1:12" x14ac:dyDescent="0.3">
      <c r="A237" s="4" t="s">
        <v>335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 x14ac:dyDescent="0.3">
      <c r="A238" s="4" t="s">
        <v>325</v>
      </c>
      <c r="C238" s="10">
        <v>0</v>
      </c>
      <c r="D238" s="10">
        <v>0</v>
      </c>
      <c r="E238" s="10"/>
      <c r="F238" s="10"/>
      <c r="G238" s="10"/>
      <c r="H238" s="10"/>
      <c r="I238" s="10"/>
      <c r="J238" s="10"/>
      <c r="K238" s="10"/>
      <c r="L238" s="10"/>
    </row>
    <row r="239" spans="1:12" x14ac:dyDescent="0.3">
      <c r="A239" s="4" t="s">
        <v>329</v>
      </c>
      <c r="C239" s="10">
        <v>0</v>
      </c>
      <c r="D239" s="10">
        <v>0</v>
      </c>
      <c r="E239" s="10"/>
      <c r="F239" s="10"/>
      <c r="G239" s="10"/>
      <c r="H239" s="10"/>
      <c r="I239" s="10"/>
      <c r="J239" s="10"/>
      <c r="K239" s="10"/>
      <c r="L239" s="10"/>
    </row>
    <row r="240" spans="1:12" x14ac:dyDescent="0.3">
      <c r="C240" s="21">
        <f t="shared" ref="C240:L240" si="58">C238-C239</f>
        <v>0</v>
      </c>
      <c r="D240" s="21">
        <f t="shared" si="58"/>
        <v>0</v>
      </c>
      <c r="E240" s="21">
        <f t="shared" si="58"/>
        <v>0</v>
      </c>
      <c r="F240" s="21">
        <f t="shared" si="58"/>
        <v>0</v>
      </c>
      <c r="G240" s="21">
        <f t="shared" si="58"/>
        <v>0</v>
      </c>
      <c r="H240" s="21">
        <f t="shared" si="58"/>
        <v>0</v>
      </c>
      <c r="I240" s="21">
        <f t="shared" si="58"/>
        <v>0</v>
      </c>
      <c r="J240" s="21">
        <f t="shared" si="58"/>
        <v>0</v>
      </c>
      <c r="K240" s="21">
        <f t="shared" si="58"/>
        <v>0</v>
      </c>
      <c r="L240" s="21">
        <f t="shared" si="58"/>
        <v>0</v>
      </c>
    </row>
    <row r="241" spans="1:12" x14ac:dyDescent="0.3">
      <c r="A241" s="4" t="s">
        <v>330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 x14ac:dyDescent="0.3">
      <c r="A242" s="4" t="s">
        <v>325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</row>
    <row r="243" spans="1:12" x14ac:dyDescent="0.3">
      <c r="A243" s="4" t="s">
        <v>326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</row>
    <row r="244" spans="1:12" x14ac:dyDescent="0.3">
      <c r="C244" s="21">
        <f t="shared" ref="C244:L244" si="59">-C242-C243</f>
        <v>0</v>
      </c>
      <c r="D244" s="21">
        <f t="shared" si="59"/>
        <v>0</v>
      </c>
      <c r="E244" s="21">
        <f t="shared" si="59"/>
        <v>0</v>
      </c>
      <c r="F244" s="21">
        <f t="shared" si="59"/>
        <v>0</v>
      </c>
      <c r="G244" s="21">
        <f t="shared" si="59"/>
        <v>0</v>
      </c>
      <c r="H244" s="21">
        <f t="shared" si="59"/>
        <v>0</v>
      </c>
      <c r="I244" s="21">
        <f t="shared" si="59"/>
        <v>0</v>
      </c>
      <c r="J244" s="21">
        <f t="shared" si="59"/>
        <v>0</v>
      </c>
      <c r="K244" s="21">
        <f t="shared" si="59"/>
        <v>0</v>
      </c>
      <c r="L244" s="21">
        <f t="shared" si="59"/>
        <v>0</v>
      </c>
    </row>
    <row r="245" spans="1:12" x14ac:dyDescent="0.3">
      <c r="A245" s="4" t="s">
        <v>180</v>
      </c>
      <c r="B245" s="4" t="s">
        <v>20</v>
      </c>
      <c r="C245" s="10">
        <v>19484000</v>
      </c>
      <c r="D245" s="10">
        <v>0</v>
      </c>
      <c r="E245" s="10"/>
      <c r="F245" s="10"/>
      <c r="G245" s="10"/>
      <c r="H245" s="10"/>
      <c r="I245" s="10"/>
      <c r="J245" s="10"/>
      <c r="K245" s="10"/>
      <c r="L245" s="10"/>
    </row>
    <row r="246" spans="1:12" x14ac:dyDescent="0.3">
      <c r="A246" s="4" t="s">
        <v>332</v>
      </c>
      <c r="C246" s="10">
        <f t="shared" ref="C246:L246" si="60">C226+C227-C236-C240-C244-C245+C232</f>
        <v>181191000</v>
      </c>
      <c r="D246" s="10">
        <f t="shared" si="60"/>
        <v>0</v>
      </c>
      <c r="E246" s="10">
        <f t="shared" si="60"/>
        <v>0</v>
      </c>
      <c r="F246" s="10">
        <f t="shared" si="60"/>
        <v>0</v>
      </c>
      <c r="G246" s="10">
        <f t="shared" si="60"/>
        <v>0</v>
      </c>
      <c r="H246" s="10">
        <f t="shared" si="60"/>
        <v>0</v>
      </c>
      <c r="I246" s="10">
        <f t="shared" si="60"/>
        <v>0</v>
      </c>
      <c r="J246" s="10">
        <f t="shared" si="60"/>
        <v>0</v>
      </c>
      <c r="K246" s="10">
        <f t="shared" si="60"/>
        <v>0</v>
      </c>
      <c r="L246" s="10">
        <f t="shared" si="60"/>
        <v>0</v>
      </c>
    </row>
    <row r="247" spans="1:12" x14ac:dyDescent="0.3"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 x14ac:dyDescent="0.3"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 x14ac:dyDescent="0.3">
      <c r="A249" s="4" t="s">
        <v>354</v>
      </c>
      <c r="C249" s="10">
        <f t="shared" ref="C249:L249" si="61">C4+C29+C53+C81+C105+C130+C154+C178+C202+C227</f>
        <v>5903228000</v>
      </c>
      <c r="D249" s="10">
        <f t="shared" si="61"/>
        <v>3661932000</v>
      </c>
      <c r="E249" s="10">
        <f t="shared" si="61"/>
        <v>2869755000</v>
      </c>
      <c r="F249" s="10">
        <f t="shared" si="61"/>
        <v>5097065000</v>
      </c>
      <c r="G249" s="10">
        <f t="shared" si="61"/>
        <v>4512663000</v>
      </c>
      <c r="H249" s="10">
        <f t="shared" si="61"/>
        <v>5832452120.5136023</v>
      </c>
      <c r="I249" s="10">
        <f t="shared" si="61"/>
        <v>5688067568.0142994</v>
      </c>
      <c r="J249" s="10">
        <f t="shared" si="61"/>
        <v>6170804136.3529835</v>
      </c>
      <c r="K249" s="10">
        <f t="shared" si="61"/>
        <v>7266746139.5379505</v>
      </c>
      <c r="L249" s="10">
        <f t="shared" si="61"/>
        <v>7737667311.1293211</v>
      </c>
    </row>
    <row r="250" spans="1:12" x14ac:dyDescent="0.3"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 x14ac:dyDescent="0.3">
      <c r="A251" s="4" t="s">
        <v>355</v>
      </c>
      <c r="C251" s="10">
        <f t="shared" ref="C251:L251" si="62">C23+C47+C75+C99+C124+C148+C172+C196+C220+C245</f>
        <v>2118150000</v>
      </c>
      <c r="D251" s="10">
        <f t="shared" si="62"/>
        <v>2159880000</v>
      </c>
      <c r="E251" s="10">
        <f t="shared" si="62"/>
        <v>2374601000</v>
      </c>
      <c r="F251" s="10">
        <f t="shared" si="62"/>
        <v>2461270000</v>
      </c>
      <c r="G251" s="10">
        <f t="shared" si="62"/>
        <v>2641305000</v>
      </c>
      <c r="H251" s="10">
        <f t="shared" si="62"/>
        <v>2934700114.409194</v>
      </c>
      <c r="I251" s="10">
        <f t="shared" si="62"/>
        <v>3155453832.635613</v>
      </c>
      <c r="J251" s="10">
        <f t="shared" si="62"/>
        <v>3434655046.0944543</v>
      </c>
      <c r="K251" s="10">
        <f t="shared" si="62"/>
        <v>3716410165.8934751</v>
      </c>
      <c r="L251" s="10">
        <f t="shared" si="62"/>
        <v>4076956488.1013598</v>
      </c>
    </row>
    <row r="252" spans="1:12" x14ac:dyDescent="0.3"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1:12" x14ac:dyDescent="0.3">
      <c r="A253" s="4" t="s">
        <v>356</v>
      </c>
      <c r="C253" s="10">
        <f t="shared" ref="C253:L253" si="63">C22+C46+C74+C98+C122+C147+C171+C195+C219+C244</f>
        <v>74339000</v>
      </c>
      <c r="D253" s="10">
        <f t="shared" si="63"/>
        <v>59542000</v>
      </c>
      <c r="E253" s="10">
        <f t="shared" si="63"/>
        <v>127033000</v>
      </c>
      <c r="F253" s="10">
        <f t="shared" si="63"/>
        <v>87643000</v>
      </c>
      <c r="G253" s="10">
        <f t="shared" si="63"/>
        <v>113648000</v>
      </c>
      <c r="H253" s="10">
        <f t="shared" si="63"/>
        <v>92503370.478039652</v>
      </c>
      <c r="I253" s="10">
        <f t="shared" si="63"/>
        <v>101183513.63253632</v>
      </c>
      <c r="J253" s="10">
        <f t="shared" si="63"/>
        <v>113550772.01106165</v>
      </c>
      <c r="K253" s="10">
        <f t="shared" si="63"/>
        <v>117778203.03870207</v>
      </c>
      <c r="L253" s="10">
        <f t="shared" si="63"/>
        <v>125923840.43914585</v>
      </c>
    </row>
    <row r="254" spans="1:12" x14ac:dyDescent="0.3">
      <c r="A254" s="4" t="s">
        <v>357</v>
      </c>
      <c r="C254" s="10">
        <f>20069000+24144000</f>
        <v>44213000</v>
      </c>
      <c r="D254" s="10">
        <v>26808000</v>
      </c>
      <c r="E254" s="10">
        <v>-2224000</v>
      </c>
      <c r="F254" s="10">
        <v>10222000</v>
      </c>
      <c r="G254" s="10">
        <v>35434000</v>
      </c>
      <c r="H254" s="10">
        <f>$C$256*H253</f>
        <v>26935084.199499425</v>
      </c>
      <c r="I254" s="10">
        <f>$C$256*I253</f>
        <v>29462563.85263899</v>
      </c>
      <c r="J254" s="10">
        <f>$C$256*J253</f>
        <v>33063655.834704939</v>
      </c>
      <c r="K254" s="10">
        <f>$C$256*K253</f>
        <v>34294597.043534763</v>
      </c>
      <c r="L254" s="10">
        <f>$C$256*L253</f>
        <v>36666439.584035829</v>
      </c>
    </row>
    <row r="255" spans="1:12" x14ac:dyDescent="0.3">
      <c r="A255" s="4" t="s">
        <v>358</v>
      </c>
      <c r="C255" s="12">
        <f>C254/C253</f>
        <v>0.59474838241030947</v>
      </c>
      <c r="D255" s="12">
        <f>D254/D253</f>
        <v>0.4502368076315878</v>
      </c>
      <c r="E255" s="12">
        <f>E254/E253</f>
        <v>-1.7507261892579094E-2</v>
      </c>
      <c r="F255" s="12">
        <f>F254/F253</f>
        <v>0.11663224672820419</v>
      </c>
      <c r="G255" s="12">
        <f>G254/G253</f>
        <v>0.31178727298324649</v>
      </c>
      <c r="H255" s="10"/>
      <c r="I255" s="10"/>
      <c r="J255" s="10"/>
      <c r="K255" s="10"/>
      <c r="L255" s="10"/>
    </row>
    <row r="256" spans="1:12" x14ac:dyDescent="0.3">
      <c r="A256" s="4" t="s">
        <v>359</v>
      </c>
      <c r="C256" s="12">
        <f>AVERAGE(C255:G255)</f>
        <v>0.29117948957215378</v>
      </c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 x14ac:dyDescent="0.3"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 x14ac:dyDescent="0.3">
      <c r="A258" s="4" t="s">
        <v>360</v>
      </c>
      <c r="C258" s="10">
        <f>'[1]Assumption Sheet'!C207</f>
        <v>24357269000</v>
      </c>
      <c r="D258" s="10">
        <f>'[1]Assumption Sheet'!D207</f>
        <v>24715095000</v>
      </c>
      <c r="E258" s="10">
        <f>'[1]Assumption Sheet'!E207</f>
        <v>27767699000</v>
      </c>
      <c r="F258" s="10">
        <f>'[1]Assumption Sheet'!F207</f>
        <v>28180049000</v>
      </c>
      <c r="G258" s="10">
        <f>'[1]Assumption Sheet'!G207</f>
        <v>28968219000</v>
      </c>
      <c r="H258" s="10">
        <f>'[1]Assumption Sheet'!H207</f>
        <v>26761428000</v>
      </c>
      <c r="I258" s="10">
        <f>'[1]Assumption Sheet'!I207</f>
        <v>27278498000</v>
      </c>
      <c r="J258" s="10">
        <f>'[1]Assumption Sheet'!J207</f>
        <v>27791178600</v>
      </c>
      <c r="K258" s="10">
        <f>'[1]Assumption Sheet'!K207</f>
        <v>27795874520</v>
      </c>
      <c r="L258" s="10">
        <f>'[1]Assumption Sheet'!L207</f>
        <v>27719039624</v>
      </c>
    </row>
    <row r="259" spans="1:12" x14ac:dyDescent="0.3"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 x14ac:dyDescent="0.3">
      <c r="A260" s="4" t="s">
        <v>361</v>
      </c>
      <c r="C260" s="10">
        <v>2125348000</v>
      </c>
      <c r="D260" s="10">
        <v>2166357000</v>
      </c>
      <c r="E260" s="10">
        <v>2297686000</v>
      </c>
      <c r="F260" s="10">
        <v>2444824000</v>
      </c>
      <c r="G260" s="10">
        <v>2646227000</v>
      </c>
      <c r="H260" s="10"/>
      <c r="I260" s="10"/>
      <c r="J260" s="10"/>
      <c r="K260" s="10"/>
      <c r="L260" s="10"/>
    </row>
    <row r="261" spans="1:12" x14ac:dyDescent="0.3"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 x14ac:dyDescent="0.3">
      <c r="A262" s="4" t="s">
        <v>362</v>
      </c>
      <c r="C262" s="10">
        <v>0</v>
      </c>
      <c r="D262" s="10">
        <v>0</v>
      </c>
      <c r="E262" s="10">
        <v>0</v>
      </c>
      <c r="F262" s="10">
        <v>0</v>
      </c>
      <c r="G262" s="10">
        <f>G70</f>
        <v>14513000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</row>
    <row r="263" spans="1:12" x14ac:dyDescent="0.3">
      <c r="A263" s="4" t="s">
        <v>363</v>
      </c>
      <c r="B263" s="4" t="s">
        <v>364</v>
      </c>
      <c r="C263" s="10">
        <v>3915523000</v>
      </c>
      <c r="D263" s="10">
        <v>2595237000</v>
      </c>
      <c r="E263" s="10">
        <v>5497691000</v>
      </c>
      <c r="F263" s="10">
        <v>2942778000</v>
      </c>
      <c r="G263" s="10">
        <v>3557636000</v>
      </c>
      <c r="H263" s="10">
        <f>H258*AVERAGE(C264:G264)</f>
        <v>3698365362.3649611</v>
      </c>
      <c r="I263" s="10">
        <f>I258*AVERAGE(D264:H264)</f>
        <v>3646763520.7388716</v>
      </c>
      <c r="J263" s="10">
        <f>J258*AVERAGE(E264:I264)</f>
        <v>3874713378.3368645</v>
      </c>
      <c r="K263" s="10">
        <f>K258*AVERAGE(F264:J264)</f>
        <v>3549787826.850512</v>
      </c>
      <c r="L263" s="10">
        <f>L258*AVERAGE(G264:K264)</f>
        <v>3669043198.7889795</v>
      </c>
    </row>
    <row r="264" spans="1:12" x14ac:dyDescent="0.3">
      <c r="A264" s="4" t="s">
        <v>365</v>
      </c>
      <c r="C264" s="12">
        <f t="shared" ref="C264:L264" si="64">C263/C258</f>
        <v>0.16075377744524644</v>
      </c>
      <c r="D264" s="12">
        <f t="shared" si="64"/>
        <v>0.1050061510991562</v>
      </c>
      <c r="E264" s="12">
        <f t="shared" si="64"/>
        <v>0.19798871343282712</v>
      </c>
      <c r="F264" s="12">
        <f t="shared" si="64"/>
        <v>0.10442771054088656</v>
      </c>
      <c r="G264" s="12">
        <f t="shared" si="64"/>
        <v>0.12281169235844289</v>
      </c>
      <c r="H264" s="12">
        <f t="shared" si="64"/>
        <v>0.13819760897531183</v>
      </c>
      <c r="I264" s="12">
        <f t="shared" si="64"/>
        <v>0.13368637528132493</v>
      </c>
      <c r="J264" s="12">
        <f t="shared" si="64"/>
        <v>0.13942242011775868</v>
      </c>
      <c r="K264" s="12">
        <f t="shared" si="64"/>
        <v>0.12770916145474498</v>
      </c>
      <c r="L264" s="12">
        <f t="shared" si="64"/>
        <v>0.13236545163751665</v>
      </c>
    </row>
    <row r="265" spans="1:12" x14ac:dyDescent="0.3"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 x14ac:dyDescent="0.3">
      <c r="A266" s="11" t="s">
        <v>173</v>
      </c>
      <c r="C266" s="31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 x14ac:dyDescent="0.3">
      <c r="A267" s="4" t="s">
        <v>174</v>
      </c>
      <c r="C267" s="10">
        <v>386748000</v>
      </c>
      <c r="D267" s="10">
        <v>479242000</v>
      </c>
      <c r="E267" s="10">
        <v>472765000</v>
      </c>
      <c r="F267" s="10">
        <f t="shared" ref="F267:L267" si="65">E275</f>
        <v>466935000</v>
      </c>
      <c r="G267" s="10">
        <f t="shared" si="65"/>
        <v>464896000</v>
      </c>
      <c r="H267" s="10">
        <f t="shared" si="65"/>
        <v>459974000</v>
      </c>
      <c r="I267" s="10">
        <f t="shared" si="65"/>
        <v>453261709.6746518</v>
      </c>
      <c r="J267" s="10">
        <f t="shared" si="65"/>
        <v>447835197.6135183</v>
      </c>
      <c r="K267" s="10">
        <f t="shared" si="65"/>
        <v>442703982.19149524</v>
      </c>
      <c r="L267" s="10">
        <f t="shared" si="65"/>
        <v>437824996.02926087</v>
      </c>
    </row>
    <row r="268" spans="1:12" x14ac:dyDescent="0.3">
      <c r="A268" s="4" t="s">
        <v>175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1:12" x14ac:dyDescent="0.3">
      <c r="A269" s="4" t="s">
        <v>176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1:12" x14ac:dyDescent="0.3">
      <c r="A270" s="4" t="s">
        <v>177</v>
      </c>
      <c r="B270" s="4" t="s">
        <v>20</v>
      </c>
      <c r="C270" s="10">
        <v>99692000</v>
      </c>
      <c r="D270" s="10">
        <v>0</v>
      </c>
      <c r="E270" s="10">
        <v>0</v>
      </c>
      <c r="F270" s="10">
        <v>1209000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</row>
    <row r="271" spans="1:12" x14ac:dyDescent="0.3">
      <c r="A271" s="4" t="s">
        <v>178</v>
      </c>
      <c r="B271" s="4" t="s">
        <v>20</v>
      </c>
      <c r="C271" s="26">
        <v>0</v>
      </c>
      <c r="D271" s="26">
        <v>0</v>
      </c>
      <c r="E271" s="26">
        <v>0</v>
      </c>
      <c r="F271" s="26">
        <v>21361000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</row>
    <row r="272" spans="1:12" x14ac:dyDescent="0.3">
      <c r="C272" s="10">
        <f t="shared" ref="C272:L272" si="66">C270+C271</f>
        <v>99692000</v>
      </c>
      <c r="D272" s="10">
        <f t="shared" si="66"/>
        <v>0</v>
      </c>
      <c r="E272" s="10">
        <f t="shared" si="66"/>
        <v>0</v>
      </c>
      <c r="F272" s="10">
        <f t="shared" si="66"/>
        <v>22570000</v>
      </c>
      <c r="G272" s="10">
        <f t="shared" si="66"/>
        <v>0</v>
      </c>
      <c r="H272" s="10">
        <f t="shared" si="66"/>
        <v>0</v>
      </c>
      <c r="I272" s="10">
        <f t="shared" si="66"/>
        <v>0</v>
      </c>
      <c r="J272" s="10">
        <f t="shared" si="66"/>
        <v>0</v>
      </c>
      <c r="K272" s="10">
        <f t="shared" si="66"/>
        <v>0</v>
      </c>
      <c r="L272" s="10">
        <f t="shared" si="66"/>
        <v>0</v>
      </c>
    </row>
    <row r="273" spans="1:12" x14ac:dyDescent="0.3">
      <c r="A273" s="4" t="s">
        <v>179</v>
      </c>
      <c r="B273" s="4" t="s">
        <v>20</v>
      </c>
      <c r="C273" s="10">
        <v>0</v>
      </c>
      <c r="D273" s="10">
        <v>0</v>
      </c>
      <c r="E273" s="10">
        <v>0</v>
      </c>
      <c r="F273" s="10">
        <v>19298000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</row>
    <row r="274" spans="1:12" x14ac:dyDescent="0.3">
      <c r="A274" s="4" t="s">
        <v>180</v>
      </c>
      <c r="C274" s="10">
        <v>7198000</v>
      </c>
      <c r="D274" s="10">
        <v>6477000</v>
      </c>
      <c r="E274" s="10">
        <v>5830000</v>
      </c>
      <c r="F274" s="10">
        <v>5311000</v>
      </c>
      <c r="G274" s="10">
        <v>4922000</v>
      </c>
      <c r="H274" s="10">
        <f>H267*AVERAGE(C277:G277)</f>
        <v>6712290.3253481761</v>
      </c>
      <c r="I274" s="10">
        <f>I267*AVERAGE(D277:H277)</f>
        <v>5426512.061133489</v>
      </c>
      <c r="J274" s="10">
        <f>J267*AVERAGE(E277:I277)</f>
        <v>5131215.4220230328</v>
      </c>
      <c r="K274" s="10">
        <f>K267*AVERAGE(F277:J277)</f>
        <v>4878986.1622343548</v>
      </c>
      <c r="L274" s="10">
        <f>L267*AVERAGE(G277:K277)</f>
        <v>4635390.7765522227</v>
      </c>
    </row>
    <row r="275" spans="1:12" x14ac:dyDescent="0.3">
      <c r="A275" s="4" t="s">
        <v>181</v>
      </c>
      <c r="C275" s="10">
        <f t="shared" ref="C275:L275" si="67">C267+C272-C273-C274</f>
        <v>479242000</v>
      </c>
      <c r="D275" s="10">
        <f t="shared" si="67"/>
        <v>472765000</v>
      </c>
      <c r="E275" s="10">
        <f t="shared" si="67"/>
        <v>466935000</v>
      </c>
      <c r="F275" s="10">
        <f t="shared" si="67"/>
        <v>464896000</v>
      </c>
      <c r="G275" s="10">
        <f t="shared" si="67"/>
        <v>459974000</v>
      </c>
      <c r="H275" s="10">
        <f t="shared" si="67"/>
        <v>453261709.6746518</v>
      </c>
      <c r="I275" s="10">
        <f t="shared" si="67"/>
        <v>447835197.6135183</v>
      </c>
      <c r="J275" s="10">
        <f t="shared" si="67"/>
        <v>442703982.19149524</v>
      </c>
      <c r="K275" s="10">
        <f t="shared" si="67"/>
        <v>437824996.02926087</v>
      </c>
      <c r="L275" s="10">
        <f t="shared" si="67"/>
        <v>433189605.25270867</v>
      </c>
    </row>
    <row r="276" spans="1:12" x14ac:dyDescent="0.3"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1:12" x14ac:dyDescent="0.3">
      <c r="A277" s="4" t="s">
        <v>366</v>
      </c>
      <c r="C277" s="12">
        <f>C274/(C267-(C272-C273))</f>
        <v>2.5075246641770247E-2</v>
      </c>
      <c r="D277" s="12">
        <f>D274/(D267-(D272-D273))</f>
        <v>1.3515092583705101E-2</v>
      </c>
      <c r="E277" s="12">
        <f>E274/(E267-(E272-E273))</f>
        <v>1.2331708142523242E-2</v>
      </c>
      <c r="F277" s="12">
        <f>F274/(F267-(F272-F273))</f>
        <v>1.1454439970409543E-2</v>
      </c>
      <c r="G277" s="12">
        <f>G274/(G267-(G272-G273))</f>
        <v>1.0587314151982379E-2</v>
      </c>
      <c r="H277" s="10"/>
      <c r="I277" s="10"/>
      <c r="J277" s="10"/>
      <c r="K277" s="10"/>
      <c r="L277" s="10"/>
    </row>
    <row r="278" spans="1:12" x14ac:dyDescent="0.3"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 x14ac:dyDescent="0.3"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1:12" x14ac:dyDescent="0.3"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 x14ac:dyDescent="0.3"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 x14ac:dyDescent="0.3"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 x14ac:dyDescent="0.3"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1:12" x14ac:dyDescent="0.3"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 x14ac:dyDescent="0.3"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1:12" x14ac:dyDescent="0.3"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 x14ac:dyDescent="0.3"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1:12" x14ac:dyDescent="0.3"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3:12" x14ac:dyDescent="0.3"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3:12" x14ac:dyDescent="0.3"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3:12" x14ac:dyDescent="0.3"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3:12" x14ac:dyDescent="0.3"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3:12" x14ac:dyDescent="0.3"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3:12" x14ac:dyDescent="0.3"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3:12" x14ac:dyDescent="0.3"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3:12" x14ac:dyDescent="0.3"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3:12" x14ac:dyDescent="0.3"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3:12" x14ac:dyDescent="0.3"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3:12" x14ac:dyDescent="0.3"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3:12" x14ac:dyDescent="0.3"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3:12" x14ac:dyDescent="0.3"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3:12" x14ac:dyDescent="0.3"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3:12" x14ac:dyDescent="0.3"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3:12" x14ac:dyDescent="0.3"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3:12" x14ac:dyDescent="0.3"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3:12" x14ac:dyDescent="0.3"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3:12" x14ac:dyDescent="0.3"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3:12" x14ac:dyDescent="0.3"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3:12" x14ac:dyDescent="0.3"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3:12" x14ac:dyDescent="0.3"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3:12" x14ac:dyDescent="0.3"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3:12" x14ac:dyDescent="0.3"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3:12" x14ac:dyDescent="0.3"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3:12" x14ac:dyDescent="0.3"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3:12" x14ac:dyDescent="0.3"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3:12" x14ac:dyDescent="0.3"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3:12" x14ac:dyDescent="0.3"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3:12" x14ac:dyDescent="0.3"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3:12" x14ac:dyDescent="0.3"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3:12" x14ac:dyDescent="0.3"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3:12" x14ac:dyDescent="0.3"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3:12" x14ac:dyDescent="0.3"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3:12" x14ac:dyDescent="0.3"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3:12" x14ac:dyDescent="0.3"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3:12" x14ac:dyDescent="0.3"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3:12" x14ac:dyDescent="0.3"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3:12" x14ac:dyDescent="0.3"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3:12" x14ac:dyDescent="0.3"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3:12" x14ac:dyDescent="0.3"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3:12" x14ac:dyDescent="0.3"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3:12" x14ac:dyDescent="0.3"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3:12" x14ac:dyDescent="0.3"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3:12" x14ac:dyDescent="0.3"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3:12" x14ac:dyDescent="0.3"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3:12" x14ac:dyDescent="0.3"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3:12" x14ac:dyDescent="0.3"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3:12" x14ac:dyDescent="0.3"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3:12" x14ac:dyDescent="0.3"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3:12" x14ac:dyDescent="0.3"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3:12" x14ac:dyDescent="0.3"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3:12" x14ac:dyDescent="0.3"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3:12" x14ac:dyDescent="0.3"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3:12" x14ac:dyDescent="0.3"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3:12" x14ac:dyDescent="0.3"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3:12" x14ac:dyDescent="0.3"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3:12" x14ac:dyDescent="0.3"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3:12" x14ac:dyDescent="0.3"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3:12" x14ac:dyDescent="0.3"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3:12" x14ac:dyDescent="0.3"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spans="3:12" x14ac:dyDescent="0.3"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3:12" x14ac:dyDescent="0.3"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3:12" x14ac:dyDescent="0.3"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3:12" x14ac:dyDescent="0.3"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3:12" x14ac:dyDescent="0.3"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3:12" x14ac:dyDescent="0.3"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36"/>
  <sheetViews>
    <sheetView workbookViewId="0">
      <selection activeCell="B14" sqref="B14"/>
    </sheetView>
  </sheetViews>
  <sheetFormatPr defaultRowHeight="14.4" x14ac:dyDescent="0.3"/>
  <cols>
    <col min="1" max="1" width="8.88671875" style="7"/>
    <col min="2" max="2" width="11.6640625" style="7" bestFit="1" customWidth="1"/>
    <col min="3" max="3" width="8.88671875" style="7"/>
    <col min="4" max="4" width="18.33203125" style="7" customWidth="1"/>
    <col min="5" max="16384" width="8.88671875" style="7"/>
  </cols>
  <sheetData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1">
        <v>43644</v>
      </c>
      <c r="C3" s="5" t="s">
        <v>5</v>
      </c>
      <c r="D3" s="5" t="s">
        <v>6</v>
      </c>
      <c r="E3" s="5">
        <v>93.34</v>
      </c>
    </row>
    <row r="4" spans="2:5" x14ac:dyDescent="0.3">
      <c r="B4" s="1">
        <v>43643</v>
      </c>
      <c r="C4" s="5" t="s">
        <v>5</v>
      </c>
      <c r="D4" s="5" t="s">
        <v>6</v>
      </c>
      <c r="E4" s="5">
        <v>92.61</v>
      </c>
    </row>
    <row r="5" spans="2:5" x14ac:dyDescent="0.3">
      <c r="B5" s="1">
        <v>43642</v>
      </c>
      <c r="C5" s="5" t="s">
        <v>5</v>
      </c>
      <c r="D5" s="5" t="s">
        <v>6</v>
      </c>
      <c r="E5" s="5">
        <v>96.51</v>
      </c>
    </row>
    <row r="6" spans="2:5" x14ac:dyDescent="0.3">
      <c r="B6" s="1">
        <v>43641</v>
      </c>
      <c r="C6" s="5" t="s">
        <v>5</v>
      </c>
      <c r="D6" s="5" t="s">
        <v>6</v>
      </c>
      <c r="E6" s="5">
        <v>98.46</v>
      </c>
    </row>
    <row r="7" spans="2:5" x14ac:dyDescent="0.3">
      <c r="B7" s="1">
        <v>43640</v>
      </c>
      <c r="C7" s="5" t="s">
        <v>5</v>
      </c>
      <c r="D7" s="5" t="s">
        <v>6</v>
      </c>
      <c r="E7" s="5">
        <v>98.75</v>
      </c>
    </row>
    <row r="8" spans="2:5" x14ac:dyDescent="0.3">
      <c r="B8" s="1">
        <v>43637</v>
      </c>
      <c r="C8" s="5" t="s">
        <v>5</v>
      </c>
      <c r="D8" s="5" t="s">
        <v>6</v>
      </c>
      <c r="E8" s="5">
        <v>101.82</v>
      </c>
    </row>
    <row r="9" spans="2:5" x14ac:dyDescent="0.3">
      <c r="B9" s="1">
        <v>43636</v>
      </c>
      <c r="C9" s="5" t="s">
        <v>5</v>
      </c>
      <c r="D9" s="5" t="s">
        <v>6</v>
      </c>
      <c r="E9" s="5">
        <v>101.42</v>
      </c>
    </row>
    <row r="10" spans="2:5" x14ac:dyDescent="0.3">
      <c r="B10" s="1">
        <v>43635</v>
      </c>
      <c r="C10" s="5" t="s">
        <v>5</v>
      </c>
      <c r="D10" s="5" t="s">
        <v>6</v>
      </c>
      <c r="E10" s="5">
        <v>99.88</v>
      </c>
    </row>
    <row r="11" spans="2:5" x14ac:dyDescent="0.3">
      <c r="B11" s="1">
        <v>43634</v>
      </c>
      <c r="C11" s="5" t="s">
        <v>5</v>
      </c>
      <c r="D11" s="5" t="s">
        <v>6</v>
      </c>
      <c r="E11" s="5">
        <v>101.67</v>
      </c>
    </row>
    <row r="12" spans="2:5" x14ac:dyDescent="0.3">
      <c r="B12" s="1">
        <v>43633</v>
      </c>
      <c r="C12" s="5" t="s">
        <v>5</v>
      </c>
      <c r="D12" s="5" t="s">
        <v>6</v>
      </c>
      <c r="E12" s="5">
        <v>103.97</v>
      </c>
    </row>
    <row r="13" spans="2:5" x14ac:dyDescent="0.3">
      <c r="B13" s="1">
        <v>43630</v>
      </c>
      <c r="C13" s="5" t="s">
        <v>5</v>
      </c>
      <c r="D13" s="5" t="s">
        <v>6</v>
      </c>
      <c r="E13" s="5">
        <v>103.49</v>
      </c>
    </row>
    <row r="14" spans="2:5" x14ac:dyDescent="0.3">
      <c r="B14" s="1">
        <v>43629</v>
      </c>
      <c r="C14" s="5" t="s">
        <v>5</v>
      </c>
      <c r="D14" s="5" t="s">
        <v>6</v>
      </c>
      <c r="E14" s="5">
        <v>98.57</v>
      </c>
    </row>
    <row r="15" spans="2:5" x14ac:dyDescent="0.3">
      <c r="B15" s="1">
        <v>43628</v>
      </c>
      <c r="C15" s="5" t="s">
        <v>5</v>
      </c>
      <c r="D15" s="5" t="s">
        <v>6</v>
      </c>
      <c r="E15" s="5">
        <v>97.25</v>
      </c>
    </row>
    <row r="16" spans="2:5" x14ac:dyDescent="0.3">
      <c r="B16" s="1">
        <v>43627</v>
      </c>
      <c r="C16" s="5" t="s">
        <v>5</v>
      </c>
      <c r="D16" s="5" t="s">
        <v>6</v>
      </c>
      <c r="E16" s="5">
        <v>96.87</v>
      </c>
    </row>
    <row r="17" spans="2:5" x14ac:dyDescent="0.3">
      <c r="B17" s="1">
        <v>43626</v>
      </c>
      <c r="C17" s="5" t="s">
        <v>5</v>
      </c>
      <c r="D17" s="5" t="s">
        <v>6</v>
      </c>
      <c r="E17" s="5">
        <v>96.36</v>
      </c>
    </row>
    <row r="18" spans="2:5" x14ac:dyDescent="0.3">
      <c r="B18" s="1">
        <v>43619</v>
      </c>
      <c r="C18" s="5" t="s">
        <v>5</v>
      </c>
      <c r="D18" s="5" t="s">
        <v>6</v>
      </c>
      <c r="E18" s="5">
        <v>101.42</v>
      </c>
    </row>
    <row r="19" spans="2:5" x14ac:dyDescent="0.3">
      <c r="B19" s="1">
        <v>43615</v>
      </c>
      <c r="C19" s="5" t="s">
        <v>5</v>
      </c>
      <c r="D19" s="5" t="s">
        <v>6</v>
      </c>
      <c r="E19" s="5">
        <v>106.75</v>
      </c>
    </row>
    <row r="20" spans="2:5" x14ac:dyDescent="0.3">
      <c r="B20" s="1">
        <v>43614</v>
      </c>
      <c r="C20" s="5" t="s">
        <v>5</v>
      </c>
      <c r="D20" s="5" t="s">
        <v>6</v>
      </c>
      <c r="E20" s="5">
        <v>112.31</v>
      </c>
    </row>
    <row r="21" spans="2:5" x14ac:dyDescent="0.3">
      <c r="B21" s="1">
        <v>43613</v>
      </c>
      <c r="C21" s="5" t="s">
        <v>5</v>
      </c>
      <c r="D21" s="5" t="s">
        <v>6</v>
      </c>
      <c r="E21" s="5">
        <v>108.71</v>
      </c>
    </row>
    <row r="22" spans="2:5" x14ac:dyDescent="0.3">
      <c r="B22" s="1">
        <v>43612</v>
      </c>
      <c r="C22" s="5" t="s">
        <v>5</v>
      </c>
      <c r="D22" s="5" t="s">
        <v>6</v>
      </c>
      <c r="E22" s="5">
        <v>114.22</v>
      </c>
    </row>
    <row r="23" spans="2:5" x14ac:dyDescent="0.3">
      <c r="B23" s="1">
        <v>43609</v>
      </c>
      <c r="C23" s="5" t="s">
        <v>5</v>
      </c>
      <c r="D23" s="5" t="s">
        <v>6</v>
      </c>
      <c r="E23" s="5">
        <v>113.35</v>
      </c>
    </row>
    <row r="24" spans="2:5" x14ac:dyDescent="0.3">
      <c r="B24" s="1">
        <v>43608</v>
      </c>
      <c r="C24" s="5" t="s">
        <v>5</v>
      </c>
      <c r="D24" s="5" t="s">
        <v>6</v>
      </c>
      <c r="E24" s="5">
        <v>114.81</v>
      </c>
    </row>
    <row r="25" spans="2:5" x14ac:dyDescent="0.3">
      <c r="B25" s="1">
        <v>43607</v>
      </c>
      <c r="C25" s="5" t="s">
        <v>5</v>
      </c>
      <c r="D25" s="5" t="s">
        <v>6</v>
      </c>
      <c r="E25" s="5">
        <v>111.28</v>
      </c>
    </row>
    <row r="26" spans="2:5" x14ac:dyDescent="0.3">
      <c r="B26" s="1">
        <v>43606</v>
      </c>
      <c r="C26" s="5" t="s">
        <v>5</v>
      </c>
      <c r="D26" s="5" t="s">
        <v>6</v>
      </c>
      <c r="E26" s="5">
        <v>105.99</v>
      </c>
    </row>
    <row r="27" spans="2:5" x14ac:dyDescent="0.3">
      <c r="B27" s="1">
        <v>43605</v>
      </c>
      <c r="C27" s="5" t="s">
        <v>5</v>
      </c>
      <c r="D27" s="5" t="s">
        <v>6</v>
      </c>
      <c r="E27" s="5">
        <v>104.15</v>
      </c>
    </row>
    <row r="28" spans="2:5" x14ac:dyDescent="0.3">
      <c r="B28" s="1">
        <v>43602</v>
      </c>
      <c r="C28" s="5" t="s">
        <v>5</v>
      </c>
      <c r="D28" s="5" t="s">
        <v>6</v>
      </c>
      <c r="E28" s="5">
        <v>104.25</v>
      </c>
    </row>
    <row r="29" spans="2:5" x14ac:dyDescent="0.3">
      <c r="B29" s="1">
        <v>43601</v>
      </c>
      <c r="C29" s="5" t="s">
        <v>5</v>
      </c>
      <c r="D29" s="5" t="s">
        <v>6</v>
      </c>
      <c r="E29" s="5">
        <v>109.73</v>
      </c>
    </row>
    <row r="30" spans="2:5" x14ac:dyDescent="0.3">
      <c r="B30" s="1">
        <v>43600</v>
      </c>
      <c r="C30" s="5" t="s">
        <v>5</v>
      </c>
      <c r="D30" s="5" t="s">
        <v>6</v>
      </c>
      <c r="E30" s="5">
        <v>110.15</v>
      </c>
    </row>
    <row r="31" spans="2:5" x14ac:dyDescent="0.3">
      <c r="B31" s="1">
        <v>43599</v>
      </c>
      <c r="C31" s="5" t="s">
        <v>5</v>
      </c>
      <c r="D31" s="5" t="s">
        <v>6</v>
      </c>
      <c r="E31" s="5">
        <v>107.52</v>
      </c>
    </row>
    <row r="32" spans="2:5" x14ac:dyDescent="0.3">
      <c r="B32" s="1">
        <v>43598</v>
      </c>
      <c r="C32" s="5" t="s">
        <v>5</v>
      </c>
      <c r="D32" s="5" t="s">
        <v>6</v>
      </c>
      <c r="E32" s="5">
        <v>110.17</v>
      </c>
    </row>
    <row r="33" spans="2:5" x14ac:dyDescent="0.3">
      <c r="B33" s="1">
        <v>43595</v>
      </c>
      <c r="C33" s="5" t="s">
        <v>5</v>
      </c>
      <c r="D33" s="5" t="s">
        <v>6</v>
      </c>
      <c r="E33" s="5">
        <v>114.7</v>
      </c>
    </row>
    <row r="34" spans="2:5" x14ac:dyDescent="0.3">
      <c r="B34" s="1">
        <v>43594</v>
      </c>
      <c r="C34" s="5" t="s">
        <v>5</v>
      </c>
      <c r="D34" s="5" t="s">
        <v>6</v>
      </c>
      <c r="E34" s="5">
        <v>114.92</v>
      </c>
    </row>
    <row r="35" spans="2:5" x14ac:dyDescent="0.3">
      <c r="B35" s="1">
        <v>43593</v>
      </c>
      <c r="C35" s="5" t="s">
        <v>5</v>
      </c>
      <c r="D35" s="5" t="s">
        <v>6</v>
      </c>
      <c r="E35" s="5">
        <v>114.68</v>
      </c>
    </row>
    <row r="36" spans="2:5" x14ac:dyDescent="0.3">
      <c r="B36" s="1">
        <v>43592</v>
      </c>
      <c r="C36" s="5" t="s">
        <v>5</v>
      </c>
      <c r="D36" s="5" t="s">
        <v>6</v>
      </c>
      <c r="E36" s="5">
        <v>118.87</v>
      </c>
    </row>
    <row r="37" spans="2:5" x14ac:dyDescent="0.3">
      <c r="B37" s="1">
        <v>43591</v>
      </c>
      <c r="C37" s="5" t="s">
        <v>5</v>
      </c>
      <c r="D37" s="5" t="s">
        <v>6</v>
      </c>
      <c r="E37" s="5">
        <v>118.18</v>
      </c>
    </row>
    <row r="38" spans="2:5" x14ac:dyDescent="0.3">
      <c r="B38" s="1">
        <v>43588</v>
      </c>
      <c r="C38" s="5" t="s">
        <v>5</v>
      </c>
      <c r="D38" s="5" t="s">
        <v>6</v>
      </c>
      <c r="E38" s="5">
        <v>119.88</v>
      </c>
    </row>
    <row r="39" spans="2:5" x14ac:dyDescent="0.3">
      <c r="B39" s="1">
        <v>43587</v>
      </c>
      <c r="C39" s="5" t="s">
        <v>5</v>
      </c>
      <c r="D39" s="5" t="s">
        <v>6</v>
      </c>
      <c r="E39" s="5">
        <v>121</v>
      </c>
    </row>
    <row r="40" spans="2:5" x14ac:dyDescent="0.3">
      <c r="B40" s="1">
        <v>43585</v>
      </c>
      <c r="C40" s="5" t="s">
        <v>5</v>
      </c>
      <c r="D40" s="5" t="s">
        <v>6</v>
      </c>
      <c r="E40" s="5">
        <v>121.2</v>
      </c>
    </row>
    <row r="41" spans="2:5" x14ac:dyDescent="0.3">
      <c r="B41" s="1">
        <v>43584</v>
      </c>
      <c r="C41" s="5" t="s">
        <v>5</v>
      </c>
      <c r="D41" s="5" t="s">
        <v>6</v>
      </c>
      <c r="E41" s="5">
        <v>121.91</v>
      </c>
    </row>
    <row r="42" spans="2:5" x14ac:dyDescent="0.3">
      <c r="B42" s="1">
        <v>43581</v>
      </c>
      <c r="C42" s="5" t="s">
        <v>5</v>
      </c>
      <c r="D42" s="5" t="s">
        <v>6</v>
      </c>
      <c r="E42" s="5">
        <v>123.03</v>
      </c>
    </row>
    <row r="43" spans="2:5" x14ac:dyDescent="0.3">
      <c r="B43" s="1">
        <v>43580</v>
      </c>
      <c r="C43" s="5" t="s">
        <v>5</v>
      </c>
      <c r="D43" s="5" t="s">
        <v>6</v>
      </c>
      <c r="E43" s="5">
        <v>119.3</v>
      </c>
    </row>
    <row r="44" spans="2:5" x14ac:dyDescent="0.3">
      <c r="B44" s="1">
        <v>43579</v>
      </c>
      <c r="C44" s="5" t="s">
        <v>5</v>
      </c>
      <c r="D44" s="5" t="s">
        <v>6</v>
      </c>
      <c r="E44" s="5">
        <v>119.28</v>
      </c>
    </row>
    <row r="45" spans="2:5" x14ac:dyDescent="0.3">
      <c r="B45" s="1">
        <v>43578</v>
      </c>
      <c r="C45" s="5" t="s">
        <v>5</v>
      </c>
      <c r="D45" s="5" t="s">
        <v>6</v>
      </c>
      <c r="E45" s="5">
        <v>119.1</v>
      </c>
    </row>
    <row r="46" spans="2:5" x14ac:dyDescent="0.3">
      <c r="B46" s="1">
        <v>43577</v>
      </c>
      <c r="C46" s="5" t="s">
        <v>5</v>
      </c>
      <c r="D46" s="5" t="s">
        <v>6</v>
      </c>
      <c r="E46" s="5">
        <v>123.04</v>
      </c>
    </row>
    <row r="47" spans="2:5" x14ac:dyDescent="0.3">
      <c r="B47" s="1">
        <v>43574</v>
      </c>
      <c r="C47" s="5" t="s">
        <v>5</v>
      </c>
      <c r="D47" s="5" t="s">
        <v>6</v>
      </c>
      <c r="E47" s="5">
        <v>125.99</v>
      </c>
    </row>
    <row r="48" spans="2:5" x14ac:dyDescent="0.3">
      <c r="B48" s="1">
        <v>43573</v>
      </c>
      <c r="C48" s="5" t="s">
        <v>5</v>
      </c>
      <c r="D48" s="5" t="s">
        <v>6</v>
      </c>
      <c r="E48" s="5">
        <v>124.59</v>
      </c>
    </row>
    <row r="49" spans="2:5" x14ac:dyDescent="0.3">
      <c r="B49" s="1">
        <v>43572</v>
      </c>
      <c r="C49" s="5" t="s">
        <v>5</v>
      </c>
      <c r="D49" s="5" t="s">
        <v>6</v>
      </c>
      <c r="E49" s="5">
        <v>125.34</v>
      </c>
    </row>
    <row r="50" spans="2:5" x14ac:dyDescent="0.3">
      <c r="B50" s="1">
        <v>43571</v>
      </c>
      <c r="C50" s="5" t="s">
        <v>5</v>
      </c>
      <c r="D50" s="5" t="s">
        <v>6</v>
      </c>
      <c r="E50" s="5">
        <v>125.55</v>
      </c>
    </row>
    <row r="51" spans="2:5" x14ac:dyDescent="0.3">
      <c r="B51" s="1">
        <v>43570</v>
      </c>
      <c r="C51" s="5" t="s">
        <v>5</v>
      </c>
      <c r="D51" s="5" t="s">
        <v>6</v>
      </c>
      <c r="E51" s="5">
        <v>126.19</v>
      </c>
    </row>
    <row r="52" spans="2:5" x14ac:dyDescent="0.3">
      <c r="B52" s="1">
        <v>43567</v>
      </c>
      <c r="C52" s="5" t="s">
        <v>5</v>
      </c>
      <c r="D52" s="5" t="s">
        <v>6</v>
      </c>
      <c r="E52" s="5">
        <v>126.19</v>
      </c>
    </row>
    <row r="53" spans="2:5" x14ac:dyDescent="0.3">
      <c r="B53" s="1">
        <v>43566</v>
      </c>
      <c r="C53" s="5" t="s">
        <v>5</v>
      </c>
      <c r="D53" s="5" t="s">
        <v>6</v>
      </c>
      <c r="E53" s="5">
        <v>122.99</v>
      </c>
    </row>
    <row r="54" spans="2:5" x14ac:dyDescent="0.3">
      <c r="B54" s="1">
        <v>43565</v>
      </c>
      <c r="C54" s="5" t="s">
        <v>5</v>
      </c>
      <c r="D54" s="5" t="s">
        <v>6</v>
      </c>
      <c r="E54" s="5">
        <v>120.15</v>
      </c>
    </row>
    <row r="55" spans="2:5" x14ac:dyDescent="0.3">
      <c r="B55" s="1">
        <v>43564</v>
      </c>
      <c r="C55" s="5" t="s">
        <v>5</v>
      </c>
      <c r="D55" s="5" t="s">
        <v>6</v>
      </c>
      <c r="E55" s="5">
        <v>122.55</v>
      </c>
    </row>
    <row r="56" spans="2:5" x14ac:dyDescent="0.3">
      <c r="B56" s="1">
        <v>43563</v>
      </c>
      <c r="C56" s="5" t="s">
        <v>5</v>
      </c>
      <c r="D56" s="5" t="s">
        <v>6</v>
      </c>
      <c r="E56" s="5">
        <v>124.31</v>
      </c>
    </row>
    <row r="57" spans="2:5" x14ac:dyDescent="0.3">
      <c r="B57" s="1">
        <v>43560</v>
      </c>
      <c r="C57" s="5" t="s">
        <v>5</v>
      </c>
      <c r="D57" s="5" t="s">
        <v>6</v>
      </c>
      <c r="E57" s="5">
        <v>128.65</v>
      </c>
    </row>
    <row r="58" spans="2:5" x14ac:dyDescent="0.3">
      <c r="B58" s="1">
        <v>43559</v>
      </c>
      <c r="C58" s="5" t="s">
        <v>5</v>
      </c>
      <c r="D58" s="5" t="s">
        <v>6</v>
      </c>
      <c r="E58" s="5">
        <v>127.4</v>
      </c>
    </row>
    <row r="59" spans="2:5" x14ac:dyDescent="0.3">
      <c r="B59" s="1">
        <v>43558</v>
      </c>
      <c r="C59" s="5" t="s">
        <v>5</v>
      </c>
      <c r="D59" s="5" t="s">
        <v>6</v>
      </c>
      <c r="E59" s="5">
        <v>130.71</v>
      </c>
    </row>
    <row r="60" spans="2:5" x14ac:dyDescent="0.3">
      <c r="B60" s="1">
        <v>43557</v>
      </c>
      <c r="C60" s="5" t="s">
        <v>5</v>
      </c>
      <c r="D60" s="5" t="s">
        <v>6</v>
      </c>
      <c r="E60" s="5">
        <v>132.08000000000001</v>
      </c>
    </row>
    <row r="61" spans="2:5" x14ac:dyDescent="0.3">
      <c r="B61" s="1">
        <v>43556</v>
      </c>
      <c r="C61" s="5" t="s">
        <v>5</v>
      </c>
      <c r="D61" s="5" t="s">
        <v>6</v>
      </c>
      <c r="E61" s="5">
        <v>133.22999999999999</v>
      </c>
    </row>
    <row r="62" spans="2:5" x14ac:dyDescent="0.3">
      <c r="B62" s="1">
        <v>43553</v>
      </c>
      <c r="C62" s="5" t="s">
        <v>5</v>
      </c>
      <c r="D62" s="5" t="s">
        <v>6</v>
      </c>
      <c r="E62" s="5">
        <v>134.61000000000001</v>
      </c>
    </row>
    <row r="63" spans="2:5" x14ac:dyDescent="0.3">
      <c r="B63" s="1">
        <v>43552</v>
      </c>
      <c r="C63" s="5" t="s">
        <v>5</v>
      </c>
      <c r="D63" s="5" t="s">
        <v>6</v>
      </c>
      <c r="E63" s="5">
        <v>131.99</v>
      </c>
    </row>
    <row r="64" spans="2:5" x14ac:dyDescent="0.3">
      <c r="B64" s="1">
        <v>43551</v>
      </c>
      <c r="C64" s="5" t="s">
        <v>5</v>
      </c>
      <c r="D64" s="5" t="s">
        <v>6</v>
      </c>
      <c r="E64" s="5">
        <v>133.03</v>
      </c>
    </row>
    <row r="65" spans="2:5" x14ac:dyDescent="0.3">
      <c r="B65" s="1">
        <v>43550</v>
      </c>
      <c r="C65" s="5" t="s">
        <v>5</v>
      </c>
      <c r="D65" s="5" t="s">
        <v>6</v>
      </c>
      <c r="E65" s="5">
        <v>129.38</v>
      </c>
    </row>
    <row r="66" spans="2:5" x14ac:dyDescent="0.3">
      <c r="B66" s="1">
        <v>43549</v>
      </c>
      <c r="C66" s="5" t="s">
        <v>5</v>
      </c>
      <c r="D66" s="5" t="s">
        <v>6</v>
      </c>
      <c r="E66" s="5">
        <v>129</v>
      </c>
    </row>
    <row r="67" spans="2:5" x14ac:dyDescent="0.3">
      <c r="B67" s="1">
        <v>43546</v>
      </c>
      <c r="C67" s="5" t="s">
        <v>5</v>
      </c>
      <c r="D67" s="5" t="s">
        <v>6</v>
      </c>
      <c r="E67" s="5">
        <v>133.19999999999999</v>
      </c>
    </row>
    <row r="68" spans="2:5" x14ac:dyDescent="0.3">
      <c r="B68" s="1">
        <v>43545</v>
      </c>
      <c r="C68" s="5" t="s">
        <v>5</v>
      </c>
      <c r="D68" s="5" t="s">
        <v>6</v>
      </c>
      <c r="E68" s="5">
        <v>132.51</v>
      </c>
    </row>
    <row r="69" spans="2:5" x14ac:dyDescent="0.3">
      <c r="B69" s="1">
        <v>43544</v>
      </c>
      <c r="C69" s="5" t="s">
        <v>5</v>
      </c>
      <c r="D69" s="5" t="s">
        <v>6</v>
      </c>
      <c r="E69" s="5">
        <v>132.47999999999999</v>
      </c>
    </row>
    <row r="70" spans="2:5" x14ac:dyDescent="0.3">
      <c r="B70" s="1">
        <v>43543</v>
      </c>
      <c r="C70" s="5" t="s">
        <v>5</v>
      </c>
      <c r="D70" s="5" t="s">
        <v>6</v>
      </c>
      <c r="E70" s="5">
        <v>133.91</v>
      </c>
    </row>
    <row r="71" spans="2:5" x14ac:dyDescent="0.3">
      <c r="B71" s="1">
        <v>43542</v>
      </c>
      <c r="C71" s="5" t="s">
        <v>5</v>
      </c>
      <c r="D71" s="5" t="s">
        <v>6</v>
      </c>
      <c r="E71" s="5">
        <v>134.94</v>
      </c>
    </row>
    <row r="72" spans="2:5" x14ac:dyDescent="0.3">
      <c r="B72" s="1">
        <v>43539</v>
      </c>
      <c r="C72" s="5" t="s">
        <v>5</v>
      </c>
      <c r="D72" s="5" t="s">
        <v>6</v>
      </c>
      <c r="E72" s="5">
        <v>134.56</v>
      </c>
    </row>
    <row r="73" spans="2:5" x14ac:dyDescent="0.3">
      <c r="B73" s="1">
        <v>43538</v>
      </c>
      <c r="C73" s="5" t="s">
        <v>5</v>
      </c>
      <c r="D73" s="5" t="s">
        <v>6</v>
      </c>
      <c r="E73" s="5">
        <v>137.72999999999999</v>
      </c>
    </row>
    <row r="74" spans="2:5" x14ac:dyDescent="0.3">
      <c r="B74" s="1">
        <v>43537</v>
      </c>
      <c r="C74" s="5" t="s">
        <v>5</v>
      </c>
      <c r="D74" s="5" t="s">
        <v>6</v>
      </c>
      <c r="E74" s="5">
        <v>136.37</v>
      </c>
    </row>
    <row r="75" spans="2:5" x14ac:dyDescent="0.3">
      <c r="B75" s="1">
        <v>43536</v>
      </c>
      <c r="C75" s="5" t="s">
        <v>5</v>
      </c>
      <c r="D75" s="5" t="s">
        <v>6</v>
      </c>
      <c r="E75" s="5">
        <v>136.6</v>
      </c>
    </row>
    <row r="76" spans="2:5" x14ac:dyDescent="0.3">
      <c r="B76" s="1">
        <v>43535</v>
      </c>
      <c r="C76" s="5" t="s">
        <v>5</v>
      </c>
      <c r="D76" s="5" t="s">
        <v>6</v>
      </c>
      <c r="E76" s="5">
        <v>137.35</v>
      </c>
    </row>
    <row r="77" spans="2:5" x14ac:dyDescent="0.3">
      <c r="B77" s="1">
        <v>43532</v>
      </c>
      <c r="C77" s="5" t="s">
        <v>5</v>
      </c>
      <c r="D77" s="5" t="s">
        <v>6</v>
      </c>
      <c r="E77" s="5">
        <v>137.97999999999999</v>
      </c>
    </row>
    <row r="78" spans="2:5" x14ac:dyDescent="0.3">
      <c r="B78" s="1">
        <v>43531</v>
      </c>
      <c r="C78" s="5" t="s">
        <v>5</v>
      </c>
      <c r="D78" s="5" t="s">
        <v>6</v>
      </c>
      <c r="E78" s="5">
        <v>139.91999999999999</v>
      </c>
    </row>
    <row r="79" spans="2:5" x14ac:dyDescent="0.3">
      <c r="B79" s="1">
        <v>43530</v>
      </c>
      <c r="C79" s="5" t="s">
        <v>5</v>
      </c>
      <c r="D79" s="5" t="s">
        <v>6</v>
      </c>
      <c r="E79" s="5">
        <v>142.35</v>
      </c>
    </row>
    <row r="80" spans="2:5" x14ac:dyDescent="0.3">
      <c r="B80" s="1">
        <v>43529</v>
      </c>
      <c r="C80" s="5" t="s">
        <v>5</v>
      </c>
      <c r="D80" s="5" t="s">
        <v>6</v>
      </c>
      <c r="E80" s="5">
        <v>142.12</v>
      </c>
    </row>
    <row r="81" spans="2:5" x14ac:dyDescent="0.3">
      <c r="B81" s="1">
        <v>43528</v>
      </c>
      <c r="C81" s="5" t="s">
        <v>5</v>
      </c>
      <c r="D81" s="5" t="s">
        <v>6</v>
      </c>
      <c r="E81" s="5">
        <v>141.72999999999999</v>
      </c>
    </row>
    <row r="82" spans="2:5" x14ac:dyDescent="0.3">
      <c r="B82" s="1">
        <v>43525</v>
      </c>
      <c r="C82" s="5" t="s">
        <v>5</v>
      </c>
      <c r="D82" s="5" t="s">
        <v>6</v>
      </c>
      <c r="E82" s="5">
        <v>139.57</v>
      </c>
    </row>
    <row r="83" spans="2:5" x14ac:dyDescent="0.3">
      <c r="B83" s="1">
        <v>43524</v>
      </c>
      <c r="C83" s="5" t="s">
        <v>5</v>
      </c>
      <c r="D83" s="5" t="s">
        <v>6</v>
      </c>
      <c r="E83" s="5">
        <v>139.84</v>
      </c>
    </row>
    <row r="84" spans="2:5" x14ac:dyDescent="0.3">
      <c r="B84" s="1">
        <v>43523</v>
      </c>
      <c r="C84" s="5" t="s">
        <v>5</v>
      </c>
      <c r="D84" s="5" t="s">
        <v>6</v>
      </c>
      <c r="E84" s="5">
        <v>136.44999999999999</v>
      </c>
    </row>
    <row r="85" spans="2:5" x14ac:dyDescent="0.3">
      <c r="B85" s="1">
        <v>43522</v>
      </c>
      <c r="C85" s="5" t="s">
        <v>5</v>
      </c>
      <c r="D85" s="5" t="s">
        <v>6</v>
      </c>
      <c r="E85" s="5">
        <v>136.63</v>
      </c>
    </row>
    <row r="86" spans="2:5" x14ac:dyDescent="0.3">
      <c r="B86" s="1">
        <v>43521</v>
      </c>
      <c r="C86" s="5" t="s">
        <v>5</v>
      </c>
      <c r="D86" s="5" t="s">
        <v>6</v>
      </c>
      <c r="E86" s="5">
        <v>141.1</v>
      </c>
    </row>
    <row r="87" spans="2:5" x14ac:dyDescent="0.3">
      <c r="B87" s="1">
        <v>43518</v>
      </c>
      <c r="C87" s="5" t="s">
        <v>5</v>
      </c>
      <c r="D87" s="5" t="s">
        <v>6</v>
      </c>
      <c r="E87" s="5">
        <v>141.76</v>
      </c>
    </row>
    <row r="88" spans="2:5" x14ac:dyDescent="0.3">
      <c r="B88" s="1">
        <v>43517</v>
      </c>
      <c r="C88" s="5" t="s">
        <v>5</v>
      </c>
      <c r="D88" s="5" t="s">
        <v>6</v>
      </c>
      <c r="E88" s="5">
        <v>142.05000000000001</v>
      </c>
    </row>
    <row r="89" spans="2:5" x14ac:dyDescent="0.3">
      <c r="B89" s="1">
        <v>43516</v>
      </c>
      <c r="C89" s="5" t="s">
        <v>5</v>
      </c>
      <c r="D89" s="5" t="s">
        <v>6</v>
      </c>
      <c r="E89" s="5">
        <v>142.05000000000001</v>
      </c>
    </row>
    <row r="90" spans="2:5" x14ac:dyDescent="0.3">
      <c r="B90" s="1">
        <v>43515</v>
      </c>
      <c r="C90" s="5" t="s">
        <v>5</v>
      </c>
      <c r="D90" s="5" t="s">
        <v>6</v>
      </c>
      <c r="E90" s="5">
        <v>140.08000000000001</v>
      </c>
    </row>
    <row r="91" spans="2:5" x14ac:dyDescent="0.3">
      <c r="B91" s="1">
        <v>43514</v>
      </c>
      <c r="C91" s="5" t="s">
        <v>5</v>
      </c>
      <c r="D91" s="5" t="s">
        <v>6</v>
      </c>
      <c r="E91" s="5">
        <v>141.69</v>
      </c>
    </row>
    <row r="92" spans="2:5" x14ac:dyDescent="0.3">
      <c r="B92" s="1">
        <v>43511</v>
      </c>
      <c r="C92" s="5" t="s">
        <v>5</v>
      </c>
      <c r="D92" s="5" t="s">
        <v>6</v>
      </c>
      <c r="E92" s="5">
        <v>142.33000000000001</v>
      </c>
    </row>
    <row r="93" spans="2:5" x14ac:dyDescent="0.3">
      <c r="B93" s="1">
        <v>43510</v>
      </c>
      <c r="C93" s="5" t="s">
        <v>5</v>
      </c>
      <c r="D93" s="5" t="s">
        <v>6</v>
      </c>
      <c r="E93" s="5">
        <v>143.02000000000001</v>
      </c>
    </row>
    <row r="94" spans="2:5" x14ac:dyDescent="0.3">
      <c r="B94" s="1">
        <v>43509</v>
      </c>
      <c r="C94" s="5" t="s">
        <v>5</v>
      </c>
      <c r="D94" s="5" t="s">
        <v>6</v>
      </c>
      <c r="E94" s="5">
        <v>143.41</v>
      </c>
    </row>
    <row r="95" spans="2:5" x14ac:dyDescent="0.3">
      <c r="B95" s="1">
        <v>43508</v>
      </c>
      <c r="C95" s="5" t="s">
        <v>5</v>
      </c>
      <c r="D95" s="5" t="s">
        <v>6</v>
      </c>
      <c r="E95" s="5">
        <v>142.82</v>
      </c>
    </row>
    <row r="96" spans="2:5" x14ac:dyDescent="0.3">
      <c r="B96" s="1">
        <v>43507</v>
      </c>
      <c r="C96" s="5" t="s">
        <v>5</v>
      </c>
      <c r="D96" s="5" t="s">
        <v>6</v>
      </c>
      <c r="E96" s="5">
        <v>141.33000000000001</v>
      </c>
    </row>
    <row r="97" spans="2:5" x14ac:dyDescent="0.3">
      <c r="B97" s="1">
        <v>43504</v>
      </c>
      <c r="C97" s="5" t="s">
        <v>5</v>
      </c>
      <c r="D97" s="5" t="s">
        <v>6</v>
      </c>
      <c r="E97" s="5">
        <v>143.36000000000001</v>
      </c>
    </row>
    <row r="98" spans="2:5" x14ac:dyDescent="0.3">
      <c r="B98" s="1">
        <v>43503</v>
      </c>
      <c r="C98" s="5" t="s">
        <v>5</v>
      </c>
      <c r="D98" s="5" t="s">
        <v>6</v>
      </c>
      <c r="E98" s="5">
        <v>146.04</v>
      </c>
    </row>
    <row r="99" spans="2:5" x14ac:dyDescent="0.3">
      <c r="B99" s="1">
        <v>43502</v>
      </c>
      <c r="C99" s="5" t="s">
        <v>5</v>
      </c>
      <c r="D99" s="5" t="s">
        <v>6</v>
      </c>
      <c r="E99" s="5">
        <v>147.83000000000001</v>
      </c>
    </row>
    <row r="100" spans="2:5" x14ac:dyDescent="0.3">
      <c r="B100" s="1">
        <v>43500</v>
      </c>
      <c r="C100" s="5" t="s">
        <v>5</v>
      </c>
      <c r="D100" s="5" t="s">
        <v>6</v>
      </c>
      <c r="E100" s="5">
        <v>145.61000000000001</v>
      </c>
    </row>
    <row r="101" spans="2:5" x14ac:dyDescent="0.3">
      <c r="B101" s="1">
        <v>43497</v>
      </c>
      <c r="C101" s="5" t="s">
        <v>5</v>
      </c>
      <c r="D101" s="5" t="s">
        <v>6</v>
      </c>
      <c r="E101" s="5">
        <v>143.02000000000001</v>
      </c>
    </row>
    <row r="102" spans="2:5" x14ac:dyDescent="0.3">
      <c r="B102" s="1">
        <v>43496</v>
      </c>
      <c r="C102" s="5" t="s">
        <v>5</v>
      </c>
      <c r="D102" s="5" t="s">
        <v>6</v>
      </c>
      <c r="E102" s="5">
        <v>142.85</v>
      </c>
    </row>
    <row r="103" spans="2:5" x14ac:dyDescent="0.3">
      <c r="B103" s="1">
        <v>43495</v>
      </c>
      <c r="C103" s="5" t="s">
        <v>5</v>
      </c>
      <c r="D103" s="5" t="s">
        <v>6</v>
      </c>
      <c r="E103" s="5">
        <v>141.59</v>
      </c>
    </row>
    <row r="104" spans="2:5" x14ac:dyDescent="0.3">
      <c r="B104" s="1">
        <v>43494</v>
      </c>
      <c r="C104" s="5" t="s">
        <v>5</v>
      </c>
      <c r="D104" s="5" t="s">
        <v>6</v>
      </c>
      <c r="E104" s="5">
        <v>141.36000000000001</v>
      </c>
    </row>
    <row r="105" spans="2:5" x14ac:dyDescent="0.3">
      <c r="B105" s="1">
        <v>43493</v>
      </c>
      <c r="C105" s="5" t="s">
        <v>5</v>
      </c>
      <c r="D105" s="5" t="s">
        <v>6</v>
      </c>
      <c r="E105" s="5">
        <v>141.97</v>
      </c>
    </row>
    <row r="106" spans="2:5" x14ac:dyDescent="0.3">
      <c r="B106" s="1">
        <v>43490</v>
      </c>
      <c r="C106" s="5" t="s">
        <v>5</v>
      </c>
      <c r="D106" s="5" t="s">
        <v>6</v>
      </c>
      <c r="E106" s="5">
        <v>139.96</v>
      </c>
    </row>
    <row r="107" spans="2:5" x14ac:dyDescent="0.3">
      <c r="B107" s="1">
        <v>43489</v>
      </c>
      <c r="C107" s="5" t="s">
        <v>5</v>
      </c>
      <c r="D107" s="5" t="s">
        <v>6</v>
      </c>
      <c r="E107" s="5">
        <v>139.66</v>
      </c>
    </row>
    <row r="108" spans="2:5" x14ac:dyDescent="0.3">
      <c r="B108" s="1">
        <v>43488</v>
      </c>
      <c r="C108" s="5" t="s">
        <v>5</v>
      </c>
      <c r="D108" s="5" t="s">
        <v>6</v>
      </c>
      <c r="E108" s="5">
        <v>140.87</v>
      </c>
    </row>
    <row r="109" spans="2:5" x14ac:dyDescent="0.3">
      <c r="B109" s="1">
        <v>43487</v>
      </c>
      <c r="C109" s="5" t="s">
        <v>5</v>
      </c>
      <c r="D109" s="5" t="s">
        <v>6</v>
      </c>
      <c r="E109" s="5">
        <v>138.61000000000001</v>
      </c>
    </row>
    <row r="110" spans="2:5" x14ac:dyDescent="0.3">
      <c r="B110" s="1">
        <v>43486</v>
      </c>
      <c r="C110" s="5" t="s">
        <v>5</v>
      </c>
      <c r="D110" s="5" t="s">
        <v>6</v>
      </c>
      <c r="E110" s="5">
        <v>137.91</v>
      </c>
    </row>
    <row r="111" spans="2:5" x14ac:dyDescent="0.3">
      <c r="B111" s="1">
        <v>43483</v>
      </c>
      <c r="C111" s="5" t="s">
        <v>5</v>
      </c>
      <c r="D111" s="5" t="s">
        <v>6</v>
      </c>
      <c r="E111" s="5">
        <v>138.29</v>
      </c>
    </row>
    <row r="112" spans="2:5" x14ac:dyDescent="0.3">
      <c r="B112" s="1">
        <v>43482</v>
      </c>
      <c r="C112" s="5" t="s">
        <v>5</v>
      </c>
      <c r="D112" s="5" t="s">
        <v>6</v>
      </c>
      <c r="E112" s="5">
        <v>138.54</v>
      </c>
    </row>
    <row r="113" spans="2:5" x14ac:dyDescent="0.3">
      <c r="B113" s="1">
        <v>43481</v>
      </c>
      <c r="C113" s="5" t="s">
        <v>5</v>
      </c>
      <c r="D113" s="5" t="s">
        <v>6</v>
      </c>
      <c r="E113" s="5">
        <v>140.19999999999999</v>
      </c>
    </row>
    <row r="114" spans="2:5" x14ac:dyDescent="0.3">
      <c r="B114" s="1">
        <v>43480</v>
      </c>
      <c r="C114" s="5" t="s">
        <v>5</v>
      </c>
      <c r="D114" s="5" t="s">
        <v>6</v>
      </c>
      <c r="E114" s="5">
        <v>139.76</v>
      </c>
    </row>
    <row r="115" spans="2:5" x14ac:dyDescent="0.3">
      <c r="B115" s="1">
        <v>43479</v>
      </c>
      <c r="C115" s="5" t="s">
        <v>5</v>
      </c>
      <c r="D115" s="5" t="s">
        <v>6</v>
      </c>
      <c r="E115" s="5">
        <v>139.41999999999999</v>
      </c>
    </row>
    <row r="116" spans="2:5" x14ac:dyDescent="0.3">
      <c r="B116" s="1">
        <v>43476</v>
      </c>
      <c r="C116" s="5" t="s">
        <v>5</v>
      </c>
      <c r="D116" s="5" t="s">
        <v>6</v>
      </c>
      <c r="E116" s="5">
        <v>137.34</v>
      </c>
    </row>
    <row r="117" spans="2:5" x14ac:dyDescent="0.3">
      <c r="B117" s="1">
        <v>43475</v>
      </c>
      <c r="C117" s="5" t="s">
        <v>5</v>
      </c>
      <c r="D117" s="5" t="s">
        <v>6</v>
      </c>
      <c r="E117" s="5">
        <v>136.06</v>
      </c>
    </row>
    <row r="118" spans="2:5" x14ac:dyDescent="0.3">
      <c r="B118" s="1">
        <v>43474</v>
      </c>
      <c r="C118" s="5" t="s">
        <v>5</v>
      </c>
      <c r="D118" s="5" t="s">
        <v>6</v>
      </c>
      <c r="E118" s="5">
        <v>136.62</v>
      </c>
    </row>
    <row r="119" spans="2:5" x14ac:dyDescent="0.3">
      <c r="B119" s="1">
        <v>43473</v>
      </c>
      <c r="C119" s="5" t="s">
        <v>5</v>
      </c>
      <c r="D119" s="5" t="s">
        <v>6</v>
      </c>
      <c r="E119" s="5">
        <v>139.32</v>
      </c>
    </row>
    <row r="120" spans="2:5" x14ac:dyDescent="0.3">
      <c r="B120" s="1">
        <v>43472</v>
      </c>
      <c r="C120" s="5" t="s">
        <v>5</v>
      </c>
      <c r="D120" s="5" t="s">
        <v>6</v>
      </c>
      <c r="E120" s="5">
        <v>139.16999999999999</v>
      </c>
    </row>
    <row r="121" spans="2:5" x14ac:dyDescent="0.3">
      <c r="B121" s="1">
        <v>43469</v>
      </c>
      <c r="C121" s="5" t="s">
        <v>5</v>
      </c>
      <c r="D121" s="5" t="s">
        <v>6</v>
      </c>
      <c r="E121" s="5">
        <v>134.59</v>
      </c>
    </row>
    <row r="122" spans="2:5" x14ac:dyDescent="0.3">
      <c r="B122" s="1">
        <v>43468</v>
      </c>
      <c r="C122" s="5" t="s">
        <v>5</v>
      </c>
      <c r="D122" s="5" t="s">
        <v>6</v>
      </c>
      <c r="E122" s="5">
        <v>135.43</v>
      </c>
    </row>
    <row r="123" spans="2:5" x14ac:dyDescent="0.3">
      <c r="B123" s="1">
        <v>43467</v>
      </c>
      <c r="C123" s="5" t="s">
        <v>5</v>
      </c>
      <c r="D123" s="5" t="s">
        <v>6</v>
      </c>
      <c r="E123" s="5">
        <v>135</v>
      </c>
    </row>
    <row r="124" spans="2:5" x14ac:dyDescent="0.3">
      <c r="B124" s="1">
        <v>43466</v>
      </c>
      <c r="C124" s="5" t="s">
        <v>5</v>
      </c>
      <c r="D124" s="5" t="s">
        <v>6</v>
      </c>
      <c r="E124" s="5">
        <v>132.5</v>
      </c>
    </row>
    <row r="125" spans="2:5" x14ac:dyDescent="0.3">
      <c r="B125" s="1">
        <v>43465</v>
      </c>
      <c r="C125" s="5" t="s">
        <v>5</v>
      </c>
      <c r="D125" s="5" t="s">
        <v>6</v>
      </c>
      <c r="E125" s="5">
        <v>126.53</v>
      </c>
    </row>
    <row r="126" spans="2:5" x14ac:dyDescent="0.3">
      <c r="B126" s="1">
        <v>43462</v>
      </c>
      <c r="C126" s="5" t="s">
        <v>5</v>
      </c>
      <c r="D126" s="5" t="s">
        <v>6</v>
      </c>
      <c r="E126" s="5">
        <v>130.47</v>
      </c>
    </row>
    <row r="127" spans="2:5" x14ac:dyDescent="0.3">
      <c r="B127" s="1">
        <v>43461</v>
      </c>
      <c r="C127" s="5" t="s">
        <v>5</v>
      </c>
      <c r="D127" s="5" t="s">
        <v>6</v>
      </c>
      <c r="E127" s="5">
        <v>131.54</v>
      </c>
    </row>
    <row r="128" spans="2:5" x14ac:dyDescent="0.3">
      <c r="B128" s="1">
        <v>43460</v>
      </c>
      <c r="C128" s="5" t="s">
        <v>5</v>
      </c>
      <c r="D128" s="5" t="s">
        <v>6</v>
      </c>
      <c r="E128" s="5">
        <v>131.55000000000001</v>
      </c>
    </row>
    <row r="129" spans="2:5" x14ac:dyDescent="0.3">
      <c r="B129" s="1">
        <v>43458</v>
      </c>
      <c r="C129" s="5" t="s">
        <v>5</v>
      </c>
      <c r="D129" s="5" t="s">
        <v>6</v>
      </c>
      <c r="E129" s="5">
        <v>132.62</v>
      </c>
    </row>
    <row r="130" spans="2:5" x14ac:dyDescent="0.3">
      <c r="B130" s="1">
        <v>43455</v>
      </c>
      <c r="C130" s="5" t="s">
        <v>5</v>
      </c>
      <c r="D130" s="5" t="s">
        <v>6</v>
      </c>
      <c r="E130" s="5">
        <v>133.59</v>
      </c>
    </row>
    <row r="131" spans="2:5" x14ac:dyDescent="0.3">
      <c r="B131" s="1">
        <v>43454</v>
      </c>
      <c r="C131" s="5" t="s">
        <v>5</v>
      </c>
      <c r="D131" s="5" t="s">
        <v>6</v>
      </c>
      <c r="E131" s="5">
        <v>133.04</v>
      </c>
    </row>
    <row r="132" spans="2:5" x14ac:dyDescent="0.3">
      <c r="B132" s="1">
        <v>43453</v>
      </c>
      <c r="C132" s="5" t="s">
        <v>5</v>
      </c>
      <c r="D132" s="5" t="s">
        <v>6</v>
      </c>
      <c r="E132" s="5">
        <v>130.53</v>
      </c>
    </row>
    <row r="133" spans="2:5" x14ac:dyDescent="0.3">
      <c r="B133" s="1">
        <v>43452</v>
      </c>
      <c r="C133" s="5" t="s">
        <v>5</v>
      </c>
      <c r="D133" s="5" t="s">
        <v>6</v>
      </c>
      <c r="E133" s="5">
        <v>128.69999999999999</v>
      </c>
    </row>
    <row r="134" spans="2:5" x14ac:dyDescent="0.3">
      <c r="B134" s="1">
        <v>43451</v>
      </c>
      <c r="C134" s="5" t="s">
        <v>5</v>
      </c>
      <c r="D134" s="5" t="s">
        <v>6</v>
      </c>
      <c r="E134" s="5">
        <v>128.16999999999999</v>
      </c>
    </row>
    <row r="135" spans="2:5" x14ac:dyDescent="0.3">
      <c r="B135" s="1">
        <v>43448</v>
      </c>
      <c r="C135" s="5" t="s">
        <v>5</v>
      </c>
      <c r="D135" s="5" t="s">
        <v>6</v>
      </c>
      <c r="E135" s="5">
        <v>132.03</v>
      </c>
    </row>
    <row r="136" spans="2:5" x14ac:dyDescent="0.3">
      <c r="B136" s="1">
        <v>43447</v>
      </c>
      <c r="C136" s="5" t="s">
        <v>5</v>
      </c>
      <c r="D136" s="5" t="s">
        <v>6</v>
      </c>
      <c r="E136" s="5">
        <v>130.16999999999999</v>
      </c>
    </row>
    <row r="137" spans="2:5" x14ac:dyDescent="0.3">
      <c r="B137" s="1">
        <v>43446</v>
      </c>
      <c r="C137" s="5" t="s">
        <v>5</v>
      </c>
      <c r="D137" s="5" t="s">
        <v>6</v>
      </c>
      <c r="E137" s="5">
        <v>132.22999999999999</v>
      </c>
    </row>
    <row r="138" spans="2:5" x14ac:dyDescent="0.3">
      <c r="B138" s="1">
        <v>43445</v>
      </c>
      <c r="C138" s="5" t="s">
        <v>5</v>
      </c>
      <c r="D138" s="5" t="s">
        <v>6</v>
      </c>
      <c r="E138" s="5">
        <v>133.68</v>
      </c>
    </row>
    <row r="139" spans="2:5" x14ac:dyDescent="0.3">
      <c r="B139" s="1">
        <v>43444</v>
      </c>
      <c r="C139" s="5" t="s">
        <v>5</v>
      </c>
      <c r="D139" s="5" t="s">
        <v>6</v>
      </c>
      <c r="E139" s="5">
        <v>136.02000000000001</v>
      </c>
    </row>
    <row r="140" spans="2:5" x14ac:dyDescent="0.3">
      <c r="B140" s="1">
        <v>43441</v>
      </c>
      <c r="C140" s="5" t="s">
        <v>5</v>
      </c>
      <c r="D140" s="5" t="s">
        <v>6</v>
      </c>
      <c r="E140" s="5">
        <v>136.54</v>
      </c>
    </row>
    <row r="141" spans="2:5" x14ac:dyDescent="0.3">
      <c r="B141" s="1">
        <v>43440</v>
      </c>
      <c r="C141" s="5" t="s">
        <v>5</v>
      </c>
      <c r="D141" s="5" t="s">
        <v>6</v>
      </c>
      <c r="E141" s="5">
        <v>133.55000000000001</v>
      </c>
    </row>
    <row r="142" spans="2:5" x14ac:dyDescent="0.3">
      <c r="B142" s="1">
        <v>43439</v>
      </c>
      <c r="C142" s="5" t="s">
        <v>5</v>
      </c>
      <c r="D142" s="5" t="s">
        <v>6</v>
      </c>
      <c r="E142" s="5">
        <v>140.52000000000001</v>
      </c>
    </row>
    <row r="143" spans="2:5" x14ac:dyDescent="0.3">
      <c r="B143" s="1">
        <v>43438</v>
      </c>
      <c r="C143" s="5" t="s">
        <v>5</v>
      </c>
      <c r="D143" s="5" t="s">
        <v>6</v>
      </c>
      <c r="E143" s="5">
        <v>141.97999999999999</v>
      </c>
    </row>
    <row r="144" spans="2:5" x14ac:dyDescent="0.3">
      <c r="B144" s="1">
        <v>43437</v>
      </c>
      <c r="C144" s="5" t="s">
        <v>5</v>
      </c>
      <c r="D144" s="5" t="s">
        <v>6</v>
      </c>
      <c r="E144" s="5">
        <v>140.43</v>
      </c>
    </row>
    <row r="145" spans="2:5" x14ac:dyDescent="0.3">
      <c r="B145" s="1">
        <v>43434</v>
      </c>
      <c r="C145" s="5" t="s">
        <v>5</v>
      </c>
      <c r="D145" s="5" t="s">
        <v>6</v>
      </c>
      <c r="E145" s="5">
        <v>147.82</v>
      </c>
    </row>
    <row r="146" spans="2:5" x14ac:dyDescent="0.3">
      <c r="B146" s="1">
        <v>43433</v>
      </c>
      <c r="C146" s="5" t="s">
        <v>5</v>
      </c>
      <c r="D146" s="5" t="s">
        <v>6</v>
      </c>
      <c r="E146" s="5">
        <v>147.9</v>
      </c>
    </row>
    <row r="147" spans="2:5" x14ac:dyDescent="0.3">
      <c r="B147" s="1">
        <v>43432</v>
      </c>
      <c r="C147" s="5" t="s">
        <v>5</v>
      </c>
      <c r="D147" s="5" t="s">
        <v>6</v>
      </c>
      <c r="E147" s="5">
        <v>146.93</v>
      </c>
    </row>
    <row r="148" spans="2:5" x14ac:dyDescent="0.3">
      <c r="B148" s="1">
        <v>43431</v>
      </c>
      <c r="C148" s="5" t="s">
        <v>5</v>
      </c>
      <c r="D148" s="5" t="s">
        <v>6</v>
      </c>
      <c r="E148" s="5">
        <v>148.04</v>
      </c>
    </row>
    <row r="149" spans="2:5" x14ac:dyDescent="0.3">
      <c r="B149" s="1">
        <v>43430</v>
      </c>
      <c r="C149" s="5" t="s">
        <v>5</v>
      </c>
      <c r="D149" s="5" t="s">
        <v>6</v>
      </c>
      <c r="E149" s="5">
        <v>146.52000000000001</v>
      </c>
    </row>
    <row r="150" spans="2:5" x14ac:dyDescent="0.3">
      <c r="B150" s="1">
        <v>43427</v>
      </c>
      <c r="C150" s="5" t="s">
        <v>5</v>
      </c>
      <c r="D150" s="5" t="s">
        <v>6</v>
      </c>
      <c r="E150" s="5">
        <v>145.91</v>
      </c>
    </row>
    <row r="151" spans="2:5" x14ac:dyDescent="0.3">
      <c r="B151" s="1">
        <v>43426</v>
      </c>
      <c r="C151" s="5" t="s">
        <v>5</v>
      </c>
      <c r="D151" s="5" t="s">
        <v>6</v>
      </c>
      <c r="E151" s="5">
        <v>148.44</v>
      </c>
    </row>
    <row r="152" spans="2:5" x14ac:dyDescent="0.3">
      <c r="B152" s="1">
        <v>43424</v>
      </c>
      <c r="C152" s="5" t="s">
        <v>5</v>
      </c>
      <c r="D152" s="5" t="s">
        <v>6</v>
      </c>
      <c r="E152" s="5">
        <v>148.87</v>
      </c>
    </row>
    <row r="153" spans="2:5" x14ac:dyDescent="0.3">
      <c r="B153" s="1">
        <v>43423</v>
      </c>
      <c r="C153" s="5" t="s">
        <v>5</v>
      </c>
      <c r="D153" s="5" t="s">
        <v>6</v>
      </c>
      <c r="E153" s="5">
        <v>149.9</v>
      </c>
    </row>
    <row r="154" spans="2:5" x14ac:dyDescent="0.3">
      <c r="B154" s="1">
        <v>43420</v>
      </c>
      <c r="C154" s="5" t="s">
        <v>5</v>
      </c>
      <c r="D154" s="5" t="s">
        <v>6</v>
      </c>
      <c r="E154" s="5">
        <v>152.03</v>
      </c>
    </row>
    <row r="155" spans="2:5" x14ac:dyDescent="0.3">
      <c r="B155" s="1">
        <v>43419</v>
      </c>
      <c r="C155" s="5" t="s">
        <v>5</v>
      </c>
      <c r="D155" s="5" t="s">
        <v>6</v>
      </c>
      <c r="E155" s="5">
        <v>151.83000000000001</v>
      </c>
    </row>
    <row r="156" spans="2:5" x14ac:dyDescent="0.3">
      <c r="B156" s="1">
        <v>43418</v>
      </c>
      <c r="C156" s="5" t="s">
        <v>5</v>
      </c>
      <c r="D156" s="5" t="s">
        <v>6</v>
      </c>
      <c r="E156" s="5">
        <v>152.34</v>
      </c>
    </row>
    <row r="157" spans="2:5" x14ac:dyDescent="0.3">
      <c r="B157" s="1">
        <v>43417</v>
      </c>
      <c r="C157" s="5" t="s">
        <v>5</v>
      </c>
      <c r="D157" s="5" t="s">
        <v>6</v>
      </c>
      <c r="E157" s="5">
        <v>153.72999999999999</v>
      </c>
    </row>
    <row r="158" spans="2:5" x14ac:dyDescent="0.3">
      <c r="B158" s="1">
        <v>43416</v>
      </c>
      <c r="C158" s="5" t="s">
        <v>5</v>
      </c>
      <c r="D158" s="5" t="s">
        <v>6</v>
      </c>
      <c r="E158" s="5">
        <v>152.69</v>
      </c>
    </row>
    <row r="159" spans="2:5" x14ac:dyDescent="0.3">
      <c r="B159" s="1">
        <v>43413</v>
      </c>
      <c r="C159" s="5" t="s">
        <v>5</v>
      </c>
      <c r="D159" s="5" t="s">
        <v>6</v>
      </c>
      <c r="E159" s="5">
        <v>153.35</v>
      </c>
    </row>
    <row r="160" spans="2:5" x14ac:dyDescent="0.3">
      <c r="B160" s="1">
        <v>43412</v>
      </c>
      <c r="C160" s="5" t="s">
        <v>5</v>
      </c>
      <c r="D160" s="5" t="s">
        <v>6</v>
      </c>
      <c r="E160" s="5">
        <v>150.91999999999999</v>
      </c>
    </row>
    <row r="161" spans="2:5" x14ac:dyDescent="0.3">
      <c r="B161" s="1">
        <v>43411</v>
      </c>
      <c r="C161" s="5" t="s">
        <v>5</v>
      </c>
      <c r="D161" s="5" t="s">
        <v>6</v>
      </c>
      <c r="E161" s="5">
        <v>149.77000000000001</v>
      </c>
    </row>
    <row r="162" spans="2:5" x14ac:dyDescent="0.3">
      <c r="B162" s="1">
        <v>43410</v>
      </c>
      <c r="C162" s="5" t="s">
        <v>5</v>
      </c>
      <c r="D162" s="5" t="s">
        <v>6</v>
      </c>
      <c r="E162" s="5">
        <v>146.54</v>
      </c>
    </row>
    <row r="163" spans="2:5" x14ac:dyDescent="0.3">
      <c r="B163" s="1">
        <v>43409</v>
      </c>
      <c r="C163" s="5" t="s">
        <v>5</v>
      </c>
      <c r="D163" s="5" t="s">
        <v>6</v>
      </c>
      <c r="E163" s="5">
        <v>148.13999999999999</v>
      </c>
    </row>
    <row r="164" spans="2:5" x14ac:dyDescent="0.3">
      <c r="B164" s="1">
        <v>43406</v>
      </c>
      <c r="C164" s="5" t="s">
        <v>5</v>
      </c>
      <c r="D164" s="5" t="s">
        <v>6</v>
      </c>
      <c r="E164" s="5">
        <v>150.94999999999999</v>
      </c>
    </row>
    <row r="165" spans="2:5" x14ac:dyDescent="0.3">
      <c r="B165" s="1">
        <v>43405</v>
      </c>
      <c r="C165" s="5" t="s">
        <v>5</v>
      </c>
      <c r="D165" s="5" t="s">
        <v>6</v>
      </c>
      <c r="E165" s="5">
        <v>151.41999999999999</v>
      </c>
    </row>
    <row r="166" spans="2:5" x14ac:dyDescent="0.3">
      <c r="B166" s="1">
        <v>43404</v>
      </c>
      <c r="C166" s="5" t="s">
        <v>5</v>
      </c>
      <c r="D166" s="5" t="s">
        <v>6</v>
      </c>
      <c r="E166" s="5">
        <v>146.72</v>
      </c>
    </row>
    <row r="167" spans="2:5" x14ac:dyDescent="0.3">
      <c r="B167" s="1">
        <v>43403</v>
      </c>
      <c r="C167" s="5" t="s">
        <v>5</v>
      </c>
      <c r="D167" s="5" t="s">
        <v>6</v>
      </c>
      <c r="E167" s="5">
        <v>145.91</v>
      </c>
    </row>
    <row r="168" spans="2:5" x14ac:dyDescent="0.3">
      <c r="B168" s="1">
        <v>43402</v>
      </c>
      <c r="C168" s="5" t="s">
        <v>5</v>
      </c>
      <c r="D168" s="5" t="s">
        <v>6</v>
      </c>
      <c r="E168" s="5">
        <v>147.76</v>
      </c>
    </row>
    <row r="169" spans="2:5" x14ac:dyDescent="0.3">
      <c r="B169" s="1">
        <v>43399</v>
      </c>
      <c r="C169" s="5" t="s">
        <v>5</v>
      </c>
      <c r="D169" s="5" t="s">
        <v>6</v>
      </c>
      <c r="E169" s="5">
        <v>144.1</v>
      </c>
    </row>
    <row r="170" spans="2:5" x14ac:dyDescent="0.3">
      <c r="B170" s="1">
        <v>43398</v>
      </c>
      <c r="C170" s="5" t="s">
        <v>5</v>
      </c>
      <c r="D170" s="5" t="s">
        <v>6</v>
      </c>
      <c r="E170" s="5">
        <v>139.77000000000001</v>
      </c>
    </row>
    <row r="171" spans="2:5" x14ac:dyDescent="0.3">
      <c r="B171" s="1">
        <v>43397</v>
      </c>
      <c r="C171" s="5" t="s">
        <v>5</v>
      </c>
      <c r="D171" s="5" t="s">
        <v>6</v>
      </c>
      <c r="E171" s="5">
        <v>135.88</v>
      </c>
    </row>
    <row r="172" spans="2:5" x14ac:dyDescent="0.3">
      <c r="B172" s="1">
        <v>43396</v>
      </c>
      <c r="C172" s="5" t="s">
        <v>5</v>
      </c>
      <c r="D172" s="5" t="s">
        <v>6</v>
      </c>
      <c r="E172" s="5">
        <v>129.41</v>
      </c>
    </row>
    <row r="173" spans="2:5" x14ac:dyDescent="0.3">
      <c r="B173" s="1">
        <v>43395</v>
      </c>
      <c r="C173" s="5" t="s">
        <v>5</v>
      </c>
      <c r="D173" s="5" t="s">
        <v>6</v>
      </c>
      <c r="E173" s="5">
        <v>130.08000000000001</v>
      </c>
    </row>
    <row r="174" spans="2:5" x14ac:dyDescent="0.3">
      <c r="B174" s="1">
        <v>43392</v>
      </c>
      <c r="C174" s="5" t="s">
        <v>5</v>
      </c>
      <c r="D174" s="5" t="s">
        <v>6</v>
      </c>
      <c r="E174" s="5">
        <v>131.63</v>
      </c>
    </row>
    <row r="175" spans="2:5" x14ac:dyDescent="0.3">
      <c r="B175" s="1">
        <v>43391</v>
      </c>
      <c r="C175" s="5" t="s">
        <v>5</v>
      </c>
      <c r="D175" s="5" t="s">
        <v>6</v>
      </c>
      <c r="E175" s="5">
        <v>128.66</v>
      </c>
    </row>
    <row r="176" spans="2:5" x14ac:dyDescent="0.3">
      <c r="B176" s="1">
        <v>43390</v>
      </c>
      <c r="C176" s="5" t="s">
        <v>5</v>
      </c>
      <c r="D176" s="5" t="s">
        <v>6</v>
      </c>
      <c r="E176" s="5">
        <v>132.19999999999999</v>
      </c>
    </row>
    <row r="177" spans="2:5" x14ac:dyDescent="0.3">
      <c r="B177" s="1">
        <v>43389</v>
      </c>
      <c r="C177" s="5" t="s">
        <v>5</v>
      </c>
      <c r="D177" s="5" t="s">
        <v>6</v>
      </c>
      <c r="E177" s="5">
        <v>126.91</v>
      </c>
    </row>
    <row r="178" spans="2:5" x14ac:dyDescent="0.3">
      <c r="B178" s="1">
        <v>43388</v>
      </c>
      <c r="C178" s="5" t="s">
        <v>5</v>
      </c>
      <c r="D178" s="5" t="s">
        <v>6</v>
      </c>
      <c r="E178" s="5">
        <v>124.04</v>
      </c>
    </row>
    <row r="179" spans="2:5" x14ac:dyDescent="0.3">
      <c r="B179" s="1">
        <v>43385</v>
      </c>
      <c r="C179" s="5" t="s">
        <v>5</v>
      </c>
      <c r="D179" s="5" t="s">
        <v>6</v>
      </c>
      <c r="E179" s="5">
        <v>127.45</v>
      </c>
    </row>
    <row r="180" spans="2:5" x14ac:dyDescent="0.3">
      <c r="B180" s="1">
        <v>43384</v>
      </c>
      <c r="C180" s="5" t="s">
        <v>5</v>
      </c>
      <c r="D180" s="5" t="s">
        <v>6</v>
      </c>
      <c r="E180" s="5">
        <v>129.25</v>
      </c>
    </row>
    <row r="181" spans="2:5" x14ac:dyDescent="0.3">
      <c r="B181" s="1">
        <v>43383</v>
      </c>
      <c r="C181" s="5" t="s">
        <v>5</v>
      </c>
      <c r="D181" s="5" t="s">
        <v>6</v>
      </c>
      <c r="E181" s="5">
        <v>132.04</v>
      </c>
    </row>
    <row r="182" spans="2:5" x14ac:dyDescent="0.3">
      <c r="B182" s="1">
        <v>43382</v>
      </c>
      <c r="C182" s="5" t="s">
        <v>5</v>
      </c>
      <c r="D182" s="5" t="s">
        <v>6</v>
      </c>
      <c r="E182" s="5">
        <v>133.52000000000001</v>
      </c>
    </row>
    <row r="183" spans="2:5" x14ac:dyDescent="0.3">
      <c r="B183" s="1">
        <v>43381</v>
      </c>
      <c r="C183" s="5" t="s">
        <v>5</v>
      </c>
      <c r="D183" s="5" t="s">
        <v>6</v>
      </c>
      <c r="E183" s="5">
        <v>128.25</v>
      </c>
    </row>
    <row r="184" spans="2:5" x14ac:dyDescent="0.3">
      <c r="B184" s="1">
        <v>43378</v>
      </c>
      <c r="C184" s="5" t="s">
        <v>5</v>
      </c>
      <c r="D184" s="5" t="s">
        <v>6</v>
      </c>
      <c r="E184" s="5">
        <v>135</v>
      </c>
    </row>
    <row r="185" spans="2:5" x14ac:dyDescent="0.3">
      <c r="B185" s="1">
        <v>43377</v>
      </c>
      <c r="C185" s="5" t="s">
        <v>5</v>
      </c>
      <c r="D185" s="5" t="s">
        <v>6</v>
      </c>
      <c r="E185" s="5">
        <v>139.26</v>
      </c>
    </row>
    <row r="186" spans="2:5" x14ac:dyDescent="0.3">
      <c r="B186" s="1">
        <v>43376</v>
      </c>
      <c r="C186" s="5" t="s">
        <v>5</v>
      </c>
      <c r="D186" s="5" t="s">
        <v>6</v>
      </c>
      <c r="E186" s="5">
        <v>140.37</v>
      </c>
    </row>
    <row r="187" spans="2:5" x14ac:dyDescent="0.3">
      <c r="B187" s="1">
        <v>43375</v>
      </c>
      <c r="C187" s="5" t="s">
        <v>5</v>
      </c>
      <c r="D187" s="5" t="s">
        <v>6</v>
      </c>
      <c r="E187" s="5">
        <v>141.68</v>
      </c>
    </row>
    <row r="188" spans="2:5" x14ac:dyDescent="0.3">
      <c r="B188" s="1">
        <v>43374</v>
      </c>
      <c r="C188" s="5" t="s">
        <v>5</v>
      </c>
      <c r="D188" s="5" t="s">
        <v>6</v>
      </c>
      <c r="E188" s="5">
        <v>142.19999999999999</v>
      </c>
    </row>
    <row r="189" spans="2:5" x14ac:dyDescent="0.3">
      <c r="B189" s="1">
        <v>43371</v>
      </c>
      <c r="C189" s="5" t="s">
        <v>5</v>
      </c>
      <c r="D189" s="5" t="s">
        <v>6</v>
      </c>
      <c r="E189" s="5">
        <v>140.59</v>
      </c>
    </row>
    <row r="190" spans="2:5" x14ac:dyDescent="0.3">
      <c r="B190" s="1">
        <v>43370</v>
      </c>
      <c r="C190" s="5" t="s">
        <v>5</v>
      </c>
      <c r="D190" s="5" t="s">
        <v>6</v>
      </c>
      <c r="E190" s="5">
        <v>140.09</v>
      </c>
    </row>
    <row r="191" spans="2:5" x14ac:dyDescent="0.3">
      <c r="B191" s="1">
        <v>43369</v>
      </c>
      <c r="C191" s="5" t="s">
        <v>5</v>
      </c>
      <c r="D191" s="5" t="s">
        <v>6</v>
      </c>
      <c r="E191" s="5">
        <v>141.62</v>
      </c>
    </row>
    <row r="192" spans="2:5" x14ac:dyDescent="0.3">
      <c r="B192" s="1">
        <v>43368</v>
      </c>
      <c r="C192" s="5" t="s">
        <v>5</v>
      </c>
      <c r="D192" s="5" t="s">
        <v>6</v>
      </c>
      <c r="E192" s="5">
        <v>142.24</v>
      </c>
    </row>
    <row r="193" spans="2:5" x14ac:dyDescent="0.3">
      <c r="B193" s="1">
        <v>43367</v>
      </c>
      <c r="C193" s="5" t="s">
        <v>5</v>
      </c>
      <c r="D193" s="5" t="s">
        <v>6</v>
      </c>
      <c r="E193" s="5">
        <v>142.51</v>
      </c>
    </row>
    <row r="194" spans="2:5" x14ac:dyDescent="0.3">
      <c r="B194" s="1">
        <v>43362</v>
      </c>
      <c r="C194" s="5" t="s">
        <v>5</v>
      </c>
      <c r="D194" s="5" t="s">
        <v>6</v>
      </c>
      <c r="E194" s="5">
        <v>144.9</v>
      </c>
    </row>
    <row r="195" spans="2:5" x14ac:dyDescent="0.3">
      <c r="B195" s="1">
        <v>43361</v>
      </c>
      <c r="C195" s="5" t="s">
        <v>5</v>
      </c>
      <c r="D195" s="5" t="s">
        <v>6</v>
      </c>
      <c r="E195" s="5">
        <v>144.04</v>
      </c>
    </row>
    <row r="196" spans="2:5" x14ac:dyDescent="0.3">
      <c r="B196" s="1">
        <v>43360</v>
      </c>
      <c r="C196" s="5" t="s">
        <v>5</v>
      </c>
      <c r="D196" s="5" t="s">
        <v>6</v>
      </c>
      <c r="E196" s="5">
        <v>141.91999999999999</v>
      </c>
    </row>
    <row r="197" spans="2:5" x14ac:dyDescent="0.3">
      <c r="B197" s="1">
        <v>43357</v>
      </c>
      <c r="C197" s="5" t="s">
        <v>5</v>
      </c>
      <c r="D197" s="5" t="s">
        <v>6</v>
      </c>
      <c r="E197" s="5">
        <v>141.59</v>
      </c>
    </row>
    <row r="198" spans="2:5" x14ac:dyDescent="0.3">
      <c r="B198" s="1">
        <v>43356</v>
      </c>
      <c r="C198" s="5" t="s">
        <v>5</v>
      </c>
      <c r="D198" s="5" t="s">
        <v>6</v>
      </c>
      <c r="E198" s="5">
        <v>143.04</v>
      </c>
    </row>
    <row r="199" spans="2:5" x14ac:dyDescent="0.3">
      <c r="B199" s="1">
        <v>43355</v>
      </c>
      <c r="C199" s="5" t="s">
        <v>5</v>
      </c>
      <c r="D199" s="5" t="s">
        <v>6</v>
      </c>
      <c r="E199" s="5">
        <v>140.96</v>
      </c>
    </row>
    <row r="200" spans="2:5" x14ac:dyDescent="0.3">
      <c r="B200" s="1">
        <v>43354</v>
      </c>
      <c r="C200" s="5" t="s">
        <v>5</v>
      </c>
      <c r="D200" s="5" t="s">
        <v>6</v>
      </c>
      <c r="E200" s="5">
        <v>139.38999999999999</v>
      </c>
    </row>
    <row r="201" spans="2:5" x14ac:dyDescent="0.3">
      <c r="B201" s="1">
        <v>43353</v>
      </c>
      <c r="C201" s="5" t="s">
        <v>5</v>
      </c>
      <c r="D201" s="5" t="s">
        <v>6</v>
      </c>
      <c r="E201" s="5">
        <v>132.76</v>
      </c>
    </row>
    <row r="202" spans="2:5" x14ac:dyDescent="0.3">
      <c r="B202" s="1">
        <v>43350</v>
      </c>
      <c r="C202" s="5" t="s">
        <v>5</v>
      </c>
      <c r="D202" s="5" t="s">
        <v>6</v>
      </c>
      <c r="E202" s="5">
        <v>132.46</v>
      </c>
    </row>
    <row r="203" spans="2:5" x14ac:dyDescent="0.3">
      <c r="B203" s="1">
        <v>43349</v>
      </c>
      <c r="C203" s="5" t="s">
        <v>5</v>
      </c>
      <c r="D203" s="5" t="s">
        <v>6</v>
      </c>
      <c r="E203" s="5">
        <v>134.51</v>
      </c>
    </row>
    <row r="204" spans="2:5" x14ac:dyDescent="0.3">
      <c r="B204" s="1">
        <v>43348</v>
      </c>
      <c r="C204" s="5" t="s">
        <v>5</v>
      </c>
      <c r="D204" s="5" t="s">
        <v>6</v>
      </c>
      <c r="E204" s="5">
        <v>134.94</v>
      </c>
    </row>
    <row r="205" spans="2:5" x14ac:dyDescent="0.3">
      <c r="B205" s="1">
        <v>43347</v>
      </c>
      <c r="C205" s="5" t="s">
        <v>5</v>
      </c>
      <c r="D205" s="5" t="s">
        <v>6</v>
      </c>
      <c r="E205" s="5">
        <v>136.5</v>
      </c>
    </row>
    <row r="206" spans="2:5" x14ac:dyDescent="0.3">
      <c r="B206" s="1">
        <v>43346</v>
      </c>
      <c r="C206" s="5" t="s">
        <v>5</v>
      </c>
      <c r="D206" s="5" t="s">
        <v>6</v>
      </c>
      <c r="E206" s="5">
        <v>135.03</v>
      </c>
    </row>
    <row r="207" spans="2:5" x14ac:dyDescent="0.3">
      <c r="B207" s="1">
        <v>43343</v>
      </c>
      <c r="C207" s="5" t="s">
        <v>5</v>
      </c>
      <c r="D207" s="5" t="s">
        <v>6</v>
      </c>
      <c r="E207" s="5">
        <v>135.44999999999999</v>
      </c>
    </row>
    <row r="208" spans="2:5" x14ac:dyDescent="0.3">
      <c r="B208" s="1">
        <v>43342</v>
      </c>
      <c r="C208" s="5" t="s">
        <v>5</v>
      </c>
      <c r="D208" s="5" t="s">
        <v>6</v>
      </c>
      <c r="E208" s="5">
        <v>135.19999999999999</v>
      </c>
    </row>
    <row r="209" spans="2:5" x14ac:dyDescent="0.3">
      <c r="B209" s="1">
        <v>43341</v>
      </c>
      <c r="C209" s="5" t="s">
        <v>5</v>
      </c>
      <c r="D209" s="5" t="s">
        <v>6</v>
      </c>
      <c r="E209" s="5">
        <v>137.91</v>
      </c>
    </row>
    <row r="210" spans="2:5" x14ac:dyDescent="0.3">
      <c r="B210" s="1">
        <v>43340</v>
      </c>
      <c r="C210" s="5" t="s">
        <v>5</v>
      </c>
      <c r="D210" s="5" t="s">
        <v>6</v>
      </c>
      <c r="E210" s="5">
        <v>139.54</v>
      </c>
    </row>
    <row r="211" spans="2:5" x14ac:dyDescent="0.3">
      <c r="B211" s="1">
        <v>43339</v>
      </c>
      <c r="C211" s="5" t="s">
        <v>5</v>
      </c>
      <c r="D211" s="5" t="s">
        <v>6</v>
      </c>
      <c r="E211" s="5">
        <v>139.25</v>
      </c>
    </row>
    <row r="212" spans="2:5" x14ac:dyDescent="0.3">
      <c r="B212" s="1">
        <v>43336</v>
      </c>
      <c r="C212" s="5" t="s">
        <v>5</v>
      </c>
      <c r="D212" s="5" t="s">
        <v>6</v>
      </c>
      <c r="E212" s="5">
        <v>138.94</v>
      </c>
    </row>
    <row r="213" spans="2:5" x14ac:dyDescent="0.3">
      <c r="B213" s="1">
        <v>43332</v>
      </c>
      <c r="C213" s="5" t="s">
        <v>5</v>
      </c>
      <c r="D213" s="5" t="s">
        <v>6</v>
      </c>
      <c r="E213" s="5">
        <v>138.47</v>
      </c>
    </row>
    <row r="214" spans="2:5" x14ac:dyDescent="0.3">
      <c r="B214" s="1">
        <v>43329</v>
      </c>
      <c r="C214" s="5" t="s">
        <v>5</v>
      </c>
      <c r="D214" s="5" t="s">
        <v>6</v>
      </c>
      <c r="E214" s="5">
        <v>136.66</v>
      </c>
    </row>
    <row r="215" spans="2:5" x14ac:dyDescent="0.3">
      <c r="B215" s="1">
        <v>43328</v>
      </c>
      <c r="C215" s="5" t="s">
        <v>5</v>
      </c>
      <c r="D215" s="5" t="s">
        <v>6</v>
      </c>
      <c r="E215" s="5">
        <v>135.1</v>
      </c>
    </row>
    <row r="216" spans="2:5" x14ac:dyDescent="0.3">
      <c r="B216" s="1">
        <v>43327</v>
      </c>
      <c r="C216" s="5" t="s">
        <v>5</v>
      </c>
      <c r="D216" s="5" t="s">
        <v>6</v>
      </c>
      <c r="E216" s="5">
        <v>136.5</v>
      </c>
    </row>
    <row r="217" spans="2:5" x14ac:dyDescent="0.3">
      <c r="B217" s="1">
        <v>43325</v>
      </c>
      <c r="C217" s="5" t="s">
        <v>5</v>
      </c>
      <c r="D217" s="5" t="s">
        <v>6</v>
      </c>
      <c r="E217" s="5">
        <v>136.49</v>
      </c>
    </row>
    <row r="218" spans="2:5" x14ac:dyDescent="0.3">
      <c r="B218" s="1">
        <v>43322</v>
      </c>
      <c r="C218" s="5" t="s">
        <v>5</v>
      </c>
      <c r="D218" s="5" t="s">
        <v>6</v>
      </c>
      <c r="E218" s="5">
        <v>140.94</v>
      </c>
    </row>
    <row r="219" spans="2:5" x14ac:dyDescent="0.3">
      <c r="B219" s="1">
        <v>43321</v>
      </c>
      <c r="C219" s="5" t="s">
        <v>5</v>
      </c>
      <c r="D219" s="5" t="s">
        <v>6</v>
      </c>
      <c r="E219" s="5">
        <v>143.32</v>
      </c>
    </row>
    <row r="220" spans="2:5" x14ac:dyDescent="0.3">
      <c r="B220" s="1">
        <v>43320</v>
      </c>
      <c r="C220" s="5" t="s">
        <v>5</v>
      </c>
      <c r="D220" s="5" t="s">
        <v>6</v>
      </c>
      <c r="E220" s="5">
        <v>139.5</v>
      </c>
    </row>
    <row r="221" spans="2:5" x14ac:dyDescent="0.3">
      <c r="B221" s="1">
        <v>43319</v>
      </c>
      <c r="C221" s="5" t="s">
        <v>5</v>
      </c>
      <c r="D221" s="5" t="s">
        <v>6</v>
      </c>
      <c r="E221" s="5">
        <v>139.30000000000001</v>
      </c>
    </row>
    <row r="222" spans="2:5" x14ac:dyDescent="0.3">
      <c r="B222" s="1">
        <v>43318</v>
      </c>
      <c r="C222" s="5" t="s">
        <v>5</v>
      </c>
      <c r="D222" s="5" t="s">
        <v>6</v>
      </c>
      <c r="E222" s="5">
        <v>138.94</v>
      </c>
    </row>
    <row r="223" spans="2:5" x14ac:dyDescent="0.3">
      <c r="B223" s="1">
        <v>43315</v>
      </c>
      <c r="C223" s="5" t="s">
        <v>5</v>
      </c>
      <c r="D223" s="5" t="s">
        <v>6</v>
      </c>
      <c r="E223" s="5">
        <v>138.93</v>
      </c>
    </row>
    <row r="224" spans="2:5" x14ac:dyDescent="0.3">
      <c r="B224" s="1">
        <v>43314</v>
      </c>
      <c r="C224" s="5" t="s">
        <v>5</v>
      </c>
      <c r="D224" s="5" t="s">
        <v>6</v>
      </c>
      <c r="E224" s="5">
        <v>135.66999999999999</v>
      </c>
    </row>
    <row r="225" spans="2:5" x14ac:dyDescent="0.3">
      <c r="B225" s="1">
        <v>43313</v>
      </c>
      <c r="C225" s="5" t="s">
        <v>5</v>
      </c>
      <c r="D225" s="5" t="s">
        <v>6</v>
      </c>
      <c r="E225" s="5">
        <v>138.12</v>
      </c>
    </row>
    <row r="226" spans="2:5" x14ac:dyDescent="0.3">
      <c r="B226" s="1">
        <v>43312</v>
      </c>
      <c r="C226" s="5" t="s">
        <v>5</v>
      </c>
      <c r="D226" s="5" t="s">
        <v>6</v>
      </c>
      <c r="E226" s="5">
        <v>138.05000000000001</v>
      </c>
    </row>
    <row r="227" spans="2:5" x14ac:dyDescent="0.3">
      <c r="B227" s="1">
        <v>43311</v>
      </c>
      <c r="C227" s="5" t="s">
        <v>5</v>
      </c>
      <c r="D227" s="5" t="s">
        <v>6</v>
      </c>
      <c r="E227" s="5">
        <v>141.94999999999999</v>
      </c>
    </row>
    <row r="228" spans="2:5" x14ac:dyDescent="0.3">
      <c r="B228" s="1">
        <v>43308</v>
      </c>
      <c r="C228" s="5" t="s">
        <v>5</v>
      </c>
      <c r="D228" s="5" t="s">
        <v>6</v>
      </c>
      <c r="E228" s="5">
        <v>139.28</v>
      </c>
    </row>
    <row r="229" spans="2:5" x14ac:dyDescent="0.3">
      <c r="B229" s="1">
        <v>43307</v>
      </c>
      <c r="C229" s="5" t="s">
        <v>5</v>
      </c>
      <c r="D229" s="5" t="s">
        <v>6</v>
      </c>
      <c r="E229" s="5">
        <v>137.59</v>
      </c>
    </row>
    <row r="230" spans="2:5" x14ac:dyDescent="0.3">
      <c r="B230" s="1">
        <v>43305</v>
      </c>
      <c r="C230" s="5" t="s">
        <v>5</v>
      </c>
      <c r="D230" s="5" t="s">
        <v>6</v>
      </c>
      <c r="E230" s="5">
        <v>134.62</v>
      </c>
    </row>
    <row r="231" spans="2:5" x14ac:dyDescent="0.3">
      <c r="B231" s="1">
        <v>43304</v>
      </c>
      <c r="C231" s="5" t="s">
        <v>5</v>
      </c>
      <c r="D231" s="5" t="s">
        <v>6</v>
      </c>
      <c r="E231" s="5">
        <v>131.44999999999999</v>
      </c>
    </row>
    <row r="232" spans="2:5" x14ac:dyDescent="0.3">
      <c r="B232" s="1">
        <v>43301</v>
      </c>
      <c r="C232" s="5" t="s">
        <v>5</v>
      </c>
      <c r="D232" s="5" t="s">
        <v>6</v>
      </c>
      <c r="E232" s="5">
        <v>135.81</v>
      </c>
    </row>
    <row r="233" spans="2:5" x14ac:dyDescent="0.3">
      <c r="B233" s="1">
        <v>43300</v>
      </c>
      <c r="C233" s="5" t="s">
        <v>5</v>
      </c>
      <c r="D233" s="5" t="s">
        <v>6</v>
      </c>
      <c r="E233" s="5">
        <v>139.54</v>
      </c>
    </row>
    <row r="234" spans="2:5" x14ac:dyDescent="0.3">
      <c r="B234" s="1">
        <v>43299</v>
      </c>
      <c r="C234" s="5" t="s">
        <v>5</v>
      </c>
      <c r="D234" s="5" t="s">
        <v>6</v>
      </c>
      <c r="E234" s="5">
        <v>136.87</v>
      </c>
    </row>
    <row r="235" spans="2:5" x14ac:dyDescent="0.3">
      <c r="B235" s="1">
        <v>43298</v>
      </c>
      <c r="C235" s="5" t="s">
        <v>5</v>
      </c>
      <c r="D235" s="5" t="s">
        <v>6</v>
      </c>
      <c r="E235" s="5">
        <v>131.04</v>
      </c>
    </row>
    <row r="236" spans="2:5" x14ac:dyDescent="0.3">
      <c r="B236" s="1">
        <v>43297</v>
      </c>
      <c r="C236" s="5" t="s">
        <v>5</v>
      </c>
      <c r="D236" s="5" t="s">
        <v>6</v>
      </c>
      <c r="E236" s="5">
        <v>128.37</v>
      </c>
    </row>
    <row r="237" spans="2:5" x14ac:dyDescent="0.3">
      <c r="B237" s="1">
        <v>43294</v>
      </c>
      <c r="C237" s="5" t="s">
        <v>5</v>
      </c>
      <c r="D237" s="5" t="s">
        <v>6</v>
      </c>
      <c r="E237" s="5">
        <v>132.25</v>
      </c>
    </row>
    <row r="238" spans="2:5" x14ac:dyDescent="0.3">
      <c r="B238" s="1">
        <v>43293</v>
      </c>
      <c r="C238" s="5" t="s">
        <v>5</v>
      </c>
      <c r="D238" s="5" t="s">
        <v>6</v>
      </c>
      <c r="E238" s="5">
        <v>130.08000000000001</v>
      </c>
    </row>
    <row r="239" spans="2:5" x14ac:dyDescent="0.3">
      <c r="B239" s="1">
        <v>43292</v>
      </c>
      <c r="C239" s="5" t="s">
        <v>5</v>
      </c>
      <c r="D239" s="5" t="s">
        <v>6</v>
      </c>
      <c r="E239" s="5">
        <v>129.54</v>
      </c>
    </row>
    <row r="240" spans="2:5" x14ac:dyDescent="0.3">
      <c r="B240" s="1">
        <v>43291</v>
      </c>
      <c r="C240" s="5" t="s">
        <v>5</v>
      </c>
      <c r="D240" s="5" t="s">
        <v>6</v>
      </c>
      <c r="E240" s="5">
        <v>127.89</v>
      </c>
    </row>
    <row r="241" spans="2:5" x14ac:dyDescent="0.3">
      <c r="B241" s="1">
        <v>43290</v>
      </c>
      <c r="C241" s="5" t="s">
        <v>5</v>
      </c>
      <c r="D241" s="5" t="s">
        <v>6</v>
      </c>
      <c r="E241" s="5">
        <v>126.05</v>
      </c>
    </row>
    <row r="242" spans="2:5" x14ac:dyDescent="0.3">
      <c r="B242" s="1">
        <v>43287</v>
      </c>
      <c r="C242" s="5" t="s">
        <v>5</v>
      </c>
      <c r="D242" s="5" t="s">
        <v>6</v>
      </c>
      <c r="E242" s="5">
        <v>131.66999999999999</v>
      </c>
    </row>
    <row r="243" spans="2:5" x14ac:dyDescent="0.3">
      <c r="B243" s="1">
        <v>43286</v>
      </c>
      <c r="C243" s="5" t="s">
        <v>5</v>
      </c>
      <c r="D243" s="5" t="s">
        <v>6</v>
      </c>
      <c r="E243" s="5">
        <v>130.91999999999999</v>
      </c>
    </row>
    <row r="244" spans="2:5" x14ac:dyDescent="0.3">
      <c r="B244" s="1">
        <v>43285</v>
      </c>
      <c r="C244" s="5" t="s">
        <v>5</v>
      </c>
      <c r="D244" s="5" t="s">
        <v>6</v>
      </c>
      <c r="E244" s="5">
        <v>131.76</v>
      </c>
    </row>
    <row r="245" spans="2:5" x14ac:dyDescent="0.3">
      <c r="B245" s="1">
        <v>43284</v>
      </c>
      <c r="C245" s="5" t="s">
        <v>5</v>
      </c>
      <c r="D245" s="5" t="s">
        <v>6</v>
      </c>
      <c r="E245" s="5">
        <v>137.72</v>
      </c>
    </row>
    <row r="246" spans="2:5" x14ac:dyDescent="0.3">
      <c r="B246" s="1">
        <v>43283</v>
      </c>
      <c r="C246" s="5" t="s">
        <v>5</v>
      </c>
      <c r="D246" s="5" t="s">
        <v>6</v>
      </c>
      <c r="E246" s="5">
        <v>139.16</v>
      </c>
    </row>
    <row r="247" spans="2:5" x14ac:dyDescent="0.3">
      <c r="B247" s="1">
        <v>43280</v>
      </c>
      <c r="C247" s="5" t="s">
        <v>5</v>
      </c>
      <c r="D247" s="5" t="s">
        <v>6</v>
      </c>
      <c r="E247" s="5">
        <v>140.91999999999999</v>
      </c>
    </row>
    <row r="248" spans="2:5" x14ac:dyDescent="0.3">
      <c r="B248" s="1">
        <v>43279</v>
      </c>
      <c r="C248" s="5" t="s">
        <v>5</v>
      </c>
      <c r="D248" s="5" t="s">
        <v>6</v>
      </c>
      <c r="E248" s="5">
        <v>143.09</v>
      </c>
    </row>
    <row r="249" spans="2:5" x14ac:dyDescent="0.3">
      <c r="B249" s="1">
        <v>43278</v>
      </c>
      <c r="C249" s="5" t="s">
        <v>5</v>
      </c>
      <c r="D249" s="5" t="s">
        <v>6</v>
      </c>
      <c r="E249" s="5">
        <v>141.94999999999999</v>
      </c>
    </row>
    <row r="250" spans="2:5" x14ac:dyDescent="0.3">
      <c r="B250" s="1">
        <v>43277</v>
      </c>
      <c r="C250" s="5" t="s">
        <v>5</v>
      </c>
      <c r="D250" s="5" t="s">
        <v>6</v>
      </c>
      <c r="E250" s="5">
        <v>138.80000000000001</v>
      </c>
    </row>
    <row r="251" spans="2:5" x14ac:dyDescent="0.3">
      <c r="B251" s="1">
        <v>43276</v>
      </c>
      <c r="C251" s="5" t="s">
        <v>5</v>
      </c>
      <c r="D251" s="5" t="s">
        <v>6</v>
      </c>
      <c r="E251" s="5">
        <v>138.86000000000001</v>
      </c>
    </row>
    <row r="252" spans="2:5" x14ac:dyDescent="0.3">
      <c r="B252" s="1">
        <v>43273</v>
      </c>
      <c r="C252" s="5" t="s">
        <v>5</v>
      </c>
      <c r="D252" s="5" t="s">
        <v>6</v>
      </c>
      <c r="E252" s="5">
        <v>143.51</v>
      </c>
    </row>
    <row r="253" spans="2:5" x14ac:dyDescent="0.3">
      <c r="B253" s="1">
        <v>43272</v>
      </c>
      <c r="C253" s="5" t="s">
        <v>5</v>
      </c>
      <c r="D253" s="5" t="s">
        <v>6</v>
      </c>
      <c r="E253" s="5">
        <v>146.4</v>
      </c>
    </row>
    <row r="254" spans="2:5" x14ac:dyDescent="0.3">
      <c r="B254" s="1">
        <v>43271</v>
      </c>
      <c r="C254" s="5" t="s">
        <v>5</v>
      </c>
      <c r="D254" s="5" t="s">
        <v>6</v>
      </c>
      <c r="E254" s="5">
        <v>147.88999999999999</v>
      </c>
    </row>
    <row r="255" spans="2:5" x14ac:dyDescent="0.3">
      <c r="B255" s="1">
        <v>43270</v>
      </c>
      <c r="C255" s="5" t="s">
        <v>5</v>
      </c>
      <c r="D255" s="5" t="s">
        <v>6</v>
      </c>
      <c r="E255" s="5">
        <v>152.18</v>
      </c>
    </row>
    <row r="256" spans="2:5" x14ac:dyDescent="0.3">
      <c r="B256" s="1">
        <v>43265</v>
      </c>
      <c r="C256" s="5" t="s">
        <v>5</v>
      </c>
      <c r="D256" s="5" t="s">
        <v>6</v>
      </c>
      <c r="E256" s="5">
        <v>153.54</v>
      </c>
    </row>
    <row r="257" spans="2:5" x14ac:dyDescent="0.3">
      <c r="B257" s="1">
        <v>43264</v>
      </c>
      <c r="C257" s="5" t="s">
        <v>5</v>
      </c>
      <c r="D257" s="5" t="s">
        <v>6</v>
      </c>
      <c r="E257" s="5">
        <v>153.01</v>
      </c>
    </row>
    <row r="258" spans="2:5" x14ac:dyDescent="0.3">
      <c r="B258" s="1">
        <v>43263</v>
      </c>
      <c r="C258" s="5" t="s">
        <v>5</v>
      </c>
      <c r="D258" s="5" t="s">
        <v>6</v>
      </c>
      <c r="E258" s="5">
        <v>151.47999999999999</v>
      </c>
    </row>
    <row r="259" spans="2:5" x14ac:dyDescent="0.3">
      <c r="B259" s="1">
        <v>43262</v>
      </c>
      <c r="C259" s="5" t="s">
        <v>5</v>
      </c>
      <c r="D259" s="5" t="s">
        <v>6</v>
      </c>
      <c r="E259" s="5">
        <v>154.07</v>
      </c>
    </row>
    <row r="260" spans="2:5" x14ac:dyDescent="0.3">
      <c r="B260" s="1">
        <v>43258</v>
      </c>
      <c r="C260" s="5" t="s">
        <v>5</v>
      </c>
      <c r="D260" s="5" t="s">
        <v>6</v>
      </c>
      <c r="E260" s="5">
        <v>148.65</v>
      </c>
    </row>
    <row r="261" spans="2:5" x14ac:dyDescent="0.3">
      <c r="B261" s="1">
        <v>43257</v>
      </c>
      <c r="C261" s="5" t="s">
        <v>5</v>
      </c>
      <c r="D261" s="5" t="s">
        <v>6</v>
      </c>
      <c r="E261" s="5">
        <v>150.02000000000001</v>
      </c>
    </row>
    <row r="262" spans="2:5" x14ac:dyDescent="0.3">
      <c r="B262" s="1">
        <v>43256</v>
      </c>
      <c r="C262" s="5" t="s">
        <v>5</v>
      </c>
      <c r="D262" s="5" t="s">
        <v>6</v>
      </c>
      <c r="E262" s="5">
        <v>152.97999999999999</v>
      </c>
    </row>
    <row r="263" spans="2:5" x14ac:dyDescent="0.3">
      <c r="B263" s="1">
        <v>43255</v>
      </c>
      <c r="C263" s="5" t="s">
        <v>5</v>
      </c>
      <c r="D263" s="5" t="s">
        <v>6</v>
      </c>
      <c r="E263" s="5">
        <v>150.91999999999999</v>
      </c>
    </row>
    <row r="264" spans="2:5" x14ac:dyDescent="0.3">
      <c r="B264" s="1">
        <v>43252</v>
      </c>
      <c r="C264" s="5" t="s">
        <v>5</v>
      </c>
      <c r="D264" s="5" t="s">
        <v>6</v>
      </c>
      <c r="E264" s="5">
        <v>146.34</v>
      </c>
    </row>
    <row r="265" spans="2:5" x14ac:dyDescent="0.3">
      <c r="B265" s="1">
        <v>43251</v>
      </c>
      <c r="C265" s="5" t="s">
        <v>5</v>
      </c>
      <c r="D265" s="5" t="s">
        <v>6</v>
      </c>
      <c r="E265" s="5">
        <v>144.91</v>
      </c>
    </row>
    <row r="266" spans="2:5" x14ac:dyDescent="0.3">
      <c r="B266" s="1">
        <v>43250</v>
      </c>
      <c r="C266" s="5" t="s">
        <v>5</v>
      </c>
      <c r="D266" s="5" t="s">
        <v>6</v>
      </c>
      <c r="E266" s="5">
        <v>145.03</v>
      </c>
    </row>
    <row r="267" spans="2:5" x14ac:dyDescent="0.3">
      <c r="B267" s="1">
        <v>43249</v>
      </c>
      <c r="C267" s="5" t="s">
        <v>5</v>
      </c>
      <c r="D267" s="5" t="s">
        <v>6</v>
      </c>
      <c r="E267" s="5">
        <v>143.44999999999999</v>
      </c>
    </row>
    <row r="268" spans="2:5" x14ac:dyDescent="0.3">
      <c r="B268" s="1">
        <v>43248</v>
      </c>
      <c r="C268" s="5" t="s">
        <v>5</v>
      </c>
      <c r="D268" s="5" t="s">
        <v>6</v>
      </c>
      <c r="E268" s="5">
        <v>137.84</v>
      </c>
    </row>
    <row r="269" spans="2:5" x14ac:dyDescent="0.3">
      <c r="B269" s="1">
        <v>43245</v>
      </c>
      <c r="C269" s="5" t="s">
        <v>5</v>
      </c>
      <c r="D269" s="5" t="s">
        <v>6</v>
      </c>
      <c r="E269" s="5">
        <v>133.88999999999999</v>
      </c>
    </row>
    <row r="270" spans="2:5" x14ac:dyDescent="0.3">
      <c r="B270" s="1">
        <v>43244</v>
      </c>
      <c r="C270" s="5" t="s">
        <v>5</v>
      </c>
      <c r="D270" s="5" t="s">
        <v>6</v>
      </c>
      <c r="E270" s="5">
        <v>137.37</v>
      </c>
    </row>
    <row r="271" spans="2:5" x14ac:dyDescent="0.3">
      <c r="B271" s="1">
        <v>43243</v>
      </c>
      <c r="C271" s="5" t="s">
        <v>5</v>
      </c>
      <c r="D271" s="5" t="s">
        <v>6</v>
      </c>
      <c r="E271" s="5">
        <v>134.51</v>
      </c>
    </row>
    <row r="272" spans="2:5" x14ac:dyDescent="0.3">
      <c r="B272" s="1">
        <v>43242</v>
      </c>
      <c r="C272" s="5" t="s">
        <v>5</v>
      </c>
      <c r="D272" s="5" t="s">
        <v>6</v>
      </c>
      <c r="E272" s="5">
        <v>135.08000000000001</v>
      </c>
    </row>
    <row r="273" spans="2:5" x14ac:dyDescent="0.3">
      <c r="B273" s="1">
        <v>43241</v>
      </c>
      <c r="C273" s="5" t="s">
        <v>5</v>
      </c>
      <c r="D273" s="5" t="s">
        <v>6</v>
      </c>
      <c r="E273" s="5">
        <v>130.69</v>
      </c>
    </row>
    <row r="274" spans="2:5" x14ac:dyDescent="0.3">
      <c r="B274" s="1">
        <v>43238</v>
      </c>
      <c r="C274" s="5" t="s">
        <v>5</v>
      </c>
      <c r="D274" s="5" t="s">
        <v>6</v>
      </c>
      <c r="E274" s="5">
        <v>131.13999999999999</v>
      </c>
    </row>
    <row r="275" spans="2:5" x14ac:dyDescent="0.3">
      <c r="B275" s="1">
        <v>43237</v>
      </c>
      <c r="C275" s="5" t="s">
        <v>5</v>
      </c>
      <c r="D275" s="5" t="s">
        <v>6</v>
      </c>
      <c r="E275" s="5">
        <v>132.06</v>
      </c>
    </row>
    <row r="276" spans="2:5" x14ac:dyDescent="0.3">
      <c r="B276" s="1">
        <v>43236</v>
      </c>
      <c r="C276" s="5" t="s">
        <v>5</v>
      </c>
      <c r="D276" s="5" t="s">
        <v>6</v>
      </c>
      <c r="E276" s="5">
        <v>134.51</v>
      </c>
    </row>
    <row r="277" spans="2:5" x14ac:dyDescent="0.3">
      <c r="B277" s="1">
        <v>43235</v>
      </c>
      <c r="C277" s="5" t="s">
        <v>5</v>
      </c>
      <c r="D277" s="5" t="s">
        <v>6</v>
      </c>
      <c r="E277" s="5">
        <v>135.25</v>
      </c>
    </row>
    <row r="278" spans="2:5" x14ac:dyDescent="0.3">
      <c r="B278" s="1">
        <v>43234</v>
      </c>
      <c r="C278" s="5" t="s">
        <v>5</v>
      </c>
      <c r="D278" s="5" t="s">
        <v>6</v>
      </c>
      <c r="E278" s="5">
        <v>133.52000000000001</v>
      </c>
    </row>
    <row r="279" spans="2:5" x14ac:dyDescent="0.3">
      <c r="B279" s="1">
        <v>43231</v>
      </c>
      <c r="C279" s="5" t="s">
        <v>5</v>
      </c>
      <c r="D279" s="5" t="s">
        <v>6</v>
      </c>
      <c r="E279" s="5">
        <v>139.31</v>
      </c>
    </row>
    <row r="280" spans="2:5" x14ac:dyDescent="0.3">
      <c r="B280" s="1">
        <v>43230</v>
      </c>
      <c r="C280" s="5" t="s">
        <v>5</v>
      </c>
      <c r="D280" s="5" t="s">
        <v>6</v>
      </c>
      <c r="E280" s="5">
        <v>141.38999999999999</v>
      </c>
    </row>
    <row r="281" spans="2:5" x14ac:dyDescent="0.3">
      <c r="B281" s="1">
        <v>43229</v>
      </c>
      <c r="C281" s="5" t="s">
        <v>5</v>
      </c>
      <c r="D281" s="5" t="s">
        <v>6</v>
      </c>
      <c r="E281" s="5">
        <v>140.52000000000001</v>
      </c>
    </row>
    <row r="282" spans="2:5" x14ac:dyDescent="0.3">
      <c r="B282" s="1">
        <v>43228</v>
      </c>
      <c r="C282" s="5" t="s">
        <v>5</v>
      </c>
      <c r="D282" s="5" t="s">
        <v>6</v>
      </c>
      <c r="E282" s="5">
        <v>141.4</v>
      </c>
    </row>
    <row r="283" spans="2:5" x14ac:dyDescent="0.3">
      <c r="B283" s="1">
        <v>43227</v>
      </c>
      <c r="C283" s="5" t="s">
        <v>5</v>
      </c>
      <c r="D283" s="5" t="s">
        <v>6</v>
      </c>
      <c r="E283" s="5">
        <v>141.19999999999999</v>
      </c>
    </row>
    <row r="284" spans="2:5" x14ac:dyDescent="0.3">
      <c r="B284" s="1">
        <v>43224</v>
      </c>
      <c r="C284" s="5" t="s">
        <v>5</v>
      </c>
      <c r="D284" s="5" t="s">
        <v>6</v>
      </c>
      <c r="E284" s="5">
        <v>143.33000000000001</v>
      </c>
    </row>
    <row r="285" spans="2:5" x14ac:dyDescent="0.3">
      <c r="B285" s="1">
        <v>43223</v>
      </c>
      <c r="C285" s="5" t="s">
        <v>5</v>
      </c>
      <c r="D285" s="5" t="s">
        <v>6</v>
      </c>
      <c r="E285" s="5">
        <v>143.31</v>
      </c>
    </row>
    <row r="286" spans="2:5" x14ac:dyDescent="0.3">
      <c r="B286" s="1">
        <v>43222</v>
      </c>
      <c r="C286" s="5" t="s">
        <v>5</v>
      </c>
      <c r="D286" s="5" t="s">
        <v>6</v>
      </c>
      <c r="E286" s="5">
        <v>145.11000000000001</v>
      </c>
    </row>
    <row r="287" spans="2:5" x14ac:dyDescent="0.3">
      <c r="B287" s="1">
        <v>43220</v>
      </c>
      <c r="C287" s="5" t="s">
        <v>5</v>
      </c>
      <c r="D287" s="5" t="s">
        <v>6</v>
      </c>
      <c r="E287" s="5">
        <v>146.02000000000001</v>
      </c>
    </row>
    <row r="288" spans="2:5" x14ac:dyDescent="0.3">
      <c r="B288" s="1">
        <v>43217</v>
      </c>
      <c r="C288" s="5" t="s">
        <v>5</v>
      </c>
      <c r="D288" s="5" t="s">
        <v>6</v>
      </c>
      <c r="E288" s="5">
        <v>151.16999999999999</v>
      </c>
    </row>
    <row r="289" spans="2:5" x14ac:dyDescent="0.3">
      <c r="B289" s="1">
        <v>43216</v>
      </c>
      <c r="C289" s="5" t="s">
        <v>5</v>
      </c>
      <c r="D289" s="5" t="s">
        <v>6</v>
      </c>
      <c r="E289" s="5">
        <v>157.4</v>
      </c>
    </row>
    <row r="290" spans="2:5" x14ac:dyDescent="0.3">
      <c r="B290" s="1">
        <v>43215</v>
      </c>
      <c r="C290" s="5" t="s">
        <v>5</v>
      </c>
      <c r="D290" s="5" t="s">
        <v>6</v>
      </c>
      <c r="E290" s="5">
        <v>158.07</v>
      </c>
    </row>
    <row r="291" spans="2:5" x14ac:dyDescent="0.3">
      <c r="B291" s="1">
        <v>43214</v>
      </c>
      <c r="C291" s="5" t="s">
        <v>5</v>
      </c>
      <c r="D291" s="5" t="s">
        <v>6</v>
      </c>
      <c r="E291" s="5">
        <v>159.33000000000001</v>
      </c>
    </row>
    <row r="292" spans="2:5" x14ac:dyDescent="0.3">
      <c r="B292" s="1">
        <v>43213</v>
      </c>
      <c r="C292" s="5" t="s">
        <v>5</v>
      </c>
      <c r="D292" s="5" t="s">
        <v>6</v>
      </c>
      <c r="E292" s="5">
        <v>157.63</v>
      </c>
    </row>
    <row r="293" spans="2:5" x14ac:dyDescent="0.3">
      <c r="B293" s="1">
        <v>43210</v>
      </c>
      <c r="C293" s="5" t="s">
        <v>5</v>
      </c>
      <c r="D293" s="5" t="s">
        <v>6</v>
      </c>
      <c r="E293" s="5">
        <v>156.59</v>
      </c>
    </row>
    <row r="294" spans="2:5" x14ac:dyDescent="0.3">
      <c r="B294" s="1">
        <v>43209</v>
      </c>
      <c r="C294" s="5" t="s">
        <v>5</v>
      </c>
      <c r="D294" s="5" t="s">
        <v>6</v>
      </c>
      <c r="E294" s="5">
        <v>158.5</v>
      </c>
    </row>
    <row r="295" spans="2:5" x14ac:dyDescent="0.3">
      <c r="B295" s="1">
        <v>43208</v>
      </c>
      <c r="C295" s="5" t="s">
        <v>5</v>
      </c>
      <c r="D295" s="5" t="s">
        <v>6</v>
      </c>
      <c r="E295" s="5">
        <v>158.88</v>
      </c>
    </row>
    <row r="296" spans="2:5" x14ac:dyDescent="0.3">
      <c r="B296" s="1">
        <v>43207</v>
      </c>
      <c r="C296" s="5" t="s">
        <v>5</v>
      </c>
      <c r="D296" s="5" t="s">
        <v>6</v>
      </c>
      <c r="E296" s="5">
        <v>159.5</v>
      </c>
    </row>
    <row r="297" spans="2:5" x14ac:dyDescent="0.3">
      <c r="B297" s="1">
        <v>43206</v>
      </c>
      <c r="C297" s="5" t="s">
        <v>5</v>
      </c>
      <c r="D297" s="5" t="s">
        <v>6</v>
      </c>
      <c r="E297" s="5">
        <v>158.66</v>
      </c>
    </row>
    <row r="298" spans="2:5" x14ac:dyDescent="0.3">
      <c r="B298" s="1">
        <v>43203</v>
      </c>
      <c r="C298" s="5" t="s">
        <v>5</v>
      </c>
      <c r="D298" s="5" t="s">
        <v>6</v>
      </c>
      <c r="E298" s="5">
        <v>159.81</v>
      </c>
    </row>
    <row r="299" spans="2:5" x14ac:dyDescent="0.3">
      <c r="B299" s="1">
        <v>43202</v>
      </c>
      <c r="C299" s="5" t="s">
        <v>5</v>
      </c>
      <c r="D299" s="5" t="s">
        <v>6</v>
      </c>
      <c r="E299" s="5">
        <v>162.16</v>
      </c>
    </row>
    <row r="300" spans="2:5" x14ac:dyDescent="0.3">
      <c r="B300" s="1">
        <v>43201</v>
      </c>
      <c r="C300" s="5" t="s">
        <v>5</v>
      </c>
      <c r="D300" s="5" t="s">
        <v>6</v>
      </c>
      <c r="E300" s="5">
        <v>162.5</v>
      </c>
    </row>
    <row r="301" spans="2:5" x14ac:dyDescent="0.3">
      <c r="B301" s="1">
        <v>43200</v>
      </c>
      <c r="C301" s="5" t="s">
        <v>5</v>
      </c>
      <c r="D301" s="5" t="s">
        <v>6</v>
      </c>
      <c r="E301" s="5">
        <v>160.36000000000001</v>
      </c>
    </row>
    <row r="302" spans="2:5" x14ac:dyDescent="0.3">
      <c r="B302" s="1">
        <v>43199</v>
      </c>
      <c r="C302" s="5" t="s">
        <v>5</v>
      </c>
      <c r="D302" s="5" t="s">
        <v>6</v>
      </c>
      <c r="E302" s="5">
        <v>161.41</v>
      </c>
    </row>
    <row r="303" spans="2:5" x14ac:dyDescent="0.3">
      <c r="B303" s="1">
        <v>43196</v>
      </c>
      <c r="C303" s="5" t="s">
        <v>5</v>
      </c>
      <c r="D303" s="5" t="s">
        <v>6</v>
      </c>
      <c r="E303" s="5">
        <v>161.4</v>
      </c>
    </row>
    <row r="304" spans="2:5" x14ac:dyDescent="0.3">
      <c r="B304" s="1">
        <v>43195</v>
      </c>
      <c r="C304" s="5" t="s">
        <v>5</v>
      </c>
      <c r="D304" s="5" t="s">
        <v>6</v>
      </c>
      <c r="E304" s="5">
        <v>162.69</v>
      </c>
    </row>
    <row r="305" spans="2:5" x14ac:dyDescent="0.3">
      <c r="B305" s="1">
        <v>43194</v>
      </c>
      <c r="C305" s="5" t="s">
        <v>5</v>
      </c>
      <c r="D305" s="5" t="s">
        <v>6</v>
      </c>
      <c r="E305" s="5">
        <v>161.34</v>
      </c>
    </row>
    <row r="306" spans="2:5" x14ac:dyDescent="0.3">
      <c r="B306" s="1">
        <v>43193</v>
      </c>
      <c r="C306" s="5" t="s">
        <v>5</v>
      </c>
      <c r="D306" s="5" t="s">
        <v>6</v>
      </c>
      <c r="E306" s="5">
        <v>158.94999999999999</v>
      </c>
    </row>
    <row r="307" spans="2:5" x14ac:dyDescent="0.3">
      <c r="B307" s="1">
        <v>43192</v>
      </c>
      <c r="C307" s="5" t="s">
        <v>5</v>
      </c>
      <c r="D307" s="5" t="s">
        <v>6</v>
      </c>
      <c r="E307" s="5">
        <v>158.72</v>
      </c>
    </row>
    <row r="308" spans="2:5" x14ac:dyDescent="0.3">
      <c r="B308" s="1">
        <v>43189</v>
      </c>
      <c r="C308" s="5" t="s">
        <v>5</v>
      </c>
      <c r="D308" s="5" t="s">
        <v>6</v>
      </c>
      <c r="E308" s="5">
        <v>158.88999999999999</v>
      </c>
    </row>
    <row r="309" spans="2:5" x14ac:dyDescent="0.3">
      <c r="B309" s="1">
        <v>43188</v>
      </c>
      <c r="C309" s="5" t="s">
        <v>5</v>
      </c>
      <c r="D309" s="5" t="s">
        <v>6</v>
      </c>
      <c r="E309" s="5">
        <v>158.81</v>
      </c>
    </row>
    <row r="310" spans="2:5" x14ac:dyDescent="0.3">
      <c r="B310" s="1">
        <v>43187</v>
      </c>
      <c r="C310" s="5" t="s">
        <v>5</v>
      </c>
      <c r="D310" s="5" t="s">
        <v>6</v>
      </c>
      <c r="E310" s="5">
        <v>158.86000000000001</v>
      </c>
    </row>
    <row r="311" spans="2:5" x14ac:dyDescent="0.3">
      <c r="B311" s="1">
        <v>43186</v>
      </c>
      <c r="C311" s="5" t="s">
        <v>5</v>
      </c>
      <c r="D311" s="5" t="s">
        <v>6</v>
      </c>
      <c r="E311" s="5">
        <v>158.35</v>
      </c>
    </row>
    <row r="312" spans="2:5" x14ac:dyDescent="0.3">
      <c r="B312" s="1">
        <v>43185</v>
      </c>
      <c r="C312" s="5" t="s">
        <v>5</v>
      </c>
      <c r="D312" s="5" t="s">
        <v>6</v>
      </c>
      <c r="E312" s="5">
        <v>161.02000000000001</v>
      </c>
    </row>
    <row r="313" spans="2:5" x14ac:dyDescent="0.3">
      <c r="B313" s="1">
        <v>43181</v>
      </c>
      <c r="C313" s="5" t="s">
        <v>5</v>
      </c>
      <c r="D313" s="5" t="s">
        <v>6</v>
      </c>
      <c r="E313" s="5">
        <v>162.06</v>
      </c>
    </row>
    <row r="314" spans="2:5" x14ac:dyDescent="0.3">
      <c r="B314" s="1">
        <v>43180</v>
      </c>
      <c r="C314" s="5" t="s">
        <v>5</v>
      </c>
      <c r="D314" s="5" t="s">
        <v>6</v>
      </c>
      <c r="E314" s="5">
        <v>160.44</v>
      </c>
    </row>
    <row r="315" spans="2:5" x14ac:dyDescent="0.3">
      <c r="B315" s="1">
        <v>43179</v>
      </c>
      <c r="C315" s="5" t="s">
        <v>5</v>
      </c>
      <c r="D315" s="5" t="s">
        <v>6</v>
      </c>
      <c r="E315" s="5">
        <v>161.41</v>
      </c>
    </row>
    <row r="316" spans="2:5" x14ac:dyDescent="0.3">
      <c r="B316" s="1">
        <v>43178</v>
      </c>
      <c r="C316" s="5" t="s">
        <v>5</v>
      </c>
      <c r="D316" s="5" t="s">
        <v>6</v>
      </c>
      <c r="E316" s="5">
        <v>153.77000000000001</v>
      </c>
    </row>
    <row r="317" spans="2:5" x14ac:dyDescent="0.3">
      <c r="B317" s="1">
        <v>43175</v>
      </c>
      <c r="C317" s="5" t="s">
        <v>5</v>
      </c>
      <c r="D317" s="5" t="s">
        <v>6</v>
      </c>
      <c r="E317" s="5">
        <v>153.12</v>
      </c>
    </row>
    <row r="318" spans="2:5" x14ac:dyDescent="0.3">
      <c r="B318" s="1">
        <v>43174</v>
      </c>
      <c r="C318" s="5" t="s">
        <v>5</v>
      </c>
      <c r="D318" s="5" t="s">
        <v>6</v>
      </c>
      <c r="E318" s="5">
        <v>155.47</v>
      </c>
    </row>
    <row r="319" spans="2:5" x14ac:dyDescent="0.3">
      <c r="B319" s="1">
        <v>43173</v>
      </c>
      <c r="C319" s="5" t="s">
        <v>5</v>
      </c>
      <c r="D319" s="5" t="s">
        <v>6</v>
      </c>
      <c r="E319" s="5">
        <v>156.13999999999999</v>
      </c>
    </row>
    <row r="320" spans="2:5" x14ac:dyDescent="0.3">
      <c r="B320" s="1">
        <v>43172</v>
      </c>
      <c r="C320" s="5" t="s">
        <v>5</v>
      </c>
      <c r="D320" s="5" t="s">
        <v>6</v>
      </c>
      <c r="E320" s="5">
        <v>159.34</v>
      </c>
    </row>
    <row r="321" spans="2:5" x14ac:dyDescent="0.3">
      <c r="B321" s="1">
        <v>43171</v>
      </c>
      <c r="C321" s="5" t="s">
        <v>5</v>
      </c>
      <c r="D321" s="5" t="s">
        <v>6</v>
      </c>
      <c r="E321" s="5">
        <v>157.47</v>
      </c>
    </row>
    <row r="322" spans="2:5" x14ac:dyDescent="0.3">
      <c r="B322" s="1">
        <v>43168</v>
      </c>
      <c r="C322" s="5" t="s">
        <v>5</v>
      </c>
      <c r="D322" s="5" t="s">
        <v>6</v>
      </c>
      <c r="E322" s="5">
        <v>155.26</v>
      </c>
    </row>
    <row r="323" spans="2:5" x14ac:dyDescent="0.3">
      <c r="B323" s="1">
        <v>43167</v>
      </c>
      <c r="C323" s="5" t="s">
        <v>5</v>
      </c>
      <c r="D323" s="5" t="s">
        <v>6</v>
      </c>
      <c r="E323" s="5">
        <v>155.62</v>
      </c>
    </row>
    <row r="324" spans="2:5" x14ac:dyDescent="0.3">
      <c r="B324" s="1">
        <v>43166</v>
      </c>
      <c r="C324" s="5" t="s">
        <v>5</v>
      </c>
      <c r="D324" s="5" t="s">
        <v>6</v>
      </c>
      <c r="E324" s="5">
        <v>158.53</v>
      </c>
    </row>
    <row r="325" spans="2:5" x14ac:dyDescent="0.3">
      <c r="B325" s="1">
        <v>43165</v>
      </c>
      <c r="C325" s="5" t="s">
        <v>5</v>
      </c>
      <c r="D325" s="5" t="s">
        <v>6</v>
      </c>
      <c r="E325" s="5">
        <v>157.62</v>
      </c>
    </row>
    <row r="326" spans="2:5" x14ac:dyDescent="0.3">
      <c r="B326" s="1">
        <v>43164</v>
      </c>
      <c r="C326" s="5" t="s">
        <v>5</v>
      </c>
      <c r="D326" s="5" t="s">
        <v>6</v>
      </c>
      <c r="E326" s="5">
        <v>158.66999999999999</v>
      </c>
    </row>
    <row r="327" spans="2:5" x14ac:dyDescent="0.3">
      <c r="B327" s="1">
        <v>43161</v>
      </c>
      <c r="C327" s="5" t="s">
        <v>5</v>
      </c>
      <c r="D327" s="5" t="s">
        <v>6</v>
      </c>
      <c r="E327" s="5">
        <v>160</v>
      </c>
    </row>
    <row r="328" spans="2:5" x14ac:dyDescent="0.3">
      <c r="B328" s="1">
        <v>43160</v>
      </c>
      <c r="C328" s="5" t="s">
        <v>5</v>
      </c>
      <c r="D328" s="5" t="s">
        <v>6</v>
      </c>
      <c r="E328" s="5">
        <v>159.19</v>
      </c>
    </row>
    <row r="329" spans="2:5" x14ac:dyDescent="0.3">
      <c r="B329" s="1">
        <v>43159</v>
      </c>
      <c r="C329" s="5" t="s">
        <v>5</v>
      </c>
      <c r="D329" s="5" t="s">
        <v>6</v>
      </c>
      <c r="E329" s="5">
        <v>159.55000000000001</v>
      </c>
    </row>
    <row r="330" spans="2:5" x14ac:dyDescent="0.3">
      <c r="B330" s="1">
        <v>43158</v>
      </c>
      <c r="C330" s="5" t="s">
        <v>5</v>
      </c>
      <c r="D330" s="5" t="s">
        <v>6</v>
      </c>
      <c r="E330" s="5">
        <v>156.79</v>
      </c>
    </row>
    <row r="331" spans="2:5" x14ac:dyDescent="0.3">
      <c r="B331" s="1">
        <v>43157</v>
      </c>
      <c r="C331" s="5" t="s">
        <v>5</v>
      </c>
      <c r="D331" s="5" t="s">
        <v>6</v>
      </c>
      <c r="E331" s="5">
        <v>157.91999999999999</v>
      </c>
    </row>
    <row r="332" spans="2:5" x14ac:dyDescent="0.3">
      <c r="B332" s="1">
        <v>43154</v>
      </c>
      <c r="C332" s="5" t="s">
        <v>5</v>
      </c>
      <c r="D332" s="5" t="s">
        <v>6</v>
      </c>
      <c r="E332" s="5">
        <v>161.72</v>
      </c>
    </row>
    <row r="333" spans="2:5" x14ac:dyDescent="0.3">
      <c r="B333" s="1">
        <v>43153</v>
      </c>
      <c r="C333" s="5" t="s">
        <v>5</v>
      </c>
      <c r="D333" s="5" t="s">
        <v>6</v>
      </c>
      <c r="E333" s="5">
        <v>160.79</v>
      </c>
    </row>
    <row r="334" spans="2:5" x14ac:dyDescent="0.3">
      <c r="B334" s="1">
        <v>43152</v>
      </c>
      <c r="C334" s="5" t="s">
        <v>5</v>
      </c>
      <c r="D334" s="5" t="s">
        <v>6</v>
      </c>
      <c r="E334" s="5">
        <v>158.30000000000001</v>
      </c>
    </row>
    <row r="335" spans="2:5" x14ac:dyDescent="0.3">
      <c r="B335" s="1">
        <v>43151</v>
      </c>
      <c r="C335" s="5" t="s">
        <v>5</v>
      </c>
      <c r="D335" s="5" t="s">
        <v>6</v>
      </c>
      <c r="E335" s="5">
        <v>158.74</v>
      </c>
    </row>
    <row r="336" spans="2:5" x14ac:dyDescent="0.3">
      <c r="B336" s="1">
        <v>43150</v>
      </c>
      <c r="C336" s="5" t="s">
        <v>5</v>
      </c>
      <c r="D336" s="5" t="s">
        <v>6</v>
      </c>
      <c r="E336" s="5">
        <v>161.72999999999999</v>
      </c>
    </row>
    <row r="337" spans="2:5" x14ac:dyDescent="0.3">
      <c r="B337" s="1">
        <v>43147</v>
      </c>
      <c r="C337" s="5" t="s">
        <v>5</v>
      </c>
      <c r="D337" s="5" t="s">
        <v>6</v>
      </c>
      <c r="E337" s="5">
        <v>161.38</v>
      </c>
    </row>
    <row r="338" spans="2:5" x14ac:dyDescent="0.3">
      <c r="B338" s="1">
        <v>43146</v>
      </c>
      <c r="C338" s="5" t="s">
        <v>5</v>
      </c>
      <c r="D338" s="5" t="s">
        <v>6</v>
      </c>
      <c r="E338" s="5">
        <v>158.12</v>
      </c>
    </row>
    <row r="339" spans="2:5" x14ac:dyDescent="0.3">
      <c r="B339" s="1">
        <v>43145</v>
      </c>
      <c r="C339" s="5" t="s">
        <v>5</v>
      </c>
      <c r="D339" s="5" t="s">
        <v>6</v>
      </c>
      <c r="E339" s="5">
        <v>162.85</v>
      </c>
    </row>
    <row r="340" spans="2:5" x14ac:dyDescent="0.3">
      <c r="B340" s="1">
        <v>43144</v>
      </c>
      <c r="C340" s="5" t="s">
        <v>5</v>
      </c>
      <c r="D340" s="5" t="s">
        <v>6</v>
      </c>
      <c r="E340" s="5">
        <v>166.14</v>
      </c>
    </row>
    <row r="341" spans="2:5" x14ac:dyDescent="0.3">
      <c r="B341" s="1">
        <v>43143</v>
      </c>
      <c r="C341" s="5" t="s">
        <v>5</v>
      </c>
      <c r="D341" s="5" t="s">
        <v>6</v>
      </c>
      <c r="E341" s="5">
        <v>166.94</v>
      </c>
    </row>
    <row r="342" spans="2:5" x14ac:dyDescent="0.3">
      <c r="B342" s="1">
        <v>43140</v>
      </c>
      <c r="C342" s="5" t="s">
        <v>5</v>
      </c>
      <c r="D342" s="5" t="s">
        <v>6</v>
      </c>
      <c r="E342" s="5">
        <v>168.71</v>
      </c>
    </row>
    <row r="343" spans="2:5" x14ac:dyDescent="0.3">
      <c r="B343" s="1">
        <v>43139</v>
      </c>
      <c r="C343" s="5" t="s">
        <v>5</v>
      </c>
      <c r="D343" s="5" t="s">
        <v>6</v>
      </c>
      <c r="E343" s="5">
        <v>168.55</v>
      </c>
    </row>
    <row r="344" spans="2:5" x14ac:dyDescent="0.3">
      <c r="B344" s="1">
        <v>43138</v>
      </c>
      <c r="C344" s="5" t="s">
        <v>5</v>
      </c>
      <c r="D344" s="5" t="s">
        <v>6</v>
      </c>
      <c r="E344" s="5">
        <v>170.4</v>
      </c>
    </row>
    <row r="345" spans="2:5" x14ac:dyDescent="0.3">
      <c r="B345" s="1">
        <v>43137</v>
      </c>
      <c r="C345" s="5" t="s">
        <v>5</v>
      </c>
      <c r="D345" s="5" t="s">
        <v>6</v>
      </c>
      <c r="E345" s="5">
        <v>169.43</v>
      </c>
    </row>
    <row r="346" spans="2:5" x14ac:dyDescent="0.3">
      <c r="B346" s="1">
        <v>43133</v>
      </c>
      <c r="C346" s="5" t="s">
        <v>5</v>
      </c>
      <c r="D346" s="5" t="s">
        <v>6</v>
      </c>
      <c r="E346" s="5">
        <v>170.72</v>
      </c>
    </row>
    <row r="347" spans="2:5" x14ac:dyDescent="0.3">
      <c r="B347" s="1">
        <v>43132</v>
      </c>
      <c r="C347" s="5" t="s">
        <v>5</v>
      </c>
      <c r="D347" s="5" t="s">
        <v>6</v>
      </c>
      <c r="E347" s="5">
        <v>170.42</v>
      </c>
    </row>
    <row r="348" spans="2:5" x14ac:dyDescent="0.3">
      <c r="B348" s="1">
        <v>43131</v>
      </c>
      <c r="C348" s="5" t="s">
        <v>5</v>
      </c>
      <c r="D348" s="5" t="s">
        <v>6</v>
      </c>
      <c r="E348" s="5">
        <v>169.99</v>
      </c>
    </row>
    <row r="349" spans="2:5" x14ac:dyDescent="0.3">
      <c r="B349" s="1">
        <v>43130</v>
      </c>
      <c r="C349" s="5" t="s">
        <v>5</v>
      </c>
      <c r="D349" s="5" t="s">
        <v>6</v>
      </c>
      <c r="E349" s="5">
        <v>166.59</v>
      </c>
    </row>
    <row r="350" spans="2:5" x14ac:dyDescent="0.3">
      <c r="B350" s="1">
        <v>43129</v>
      </c>
      <c r="C350" s="5" t="s">
        <v>5</v>
      </c>
      <c r="D350" s="5" t="s">
        <v>6</v>
      </c>
      <c r="E350" s="5">
        <v>166.04</v>
      </c>
    </row>
    <row r="351" spans="2:5" x14ac:dyDescent="0.3">
      <c r="B351" s="1">
        <v>43126</v>
      </c>
      <c r="C351" s="5" t="s">
        <v>5</v>
      </c>
      <c r="D351" s="5" t="s">
        <v>6</v>
      </c>
      <c r="E351" s="5">
        <v>168.75</v>
      </c>
    </row>
    <row r="352" spans="2:5" x14ac:dyDescent="0.3">
      <c r="B352" s="1">
        <v>43125</v>
      </c>
      <c r="C352" s="5" t="s">
        <v>5</v>
      </c>
      <c r="D352" s="5" t="s">
        <v>6</v>
      </c>
      <c r="E352" s="5">
        <v>169.89</v>
      </c>
    </row>
    <row r="353" spans="2:5" x14ac:dyDescent="0.3">
      <c r="B353" s="1">
        <v>43124</v>
      </c>
      <c r="C353" s="5" t="s">
        <v>5</v>
      </c>
      <c r="D353" s="5" t="s">
        <v>6</v>
      </c>
      <c r="E353" s="5">
        <v>171.56</v>
      </c>
    </row>
    <row r="354" spans="2:5" x14ac:dyDescent="0.3">
      <c r="B354" s="1">
        <v>43123</v>
      </c>
      <c r="C354" s="5" t="s">
        <v>5</v>
      </c>
      <c r="D354" s="5" t="s">
        <v>6</v>
      </c>
      <c r="E354" s="5">
        <v>168.75</v>
      </c>
    </row>
    <row r="355" spans="2:5" x14ac:dyDescent="0.3">
      <c r="B355" s="1">
        <v>43122</v>
      </c>
      <c r="C355" s="5" t="s">
        <v>5</v>
      </c>
      <c r="D355" s="5" t="s">
        <v>6</v>
      </c>
      <c r="E355" s="5">
        <v>168.07</v>
      </c>
    </row>
    <row r="356" spans="2:5" x14ac:dyDescent="0.3">
      <c r="B356" s="1">
        <v>43119</v>
      </c>
      <c r="C356" s="5" t="s">
        <v>5</v>
      </c>
      <c r="D356" s="5" t="s">
        <v>6</v>
      </c>
      <c r="E356" s="5">
        <v>167.65</v>
      </c>
    </row>
    <row r="357" spans="2:5" x14ac:dyDescent="0.3">
      <c r="B357" s="1">
        <v>43118</v>
      </c>
      <c r="C357" s="5" t="s">
        <v>5</v>
      </c>
      <c r="D357" s="5" t="s">
        <v>6</v>
      </c>
      <c r="E357" s="5">
        <v>164.83</v>
      </c>
    </row>
    <row r="358" spans="2:5" x14ac:dyDescent="0.3">
      <c r="B358" s="1">
        <v>43117</v>
      </c>
      <c r="C358" s="5" t="s">
        <v>5</v>
      </c>
      <c r="D358" s="5" t="s">
        <v>6</v>
      </c>
      <c r="E358" s="5">
        <v>168.72</v>
      </c>
    </row>
    <row r="359" spans="2:5" x14ac:dyDescent="0.3">
      <c r="B359" s="1">
        <v>43116</v>
      </c>
      <c r="C359" s="5" t="s">
        <v>5</v>
      </c>
      <c r="D359" s="5" t="s">
        <v>6</v>
      </c>
      <c r="E359" s="5">
        <v>163.22999999999999</v>
      </c>
    </row>
    <row r="360" spans="2:5" x14ac:dyDescent="0.3">
      <c r="B360" s="1">
        <v>43115</v>
      </c>
      <c r="C360" s="5" t="s">
        <v>5</v>
      </c>
      <c r="D360" s="5" t="s">
        <v>6</v>
      </c>
      <c r="E360" s="5">
        <v>161.97</v>
      </c>
    </row>
    <row r="361" spans="2:5" x14ac:dyDescent="0.3">
      <c r="B361" s="1">
        <v>43112</v>
      </c>
      <c r="C361" s="5" t="s">
        <v>5</v>
      </c>
      <c r="D361" s="5" t="s">
        <v>6</v>
      </c>
      <c r="E361" s="5">
        <v>161.49</v>
      </c>
    </row>
    <row r="362" spans="2:5" x14ac:dyDescent="0.3">
      <c r="B362" s="1">
        <v>43111</v>
      </c>
      <c r="C362" s="5" t="s">
        <v>5</v>
      </c>
      <c r="D362" s="5" t="s">
        <v>6</v>
      </c>
      <c r="E362" s="5">
        <v>161.11000000000001</v>
      </c>
    </row>
    <row r="363" spans="2:5" x14ac:dyDescent="0.3">
      <c r="B363" s="1">
        <v>43110</v>
      </c>
      <c r="C363" s="5" t="s">
        <v>5</v>
      </c>
      <c r="D363" s="5" t="s">
        <v>6</v>
      </c>
      <c r="E363" s="5">
        <v>164.86</v>
      </c>
    </row>
    <row r="364" spans="2:5" x14ac:dyDescent="0.3">
      <c r="B364" s="1">
        <v>43109</v>
      </c>
      <c r="C364" s="5" t="s">
        <v>5</v>
      </c>
      <c r="D364" s="5" t="s">
        <v>6</v>
      </c>
      <c r="E364" s="5">
        <v>165.76</v>
      </c>
    </row>
    <row r="365" spans="2:5" x14ac:dyDescent="0.3">
      <c r="B365" s="1">
        <v>43108</v>
      </c>
      <c r="C365" s="5" t="s">
        <v>5</v>
      </c>
      <c r="D365" s="5" t="s">
        <v>6</v>
      </c>
      <c r="E365" s="5">
        <v>160.94</v>
      </c>
    </row>
    <row r="366" spans="2:5" x14ac:dyDescent="0.3">
      <c r="B366" s="1">
        <v>43105</v>
      </c>
      <c r="C366" s="5" t="s">
        <v>5</v>
      </c>
      <c r="D366" s="5" t="s">
        <v>6</v>
      </c>
      <c r="E366" s="5">
        <v>157.91</v>
      </c>
    </row>
    <row r="367" spans="2:5" x14ac:dyDescent="0.3">
      <c r="B367" s="1">
        <v>43104</v>
      </c>
      <c r="C367" s="5" t="s">
        <v>5</v>
      </c>
      <c r="D367" s="5" t="s">
        <v>6</v>
      </c>
      <c r="E367" s="5">
        <v>154.77000000000001</v>
      </c>
    </row>
    <row r="368" spans="2:5" x14ac:dyDescent="0.3">
      <c r="B368" s="1">
        <v>43103</v>
      </c>
      <c r="C368" s="5" t="s">
        <v>5</v>
      </c>
      <c r="D368" s="5" t="s">
        <v>6</v>
      </c>
      <c r="E368" s="5">
        <v>155.16</v>
      </c>
    </row>
    <row r="369" spans="2:5" x14ac:dyDescent="0.3">
      <c r="B369" s="1">
        <v>43102</v>
      </c>
      <c r="C369" s="5" t="s">
        <v>5</v>
      </c>
      <c r="D369" s="5" t="s">
        <v>6</v>
      </c>
      <c r="E369" s="5">
        <v>154.36000000000001</v>
      </c>
    </row>
    <row r="370" spans="2:5" x14ac:dyDescent="0.3">
      <c r="B370" s="1">
        <v>43101</v>
      </c>
      <c r="C370" s="5" t="s">
        <v>5</v>
      </c>
      <c r="D370" s="5" t="s">
        <v>6</v>
      </c>
      <c r="E370" s="5">
        <v>151.38</v>
      </c>
    </row>
    <row r="371" spans="2:5" x14ac:dyDescent="0.3">
      <c r="B371" s="1">
        <v>43098</v>
      </c>
      <c r="C371" s="5" t="s">
        <v>5</v>
      </c>
      <c r="D371" s="5" t="s">
        <v>6</v>
      </c>
      <c r="E371" s="5">
        <v>149.5</v>
      </c>
    </row>
    <row r="372" spans="2:5" x14ac:dyDescent="0.3">
      <c r="B372" s="1">
        <v>43097</v>
      </c>
      <c r="C372" s="5" t="s">
        <v>5</v>
      </c>
      <c r="D372" s="5" t="s">
        <v>6</v>
      </c>
      <c r="E372" s="5">
        <v>152.29</v>
      </c>
    </row>
    <row r="373" spans="2:5" x14ac:dyDescent="0.3">
      <c r="B373" s="1">
        <v>43096</v>
      </c>
      <c r="C373" s="5" t="s">
        <v>5</v>
      </c>
      <c r="D373" s="5" t="s">
        <v>6</v>
      </c>
      <c r="E373" s="5">
        <v>149.99</v>
      </c>
    </row>
    <row r="374" spans="2:5" x14ac:dyDescent="0.3">
      <c r="B374" s="1">
        <v>43095</v>
      </c>
      <c r="C374" s="5" t="s">
        <v>5</v>
      </c>
      <c r="D374" s="5" t="s">
        <v>6</v>
      </c>
      <c r="E374" s="5">
        <v>145.54</v>
      </c>
    </row>
    <row r="375" spans="2:5" x14ac:dyDescent="0.3">
      <c r="B375" s="1">
        <v>43091</v>
      </c>
      <c r="C375" s="5" t="s">
        <v>5</v>
      </c>
      <c r="D375" s="5" t="s">
        <v>6</v>
      </c>
      <c r="E375" s="5">
        <v>146.35</v>
      </c>
    </row>
    <row r="376" spans="2:5" x14ac:dyDescent="0.3">
      <c r="B376" s="1">
        <v>43090</v>
      </c>
      <c r="C376" s="5" t="s">
        <v>5</v>
      </c>
      <c r="D376" s="5" t="s">
        <v>6</v>
      </c>
      <c r="E376" s="5">
        <v>139.78</v>
      </c>
    </row>
    <row r="377" spans="2:5" x14ac:dyDescent="0.3">
      <c r="B377" s="1">
        <v>43089</v>
      </c>
      <c r="C377" s="5" t="s">
        <v>5</v>
      </c>
      <c r="D377" s="5" t="s">
        <v>6</v>
      </c>
      <c r="E377" s="5">
        <v>139.12</v>
      </c>
    </row>
    <row r="378" spans="2:5" x14ac:dyDescent="0.3">
      <c r="B378" s="1">
        <v>43088</v>
      </c>
      <c r="C378" s="5" t="s">
        <v>5</v>
      </c>
      <c r="D378" s="5" t="s">
        <v>6</v>
      </c>
      <c r="E378" s="5">
        <v>138.21</v>
      </c>
    </row>
    <row r="379" spans="2:5" x14ac:dyDescent="0.3">
      <c r="B379" s="1">
        <v>43087</v>
      </c>
      <c r="C379" s="5" t="s">
        <v>5</v>
      </c>
      <c r="D379" s="5" t="s">
        <v>6</v>
      </c>
      <c r="E379" s="5">
        <v>140.52000000000001</v>
      </c>
    </row>
    <row r="380" spans="2:5" x14ac:dyDescent="0.3">
      <c r="B380" s="1">
        <v>43084</v>
      </c>
      <c r="C380" s="5" t="s">
        <v>5</v>
      </c>
      <c r="D380" s="5" t="s">
        <v>6</v>
      </c>
      <c r="E380" s="5">
        <v>142.13</v>
      </c>
    </row>
    <row r="381" spans="2:5" x14ac:dyDescent="0.3">
      <c r="B381" s="1">
        <v>43083</v>
      </c>
      <c r="C381" s="5" t="s">
        <v>5</v>
      </c>
      <c r="D381" s="5" t="s">
        <v>6</v>
      </c>
      <c r="E381" s="5">
        <v>139.27000000000001</v>
      </c>
    </row>
    <row r="382" spans="2:5" x14ac:dyDescent="0.3">
      <c r="B382" s="1">
        <v>43082</v>
      </c>
      <c r="C382" s="5" t="s">
        <v>5</v>
      </c>
      <c r="D382" s="5" t="s">
        <v>6</v>
      </c>
      <c r="E382" s="5">
        <v>146.01</v>
      </c>
    </row>
    <row r="383" spans="2:5" x14ac:dyDescent="0.3">
      <c r="B383" s="1">
        <v>43081</v>
      </c>
      <c r="C383" s="5" t="s">
        <v>5</v>
      </c>
      <c r="D383" s="5" t="s">
        <v>6</v>
      </c>
      <c r="E383" s="5">
        <v>142.66999999999999</v>
      </c>
    </row>
    <row r="384" spans="2:5" x14ac:dyDescent="0.3">
      <c r="B384" s="1">
        <v>43080</v>
      </c>
      <c r="C384" s="5" t="s">
        <v>5</v>
      </c>
      <c r="D384" s="5" t="s">
        <v>6</v>
      </c>
      <c r="E384" s="5">
        <v>142.41</v>
      </c>
    </row>
    <row r="385" spans="2:5" x14ac:dyDescent="0.3">
      <c r="B385" s="1">
        <v>43077</v>
      </c>
      <c r="C385" s="5" t="s">
        <v>5</v>
      </c>
      <c r="D385" s="5" t="s">
        <v>6</v>
      </c>
      <c r="E385" s="5">
        <v>142.47999999999999</v>
      </c>
    </row>
    <row r="386" spans="2:5" x14ac:dyDescent="0.3">
      <c r="B386" s="1">
        <v>43076</v>
      </c>
      <c r="C386" s="5" t="s">
        <v>5</v>
      </c>
      <c r="D386" s="5" t="s">
        <v>6</v>
      </c>
      <c r="E386" s="5">
        <v>139.21</v>
      </c>
    </row>
    <row r="387" spans="2:5" x14ac:dyDescent="0.3">
      <c r="B387" s="1">
        <v>43075</v>
      </c>
      <c r="C387" s="5" t="s">
        <v>5</v>
      </c>
      <c r="D387" s="5" t="s">
        <v>6</v>
      </c>
      <c r="E387" s="5">
        <v>142.12</v>
      </c>
    </row>
    <row r="388" spans="2:5" x14ac:dyDescent="0.3">
      <c r="B388" s="1">
        <v>43074</v>
      </c>
      <c r="C388" s="5" t="s">
        <v>5</v>
      </c>
      <c r="D388" s="5" t="s">
        <v>6</v>
      </c>
      <c r="E388" s="5">
        <v>142.51</v>
      </c>
    </row>
    <row r="389" spans="2:5" x14ac:dyDescent="0.3">
      <c r="B389" s="1">
        <v>43073</v>
      </c>
      <c r="C389" s="5" t="s">
        <v>5</v>
      </c>
      <c r="D389" s="5" t="s">
        <v>6</v>
      </c>
      <c r="E389" s="5">
        <v>142.13</v>
      </c>
    </row>
    <row r="390" spans="2:5" x14ac:dyDescent="0.3">
      <c r="B390" s="1">
        <v>43069</v>
      </c>
      <c r="C390" s="5" t="s">
        <v>5</v>
      </c>
      <c r="D390" s="5" t="s">
        <v>6</v>
      </c>
      <c r="E390" s="5">
        <v>141.22999999999999</v>
      </c>
    </row>
    <row r="391" spans="2:5" x14ac:dyDescent="0.3">
      <c r="B391" s="1">
        <v>43068</v>
      </c>
      <c r="C391" s="5" t="s">
        <v>5</v>
      </c>
      <c r="D391" s="5" t="s">
        <v>6</v>
      </c>
      <c r="E391" s="5">
        <v>139.12</v>
      </c>
    </row>
    <row r="392" spans="2:5" x14ac:dyDescent="0.3">
      <c r="B392" s="1">
        <v>43067</v>
      </c>
      <c r="C392" s="5" t="s">
        <v>5</v>
      </c>
      <c r="D392" s="5" t="s">
        <v>6</v>
      </c>
      <c r="E392" s="5">
        <v>136.76</v>
      </c>
    </row>
    <row r="393" spans="2:5" x14ac:dyDescent="0.3">
      <c r="B393" s="1">
        <v>43066</v>
      </c>
      <c r="C393" s="5" t="s">
        <v>5</v>
      </c>
      <c r="D393" s="5" t="s">
        <v>6</v>
      </c>
      <c r="E393" s="5">
        <v>138.65</v>
      </c>
    </row>
    <row r="394" spans="2:5" x14ac:dyDescent="0.3">
      <c r="B394" s="1">
        <v>43063</v>
      </c>
      <c r="C394" s="5" t="s">
        <v>5</v>
      </c>
      <c r="D394" s="5" t="s">
        <v>6</v>
      </c>
      <c r="E394" s="5">
        <v>140.44999999999999</v>
      </c>
    </row>
    <row r="395" spans="2:5" x14ac:dyDescent="0.3">
      <c r="B395" s="1">
        <v>43062</v>
      </c>
      <c r="C395" s="5" t="s">
        <v>5</v>
      </c>
      <c r="D395" s="5" t="s">
        <v>6</v>
      </c>
      <c r="E395" s="5">
        <v>143.44999999999999</v>
      </c>
    </row>
    <row r="396" spans="2:5" x14ac:dyDescent="0.3">
      <c r="B396" s="1">
        <v>43061</v>
      </c>
      <c r="C396" s="5" t="s">
        <v>5</v>
      </c>
      <c r="D396" s="5" t="s">
        <v>6</v>
      </c>
      <c r="E396" s="5">
        <v>143.04</v>
      </c>
    </row>
    <row r="397" spans="2:5" x14ac:dyDescent="0.3">
      <c r="B397" s="1">
        <v>43060</v>
      </c>
      <c r="C397" s="5" t="s">
        <v>5</v>
      </c>
      <c r="D397" s="5" t="s">
        <v>6</v>
      </c>
      <c r="E397" s="5">
        <v>142.94</v>
      </c>
    </row>
    <row r="398" spans="2:5" x14ac:dyDescent="0.3">
      <c r="B398" s="1">
        <v>43059</v>
      </c>
      <c r="C398" s="5" t="s">
        <v>5</v>
      </c>
      <c r="D398" s="5" t="s">
        <v>6</v>
      </c>
      <c r="E398" s="5">
        <v>141.69</v>
      </c>
    </row>
    <row r="399" spans="2:5" x14ac:dyDescent="0.3">
      <c r="B399" s="1">
        <v>43056</v>
      </c>
      <c r="C399" s="5" t="s">
        <v>5</v>
      </c>
      <c r="D399" s="5" t="s">
        <v>6</v>
      </c>
      <c r="E399" s="5">
        <v>145.77000000000001</v>
      </c>
    </row>
    <row r="400" spans="2:5" x14ac:dyDescent="0.3">
      <c r="B400" s="1">
        <v>43055</v>
      </c>
      <c r="C400" s="5" t="s">
        <v>5</v>
      </c>
      <c r="D400" s="5" t="s">
        <v>6</v>
      </c>
      <c r="E400" s="5">
        <v>146.41999999999999</v>
      </c>
    </row>
    <row r="401" spans="2:5" x14ac:dyDescent="0.3">
      <c r="B401" s="1">
        <v>43054</v>
      </c>
      <c r="C401" s="5" t="s">
        <v>5</v>
      </c>
      <c r="D401" s="5" t="s">
        <v>6</v>
      </c>
      <c r="E401" s="5">
        <v>146.91999999999999</v>
      </c>
    </row>
    <row r="402" spans="2:5" x14ac:dyDescent="0.3">
      <c r="B402" s="1">
        <v>43053</v>
      </c>
      <c r="C402" s="5" t="s">
        <v>5</v>
      </c>
      <c r="D402" s="5" t="s">
        <v>6</v>
      </c>
      <c r="E402" s="5">
        <v>146.69</v>
      </c>
    </row>
    <row r="403" spans="2:5" x14ac:dyDescent="0.3">
      <c r="B403" s="1">
        <v>43052</v>
      </c>
      <c r="C403" s="5" t="s">
        <v>5</v>
      </c>
      <c r="D403" s="5" t="s">
        <v>6</v>
      </c>
      <c r="E403" s="5">
        <v>145.29</v>
      </c>
    </row>
    <row r="404" spans="2:5" x14ac:dyDescent="0.3">
      <c r="B404" s="1">
        <v>43049</v>
      </c>
      <c r="C404" s="5" t="s">
        <v>5</v>
      </c>
      <c r="D404" s="5" t="s">
        <v>6</v>
      </c>
      <c r="E404" s="5">
        <v>145.76</v>
      </c>
    </row>
    <row r="405" spans="2:5" x14ac:dyDescent="0.3">
      <c r="B405" s="1">
        <v>43048</v>
      </c>
      <c r="C405" s="5" t="s">
        <v>5</v>
      </c>
      <c r="D405" s="5" t="s">
        <v>6</v>
      </c>
      <c r="E405" s="5">
        <v>147.36000000000001</v>
      </c>
    </row>
    <row r="406" spans="2:5" x14ac:dyDescent="0.3">
      <c r="B406" s="1">
        <v>43047</v>
      </c>
      <c r="C406" s="5" t="s">
        <v>5</v>
      </c>
      <c r="D406" s="5" t="s">
        <v>6</v>
      </c>
      <c r="E406" s="5">
        <v>143.97999999999999</v>
      </c>
    </row>
    <row r="407" spans="2:5" x14ac:dyDescent="0.3">
      <c r="B407" s="1">
        <v>43046</v>
      </c>
      <c r="C407" s="5" t="s">
        <v>5</v>
      </c>
      <c r="D407" s="5" t="s">
        <v>6</v>
      </c>
      <c r="E407" s="5">
        <v>141.81</v>
      </c>
    </row>
    <row r="408" spans="2:5" x14ac:dyDescent="0.3">
      <c r="B408" s="1">
        <v>43045</v>
      </c>
      <c r="C408" s="5" t="s">
        <v>5</v>
      </c>
      <c r="D408" s="5" t="s">
        <v>6</v>
      </c>
      <c r="E408" s="5">
        <v>141.55000000000001</v>
      </c>
    </row>
    <row r="409" spans="2:5" x14ac:dyDescent="0.3">
      <c r="B409" s="1">
        <v>43042</v>
      </c>
      <c r="C409" s="5" t="s">
        <v>5</v>
      </c>
      <c r="D409" s="5" t="s">
        <v>6</v>
      </c>
      <c r="E409" s="5">
        <v>140.04</v>
      </c>
    </row>
    <row r="410" spans="2:5" x14ac:dyDescent="0.3">
      <c r="B410" s="1">
        <v>43041</v>
      </c>
      <c r="C410" s="5" t="s">
        <v>5</v>
      </c>
      <c r="D410" s="5" t="s">
        <v>6</v>
      </c>
      <c r="E410" s="5">
        <v>136.44999999999999</v>
      </c>
    </row>
    <row r="411" spans="2:5" x14ac:dyDescent="0.3">
      <c r="B411" s="1">
        <v>43040</v>
      </c>
      <c r="C411" s="5" t="s">
        <v>5</v>
      </c>
      <c r="D411" s="5" t="s">
        <v>6</v>
      </c>
      <c r="E411" s="5">
        <v>136</v>
      </c>
    </row>
    <row r="412" spans="2:5" x14ac:dyDescent="0.3">
      <c r="B412" s="1">
        <v>43039</v>
      </c>
      <c r="C412" s="5" t="s">
        <v>5</v>
      </c>
      <c r="D412" s="5" t="s">
        <v>6</v>
      </c>
      <c r="E412" s="5">
        <v>130.03</v>
      </c>
    </row>
    <row r="413" spans="2:5" x14ac:dyDescent="0.3">
      <c r="B413" s="1">
        <v>43038</v>
      </c>
      <c r="C413" s="5" t="s">
        <v>5</v>
      </c>
      <c r="D413" s="5" t="s">
        <v>6</v>
      </c>
      <c r="E413" s="5">
        <v>133.26</v>
      </c>
    </row>
    <row r="414" spans="2:5" x14ac:dyDescent="0.3">
      <c r="B414" s="1">
        <v>43035</v>
      </c>
      <c r="C414" s="5" t="s">
        <v>5</v>
      </c>
      <c r="D414" s="5" t="s">
        <v>6</v>
      </c>
      <c r="E414" s="5">
        <v>133.69999999999999</v>
      </c>
    </row>
    <row r="415" spans="2:5" x14ac:dyDescent="0.3">
      <c r="B415" s="1">
        <v>43034</v>
      </c>
      <c r="C415" s="5" t="s">
        <v>5</v>
      </c>
      <c r="D415" s="5" t="s">
        <v>6</v>
      </c>
      <c r="E415" s="5">
        <v>136.04</v>
      </c>
    </row>
    <row r="416" spans="2:5" x14ac:dyDescent="0.3">
      <c r="B416" s="1">
        <v>43033</v>
      </c>
      <c r="C416" s="5" t="s">
        <v>5</v>
      </c>
      <c r="D416" s="5" t="s">
        <v>6</v>
      </c>
      <c r="E416" s="5">
        <v>139.97</v>
      </c>
    </row>
    <row r="417" spans="2:5" x14ac:dyDescent="0.3">
      <c r="B417" s="1">
        <v>43032</v>
      </c>
      <c r="C417" s="5" t="s">
        <v>5</v>
      </c>
      <c r="D417" s="5" t="s">
        <v>6</v>
      </c>
      <c r="E417" s="5">
        <v>140.65</v>
      </c>
    </row>
    <row r="418" spans="2:5" x14ac:dyDescent="0.3">
      <c r="B418" s="1">
        <v>43031</v>
      </c>
      <c r="C418" s="5" t="s">
        <v>5</v>
      </c>
      <c r="D418" s="5" t="s">
        <v>6</v>
      </c>
      <c r="E418" s="5">
        <v>139.53</v>
      </c>
    </row>
    <row r="419" spans="2:5" x14ac:dyDescent="0.3">
      <c r="B419" s="1">
        <v>43028</v>
      </c>
      <c r="C419" s="5" t="s">
        <v>5</v>
      </c>
      <c r="D419" s="5" t="s">
        <v>6</v>
      </c>
      <c r="E419" s="5">
        <v>143.38999999999999</v>
      </c>
    </row>
    <row r="420" spans="2:5" x14ac:dyDescent="0.3">
      <c r="B420" s="1">
        <v>43027</v>
      </c>
      <c r="C420" s="5" t="s">
        <v>5</v>
      </c>
      <c r="D420" s="5" t="s">
        <v>6</v>
      </c>
      <c r="E420" s="5">
        <v>139.18</v>
      </c>
    </row>
    <row r="421" spans="2:5" x14ac:dyDescent="0.3">
      <c r="B421" s="1">
        <v>43026</v>
      </c>
      <c r="C421" s="5" t="s">
        <v>5</v>
      </c>
      <c r="D421" s="5" t="s">
        <v>6</v>
      </c>
      <c r="E421" s="5">
        <v>139.6</v>
      </c>
    </row>
    <row r="422" spans="2:5" x14ac:dyDescent="0.3">
      <c r="B422" s="1">
        <v>43025</v>
      </c>
      <c r="C422" s="5" t="s">
        <v>5</v>
      </c>
      <c r="D422" s="5" t="s">
        <v>6</v>
      </c>
      <c r="E422" s="5">
        <v>139.94999999999999</v>
      </c>
    </row>
    <row r="423" spans="2:5" x14ac:dyDescent="0.3">
      <c r="B423" s="1">
        <v>43024</v>
      </c>
      <c r="C423" s="5" t="s">
        <v>5</v>
      </c>
      <c r="D423" s="5" t="s">
        <v>6</v>
      </c>
      <c r="E423" s="5">
        <v>142.46</v>
      </c>
    </row>
    <row r="424" spans="2:5" x14ac:dyDescent="0.3">
      <c r="B424" s="1">
        <v>43021</v>
      </c>
      <c r="C424" s="5" t="s">
        <v>5</v>
      </c>
      <c r="D424" s="5" t="s">
        <v>6</v>
      </c>
      <c r="E424" s="5">
        <v>139.30000000000001</v>
      </c>
    </row>
    <row r="425" spans="2:5" x14ac:dyDescent="0.3">
      <c r="B425" s="1">
        <v>43020</v>
      </c>
      <c r="C425" s="5" t="s">
        <v>5</v>
      </c>
      <c r="D425" s="5" t="s">
        <v>6</v>
      </c>
      <c r="E425" s="5">
        <v>141.36000000000001</v>
      </c>
    </row>
    <row r="426" spans="2:5" x14ac:dyDescent="0.3">
      <c r="B426" s="1">
        <v>43019</v>
      </c>
      <c r="C426" s="5" t="s">
        <v>5</v>
      </c>
      <c r="D426" s="5" t="s">
        <v>6</v>
      </c>
      <c r="E426" s="5">
        <v>142.27000000000001</v>
      </c>
    </row>
    <row r="427" spans="2:5" x14ac:dyDescent="0.3">
      <c r="B427" s="1">
        <v>43018</v>
      </c>
      <c r="C427" s="5" t="s">
        <v>5</v>
      </c>
      <c r="D427" s="5" t="s">
        <v>6</v>
      </c>
      <c r="E427" s="5">
        <v>142.46</v>
      </c>
    </row>
    <row r="428" spans="2:5" x14ac:dyDescent="0.3">
      <c r="B428" s="1">
        <v>43017</v>
      </c>
      <c r="C428" s="5" t="s">
        <v>5</v>
      </c>
      <c r="D428" s="5" t="s">
        <v>6</v>
      </c>
      <c r="E428" s="5">
        <v>142.29</v>
      </c>
    </row>
    <row r="429" spans="2:5" x14ac:dyDescent="0.3">
      <c r="B429" s="1">
        <v>43014</v>
      </c>
      <c r="C429" s="5" t="s">
        <v>5</v>
      </c>
      <c r="D429" s="5" t="s">
        <v>6</v>
      </c>
      <c r="E429" s="5">
        <v>146.13</v>
      </c>
    </row>
    <row r="430" spans="2:5" x14ac:dyDescent="0.3">
      <c r="B430" s="1">
        <v>43013</v>
      </c>
      <c r="C430" s="5" t="s">
        <v>5</v>
      </c>
      <c r="D430" s="5" t="s">
        <v>6</v>
      </c>
      <c r="E430" s="5">
        <v>141.12</v>
      </c>
    </row>
    <row r="431" spans="2:5" x14ac:dyDescent="0.3">
      <c r="B431" s="1">
        <v>43012</v>
      </c>
      <c r="C431" s="5" t="s">
        <v>5</v>
      </c>
      <c r="D431" s="5" t="s">
        <v>6</v>
      </c>
      <c r="E431" s="5">
        <v>136.72999999999999</v>
      </c>
    </row>
    <row r="432" spans="2:5" x14ac:dyDescent="0.3">
      <c r="B432" s="1">
        <v>43011</v>
      </c>
      <c r="C432" s="5" t="s">
        <v>5</v>
      </c>
      <c r="D432" s="5" t="s">
        <v>6</v>
      </c>
      <c r="E432" s="5">
        <v>141.19999999999999</v>
      </c>
    </row>
    <row r="433" spans="2:5" x14ac:dyDescent="0.3">
      <c r="B433" s="1">
        <v>43010</v>
      </c>
      <c r="C433" s="5" t="s">
        <v>5</v>
      </c>
      <c r="D433" s="5" t="s">
        <v>6</v>
      </c>
      <c r="E433" s="5">
        <v>147.16</v>
      </c>
    </row>
    <row r="434" spans="2:5" x14ac:dyDescent="0.3">
      <c r="B434" s="1">
        <v>43007</v>
      </c>
      <c r="C434" s="5" t="s">
        <v>5</v>
      </c>
      <c r="D434" s="5" t="s">
        <v>6</v>
      </c>
      <c r="E434" s="5">
        <v>145.1</v>
      </c>
    </row>
    <row r="435" spans="2:5" x14ac:dyDescent="0.3">
      <c r="B435" s="1">
        <v>43006</v>
      </c>
      <c r="C435" s="5" t="s">
        <v>5</v>
      </c>
      <c r="D435" s="5" t="s">
        <v>6</v>
      </c>
      <c r="E435" s="5">
        <v>144.62</v>
      </c>
    </row>
    <row r="436" spans="2:5" x14ac:dyDescent="0.3">
      <c r="B436" s="1">
        <v>43005</v>
      </c>
      <c r="C436" s="5" t="s">
        <v>5</v>
      </c>
      <c r="D436" s="5" t="s">
        <v>6</v>
      </c>
      <c r="E436" s="5">
        <v>144.35</v>
      </c>
    </row>
    <row r="437" spans="2:5" x14ac:dyDescent="0.3">
      <c r="B437" s="1">
        <v>43004</v>
      </c>
      <c r="C437" s="5" t="s">
        <v>5</v>
      </c>
      <c r="D437" s="5" t="s">
        <v>6</v>
      </c>
      <c r="E437" s="5">
        <v>147.19999999999999</v>
      </c>
    </row>
    <row r="438" spans="2:5" x14ac:dyDescent="0.3">
      <c r="B438" s="1">
        <v>43003</v>
      </c>
      <c r="C438" s="5" t="s">
        <v>5</v>
      </c>
      <c r="D438" s="5" t="s">
        <v>6</v>
      </c>
      <c r="E438" s="5">
        <v>146.65</v>
      </c>
    </row>
    <row r="439" spans="2:5" x14ac:dyDescent="0.3">
      <c r="B439" s="1">
        <v>43000</v>
      </c>
      <c r="C439" s="5" t="s">
        <v>5</v>
      </c>
      <c r="D439" s="5" t="s">
        <v>6</v>
      </c>
      <c r="E439" s="5">
        <v>148.12</v>
      </c>
    </row>
    <row r="440" spans="2:5" x14ac:dyDescent="0.3">
      <c r="B440" s="1">
        <v>42999</v>
      </c>
      <c r="C440" s="5" t="s">
        <v>5</v>
      </c>
      <c r="D440" s="5" t="s">
        <v>6</v>
      </c>
      <c r="E440" s="5">
        <v>148.55000000000001</v>
      </c>
    </row>
    <row r="441" spans="2:5" x14ac:dyDescent="0.3">
      <c r="B441" s="1">
        <v>42998</v>
      </c>
      <c r="C441" s="5" t="s">
        <v>5</v>
      </c>
      <c r="D441" s="5" t="s">
        <v>6</v>
      </c>
      <c r="E441" s="5">
        <v>153.83000000000001</v>
      </c>
    </row>
    <row r="442" spans="2:5" x14ac:dyDescent="0.3">
      <c r="B442" s="1">
        <v>42997</v>
      </c>
      <c r="C442" s="5" t="s">
        <v>5</v>
      </c>
      <c r="D442" s="5" t="s">
        <v>6</v>
      </c>
      <c r="E442" s="5">
        <v>149.12</v>
      </c>
    </row>
    <row r="443" spans="2:5" x14ac:dyDescent="0.3">
      <c r="B443" s="1">
        <v>42996</v>
      </c>
      <c r="C443" s="5" t="s">
        <v>5</v>
      </c>
      <c r="D443" s="5" t="s">
        <v>6</v>
      </c>
      <c r="E443" s="5">
        <v>147.01</v>
      </c>
    </row>
    <row r="444" spans="2:5" x14ac:dyDescent="0.3">
      <c r="B444" s="1">
        <v>42993</v>
      </c>
      <c r="C444" s="5" t="s">
        <v>5</v>
      </c>
      <c r="D444" s="5" t="s">
        <v>6</v>
      </c>
      <c r="E444" s="5">
        <v>148.03</v>
      </c>
    </row>
    <row r="445" spans="2:5" x14ac:dyDescent="0.3">
      <c r="B445" s="1">
        <v>42992</v>
      </c>
      <c r="C445" s="5" t="s">
        <v>5</v>
      </c>
      <c r="D445" s="5" t="s">
        <v>6</v>
      </c>
      <c r="E445" s="5">
        <v>147.83000000000001</v>
      </c>
    </row>
    <row r="446" spans="2:5" x14ac:dyDescent="0.3">
      <c r="B446" s="1">
        <v>42991</v>
      </c>
      <c r="C446" s="5" t="s">
        <v>5</v>
      </c>
      <c r="D446" s="5" t="s">
        <v>6</v>
      </c>
      <c r="E446" s="5">
        <v>143.82</v>
      </c>
    </row>
    <row r="447" spans="2:5" x14ac:dyDescent="0.3">
      <c r="B447" s="1">
        <v>42990</v>
      </c>
      <c r="C447" s="5" t="s">
        <v>5</v>
      </c>
      <c r="D447" s="5" t="s">
        <v>6</v>
      </c>
      <c r="E447" s="5">
        <v>140.35</v>
      </c>
    </row>
    <row r="448" spans="2:5" x14ac:dyDescent="0.3">
      <c r="B448" s="1">
        <v>42989</v>
      </c>
      <c r="C448" s="5" t="s">
        <v>5</v>
      </c>
      <c r="D448" s="5" t="s">
        <v>6</v>
      </c>
      <c r="E448" s="5">
        <v>140.21</v>
      </c>
    </row>
    <row r="449" spans="2:5" x14ac:dyDescent="0.3">
      <c r="B449" s="1">
        <v>42986</v>
      </c>
      <c r="C449" s="5" t="s">
        <v>5</v>
      </c>
      <c r="D449" s="5" t="s">
        <v>6</v>
      </c>
      <c r="E449" s="5">
        <v>137.9</v>
      </c>
    </row>
    <row r="450" spans="2:5" x14ac:dyDescent="0.3">
      <c r="B450" s="1">
        <v>42985</v>
      </c>
      <c r="C450" s="5" t="s">
        <v>5</v>
      </c>
      <c r="D450" s="5" t="s">
        <v>6</v>
      </c>
      <c r="E450" s="5">
        <v>139.31</v>
      </c>
    </row>
    <row r="451" spans="2:5" x14ac:dyDescent="0.3">
      <c r="B451" s="1">
        <v>42984</v>
      </c>
      <c r="C451" s="5" t="s">
        <v>5</v>
      </c>
      <c r="D451" s="5" t="s">
        <v>6</v>
      </c>
      <c r="E451" s="5">
        <v>142.29</v>
      </c>
    </row>
    <row r="452" spans="2:5" x14ac:dyDescent="0.3">
      <c r="B452" s="1">
        <v>42983</v>
      </c>
      <c r="C452" s="5" t="s">
        <v>5</v>
      </c>
      <c r="D452" s="5" t="s">
        <v>6</v>
      </c>
      <c r="E452" s="5">
        <v>144.96</v>
      </c>
    </row>
    <row r="453" spans="2:5" x14ac:dyDescent="0.3">
      <c r="B453" s="1">
        <v>42978</v>
      </c>
      <c r="C453" s="5" t="s">
        <v>5</v>
      </c>
      <c r="D453" s="5" t="s">
        <v>6</v>
      </c>
      <c r="E453" s="5">
        <v>142.87</v>
      </c>
    </row>
    <row r="454" spans="2:5" x14ac:dyDescent="0.3">
      <c r="B454" s="1">
        <v>42977</v>
      </c>
      <c r="C454" s="5" t="s">
        <v>5</v>
      </c>
      <c r="D454" s="5" t="s">
        <v>6</v>
      </c>
      <c r="E454" s="5">
        <v>143.69</v>
      </c>
    </row>
    <row r="455" spans="2:5" x14ac:dyDescent="0.3">
      <c r="B455" s="1">
        <v>42976</v>
      </c>
      <c r="C455" s="5" t="s">
        <v>5</v>
      </c>
      <c r="D455" s="5" t="s">
        <v>6</v>
      </c>
      <c r="E455" s="5">
        <v>142.51</v>
      </c>
    </row>
    <row r="456" spans="2:5" x14ac:dyDescent="0.3">
      <c r="B456" s="1">
        <v>42975</v>
      </c>
      <c r="C456" s="5" t="s">
        <v>5</v>
      </c>
      <c r="D456" s="5" t="s">
        <v>6</v>
      </c>
      <c r="E456" s="5">
        <v>147.84</v>
      </c>
    </row>
    <row r="457" spans="2:5" x14ac:dyDescent="0.3">
      <c r="B457" s="1">
        <v>42972</v>
      </c>
      <c r="C457" s="5" t="s">
        <v>5</v>
      </c>
      <c r="D457" s="5" t="s">
        <v>6</v>
      </c>
      <c r="E457" s="5">
        <v>151.74</v>
      </c>
    </row>
    <row r="458" spans="2:5" x14ac:dyDescent="0.3">
      <c r="B458" s="1">
        <v>42971</v>
      </c>
      <c r="C458" s="5" t="s">
        <v>5</v>
      </c>
      <c r="D458" s="5" t="s">
        <v>6</v>
      </c>
      <c r="E458" s="5">
        <v>146.24</v>
      </c>
    </row>
    <row r="459" spans="2:5" x14ac:dyDescent="0.3">
      <c r="B459" s="1">
        <v>42970</v>
      </c>
      <c r="C459" s="5" t="s">
        <v>5</v>
      </c>
      <c r="D459" s="5" t="s">
        <v>6</v>
      </c>
      <c r="E459" s="5">
        <v>141.68</v>
      </c>
    </row>
    <row r="460" spans="2:5" x14ac:dyDescent="0.3">
      <c r="B460" s="1">
        <v>42969</v>
      </c>
      <c r="C460" s="5" t="s">
        <v>5</v>
      </c>
      <c r="D460" s="5" t="s">
        <v>6</v>
      </c>
      <c r="E460" s="5">
        <v>136.69999999999999</v>
      </c>
    </row>
    <row r="461" spans="2:5" x14ac:dyDescent="0.3">
      <c r="B461" s="1">
        <v>42968</v>
      </c>
      <c r="C461" s="5" t="s">
        <v>5</v>
      </c>
      <c r="D461" s="5" t="s">
        <v>6</v>
      </c>
      <c r="E461" s="5">
        <v>138.05000000000001</v>
      </c>
    </row>
    <row r="462" spans="2:5" x14ac:dyDescent="0.3">
      <c r="B462" s="1">
        <v>42965</v>
      </c>
      <c r="C462" s="5" t="s">
        <v>5</v>
      </c>
      <c r="D462" s="5" t="s">
        <v>6</v>
      </c>
      <c r="E462" s="5">
        <v>145.19</v>
      </c>
    </row>
    <row r="463" spans="2:5" x14ac:dyDescent="0.3">
      <c r="B463" s="1">
        <v>42964</v>
      </c>
      <c r="C463" s="5" t="s">
        <v>5</v>
      </c>
      <c r="D463" s="5" t="s">
        <v>6</v>
      </c>
      <c r="E463" s="5">
        <v>145.04</v>
      </c>
    </row>
    <row r="464" spans="2:5" x14ac:dyDescent="0.3">
      <c r="B464" s="1">
        <v>42963</v>
      </c>
      <c r="C464" s="5" t="s">
        <v>5</v>
      </c>
      <c r="D464" s="5" t="s">
        <v>6</v>
      </c>
      <c r="E464" s="5">
        <v>151.88999999999999</v>
      </c>
    </row>
    <row r="465" spans="2:5" x14ac:dyDescent="0.3">
      <c r="B465" s="1">
        <v>42962</v>
      </c>
      <c r="C465" s="5" t="s">
        <v>5</v>
      </c>
      <c r="D465" s="5" t="s">
        <v>6</v>
      </c>
      <c r="E465" s="5">
        <v>151.87</v>
      </c>
    </row>
    <row r="466" spans="2:5" x14ac:dyDescent="0.3">
      <c r="B466" s="1">
        <v>42958</v>
      </c>
      <c r="C466" s="5" t="s">
        <v>5</v>
      </c>
      <c r="D466" s="5" t="s">
        <v>6</v>
      </c>
      <c r="E466" s="5">
        <v>158.94</v>
      </c>
    </row>
    <row r="467" spans="2:5" x14ac:dyDescent="0.3">
      <c r="B467" s="1">
        <v>42957</v>
      </c>
      <c r="C467" s="5" t="s">
        <v>5</v>
      </c>
      <c r="D467" s="5" t="s">
        <v>6</v>
      </c>
      <c r="E467" s="5">
        <v>159.76</v>
      </c>
    </row>
    <row r="468" spans="2:5" x14ac:dyDescent="0.3">
      <c r="B468" s="1">
        <v>42956</v>
      </c>
      <c r="C468" s="5" t="s">
        <v>5</v>
      </c>
      <c r="D468" s="5" t="s">
        <v>6</v>
      </c>
      <c r="E468" s="5">
        <v>160.05000000000001</v>
      </c>
    </row>
    <row r="469" spans="2:5" x14ac:dyDescent="0.3">
      <c r="B469" s="1">
        <v>42955</v>
      </c>
      <c r="C469" s="5" t="s">
        <v>5</v>
      </c>
      <c r="D469" s="5" t="s">
        <v>6</v>
      </c>
      <c r="E469" s="5">
        <v>158.04</v>
      </c>
    </row>
    <row r="470" spans="2:5" x14ac:dyDescent="0.3">
      <c r="B470" s="1">
        <v>42954</v>
      </c>
      <c r="C470" s="5" t="s">
        <v>5</v>
      </c>
      <c r="D470" s="5" t="s">
        <v>6</v>
      </c>
      <c r="E470" s="5">
        <v>159.88999999999999</v>
      </c>
    </row>
    <row r="471" spans="2:5" x14ac:dyDescent="0.3">
      <c r="B471" s="1">
        <v>42951</v>
      </c>
      <c r="C471" s="5" t="s">
        <v>5</v>
      </c>
      <c r="D471" s="5" t="s">
        <v>6</v>
      </c>
      <c r="E471" s="5">
        <v>162.4</v>
      </c>
    </row>
    <row r="472" spans="2:5" x14ac:dyDescent="0.3">
      <c r="B472" s="1">
        <v>42950</v>
      </c>
      <c r="C472" s="5" t="s">
        <v>5</v>
      </c>
      <c r="D472" s="5" t="s">
        <v>6</v>
      </c>
      <c r="E472" s="5">
        <v>164.49</v>
      </c>
    </row>
    <row r="473" spans="2:5" x14ac:dyDescent="0.3">
      <c r="B473" s="1">
        <v>42949</v>
      </c>
      <c r="C473" s="5" t="s">
        <v>5</v>
      </c>
      <c r="D473" s="5" t="s">
        <v>6</v>
      </c>
      <c r="E473" s="5">
        <v>165.36</v>
      </c>
    </row>
    <row r="474" spans="2:5" x14ac:dyDescent="0.3">
      <c r="B474" s="1">
        <v>42948</v>
      </c>
      <c r="C474" s="5" t="s">
        <v>5</v>
      </c>
      <c r="D474" s="5" t="s">
        <v>6</v>
      </c>
      <c r="E474" s="5">
        <v>166.97</v>
      </c>
    </row>
    <row r="475" spans="2:5" x14ac:dyDescent="0.3">
      <c r="B475" s="1">
        <v>42947</v>
      </c>
      <c r="C475" s="5" t="s">
        <v>5</v>
      </c>
      <c r="D475" s="5" t="s">
        <v>6</v>
      </c>
      <c r="E475" s="5">
        <v>164.95</v>
      </c>
    </row>
    <row r="476" spans="2:5" x14ac:dyDescent="0.3">
      <c r="B476" s="1">
        <v>42944</v>
      </c>
      <c r="C476" s="5" t="s">
        <v>5</v>
      </c>
      <c r="D476" s="5" t="s">
        <v>6</v>
      </c>
      <c r="E476" s="5">
        <v>162.32</v>
      </c>
    </row>
    <row r="477" spans="2:5" x14ac:dyDescent="0.3">
      <c r="B477" s="1">
        <v>42943</v>
      </c>
      <c r="C477" s="5" t="s">
        <v>5</v>
      </c>
      <c r="D477" s="5" t="s">
        <v>6</v>
      </c>
      <c r="E477" s="5">
        <v>159.43</v>
      </c>
    </row>
    <row r="478" spans="2:5" x14ac:dyDescent="0.3">
      <c r="B478" s="1">
        <v>42942</v>
      </c>
      <c r="C478" s="5" t="s">
        <v>5</v>
      </c>
      <c r="D478" s="5" t="s">
        <v>6</v>
      </c>
      <c r="E478" s="5">
        <v>159.6</v>
      </c>
    </row>
    <row r="479" spans="2:5" x14ac:dyDescent="0.3">
      <c r="B479" s="1">
        <v>42941</v>
      </c>
      <c r="C479" s="5" t="s">
        <v>5</v>
      </c>
      <c r="D479" s="5" t="s">
        <v>6</v>
      </c>
      <c r="E479" s="5">
        <v>162.25</v>
      </c>
    </row>
    <row r="480" spans="2:5" x14ac:dyDescent="0.3">
      <c r="B480" s="1">
        <v>42940</v>
      </c>
      <c r="C480" s="5" t="s">
        <v>5</v>
      </c>
      <c r="D480" s="5" t="s">
        <v>6</v>
      </c>
      <c r="E480" s="5">
        <v>161.1</v>
      </c>
    </row>
    <row r="481" spans="2:5" x14ac:dyDescent="0.3">
      <c r="B481" s="1">
        <v>42937</v>
      </c>
      <c r="C481" s="5" t="s">
        <v>5</v>
      </c>
      <c r="D481" s="5" t="s">
        <v>6</v>
      </c>
      <c r="E481" s="5">
        <v>158.46</v>
      </c>
    </row>
    <row r="482" spans="2:5" x14ac:dyDescent="0.3">
      <c r="B482" s="1">
        <v>42936</v>
      </c>
      <c r="C482" s="5" t="s">
        <v>5</v>
      </c>
      <c r="D482" s="5" t="s">
        <v>6</v>
      </c>
      <c r="E482" s="5">
        <v>155.09</v>
      </c>
    </row>
    <row r="483" spans="2:5" x14ac:dyDescent="0.3">
      <c r="B483" s="1">
        <v>42935</v>
      </c>
      <c r="C483" s="5" t="s">
        <v>5</v>
      </c>
      <c r="D483" s="5" t="s">
        <v>6</v>
      </c>
      <c r="E483" s="5">
        <v>158</v>
      </c>
    </row>
    <row r="484" spans="2:5" x14ac:dyDescent="0.3">
      <c r="B484" s="1">
        <v>42934</v>
      </c>
      <c r="C484" s="5" t="s">
        <v>5</v>
      </c>
      <c r="D484" s="5" t="s">
        <v>6</v>
      </c>
      <c r="E484" s="5">
        <v>159.63</v>
      </c>
    </row>
    <row r="485" spans="2:5" x14ac:dyDescent="0.3">
      <c r="B485" s="1">
        <v>42933</v>
      </c>
      <c r="C485" s="5" t="s">
        <v>5</v>
      </c>
      <c r="D485" s="5" t="s">
        <v>6</v>
      </c>
      <c r="E485" s="5">
        <v>154.78</v>
      </c>
    </row>
    <row r="486" spans="2:5" x14ac:dyDescent="0.3">
      <c r="B486" s="1">
        <v>42930</v>
      </c>
      <c r="C486" s="5" t="s">
        <v>5</v>
      </c>
      <c r="D486" s="5" t="s">
        <v>6</v>
      </c>
      <c r="E486" s="5">
        <v>156.44</v>
      </c>
    </row>
    <row r="487" spans="2:5" x14ac:dyDescent="0.3">
      <c r="B487" s="1">
        <v>42929</v>
      </c>
      <c r="C487" s="5" t="s">
        <v>5</v>
      </c>
      <c r="D487" s="5" t="s">
        <v>6</v>
      </c>
      <c r="E487" s="5">
        <v>152.55000000000001</v>
      </c>
    </row>
    <row r="488" spans="2:5" x14ac:dyDescent="0.3">
      <c r="B488" s="1">
        <v>42928</v>
      </c>
      <c r="C488" s="5" t="s">
        <v>5</v>
      </c>
      <c r="D488" s="5" t="s">
        <v>6</v>
      </c>
      <c r="E488" s="5">
        <v>149.78</v>
      </c>
    </row>
    <row r="489" spans="2:5" x14ac:dyDescent="0.3">
      <c r="B489" s="1">
        <v>42927</v>
      </c>
      <c r="C489" s="5" t="s">
        <v>5</v>
      </c>
      <c r="D489" s="5" t="s">
        <v>6</v>
      </c>
      <c r="E489" s="5">
        <v>156.08000000000001</v>
      </c>
    </row>
    <row r="490" spans="2:5" x14ac:dyDescent="0.3">
      <c r="B490" s="1">
        <v>42926</v>
      </c>
      <c r="C490" s="5" t="s">
        <v>5</v>
      </c>
      <c r="D490" s="5" t="s">
        <v>6</v>
      </c>
      <c r="E490" s="5">
        <v>164.29</v>
      </c>
    </row>
    <row r="491" spans="2:5" x14ac:dyDescent="0.3">
      <c r="B491" s="1">
        <v>42923</v>
      </c>
      <c r="C491" s="5" t="s">
        <v>5</v>
      </c>
      <c r="D491" s="5" t="s">
        <v>6</v>
      </c>
      <c r="E491" s="5">
        <v>157.04</v>
      </c>
    </row>
    <row r="492" spans="2:5" x14ac:dyDescent="0.3">
      <c r="B492" s="1">
        <v>42922</v>
      </c>
      <c r="C492" s="5" t="s">
        <v>5</v>
      </c>
      <c r="D492" s="5" t="s">
        <v>6</v>
      </c>
      <c r="E492" s="5">
        <v>156.62</v>
      </c>
    </row>
    <row r="493" spans="2:5" x14ac:dyDescent="0.3">
      <c r="B493" s="1">
        <v>42921</v>
      </c>
      <c r="C493" s="5" t="s">
        <v>5</v>
      </c>
      <c r="D493" s="5" t="s">
        <v>6</v>
      </c>
      <c r="E493" s="5">
        <v>162.80000000000001</v>
      </c>
    </row>
    <row r="494" spans="2:5" x14ac:dyDescent="0.3">
      <c r="B494" s="1">
        <v>42920</v>
      </c>
      <c r="C494" s="5" t="s">
        <v>5</v>
      </c>
      <c r="D494" s="5" t="s">
        <v>6</v>
      </c>
      <c r="E494" s="5">
        <v>157.01</v>
      </c>
    </row>
    <row r="495" spans="2:5" x14ac:dyDescent="0.3">
      <c r="B495" s="1">
        <v>42919</v>
      </c>
      <c r="C495" s="5" t="s">
        <v>5</v>
      </c>
      <c r="D495" s="5" t="s">
        <v>6</v>
      </c>
      <c r="E495" s="5">
        <v>150.76</v>
      </c>
    </row>
    <row r="496" spans="2:5" x14ac:dyDescent="0.3">
      <c r="B496" s="1">
        <v>42916</v>
      </c>
      <c r="C496" s="5" t="s">
        <v>5</v>
      </c>
      <c r="D496" s="5" t="s">
        <v>6</v>
      </c>
      <c r="E496" s="5">
        <v>158.68</v>
      </c>
    </row>
    <row r="497" spans="2:5" x14ac:dyDescent="0.3">
      <c r="B497" s="1">
        <v>42915</v>
      </c>
      <c r="C497" s="5" t="s">
        <v>5</v>
      </c>
      <c r="D497" s="5" t="s">
        <v>6</v>
      </c>
      <c r="E497" s="5">
        <v>159.65</v>
      </c>
    </row>
    <row r="498" spans="2:5" x14ac:dyDescent="0.3">
      <c r="B498" s="1">
        <v>42908</v>
      </c>
      <c r="C498" s="5" t="s">
        <v>5</v>
      </c>
      <c r="D498" s="5" t="s">
        <v>6</v>
      </c>
      <c r="E498" s="5">
        <v>157.80000000000001</v>
      </c>
    </row>
    <row r="499" spans="2:5" x14ac:dyDescent="0.3">
      <c r="B499" s="1">
        <v>42907</v>
      </c>
      <c r="C499" s="5" t="s">
        <v>5</v>
      </c>
      <c r="D499" s="5" t="s">
        <v>6</v>
      </c>
      <c r="E499" s="5">
        <v>150.29</v>
      </c>
    </row>
    <row r="500" spans="2:5" x14ac:dyDescent="0.3">
      <c r="B500" s="1">
        <v>42906</v>
      </c>
      <c r="C500" s="5" t="s">
        <v>5</v>
      </c>
      <c r="D500" s="5" t="s">
        <v>6</v>
      </c>
      <c r="E500" s="5">
        <v>143.38999999999999</v>
      </c>
    </row>
    <row r="501" spans="2:5" x14ac:dyDescent="0.3">
      <c r="B501" s="1">
        <v>42905</v>
      </c>
      <c r="C501" s="5" t="s">
        <v>5</v>
      </c>
      <c r="D501" s="5" t="s">
        <v>6</v>
      </c>
      <c r="E501" s="5">
        <v>150.88</v>
      </c>
    </row>
    <row r="502" spans="2:5" x14ac:dyDescent="0.3">
      <c r="B502" s="1">
        <v>42902</v>
      </c>
      <c r="C502" s="5" t="s">
        <v>5</v>
      </c>
      <c r="D502" s="5" t="s">
        <v>6</v>
      </c>
      <c r="E502" s="5">
        <v>146.16999999999999</v>
      </c>
    </row>
    <row r="503" spans="2:5" x14ac:dyDescent="0.3">
      <c r="B503" s="1">
        <v>42901</v>
      </c>
      <c r="C503" s="5" t="s">
        <v>5</v>
      </c>
      <c r="D503" s="5" t="s">
        <v>6</v>
      </c>
      <c r="E503" s="5">
        <v>149.74</v>
      </c>
    </row>
    <row r="504" spans="2:5" x14ac:dyDescent="0.3">
      <c r="B504" s="1">
        <v>42900</v>
      </c>
      <c r="C504" s="5" t="s">
        <v>5</v>
      </c>
      <c r="D504" s="5" t="s">
        <v>6</v>
      </c>
      <c r="E504" s="5">
        <v>147.62</v>
      </c>
    </row>
    <row r="505" spans="2:5" x14ac:dyDescent="0.3">
      <c r="B505" s="1">
        <v>42899</v>
      </c>
      <c r="C505" s="5" t="s">
        <v>5</v>
      </c>
      <c r="D505" s="5" t="s">
        <v>6</v>
      </c>
      <c r="E505" s="5">
        <v>153.47999999999999</v>
      </c>
    </row>
    <row r="506" spans="2:5" x14ac:dyDescent="0.3">
      <c r="B506" s="1">
        <v>42898</v>
      </c>
      <c r="C506" s="5" t="s">
        <v>5</v>
      </c>
      <c r="D506" s="5" t="s">
        <v>6</v>
      </c>
      <c r="E506" s="5">
        <v>152.34</v>
      </c>
    </row>
    <row r="507" spans="2:5" x14ac:dyDescent="0.3">
      <c r="B507" s="1">
        <v>42895</v>
      </c>
      <c r="C507" s="5" t="s">
        <v>5</v>
      </c>
      <c r="D507" s="5" t="s">
        <v>6</v>
      </c>
      <c r="E507" s="5">
        <v>160.29</v>
      </c>
    </row>
    <row r="508" spans="2:5" x14ac:dyDescent="0.3">
      <c r="B508" s="1">
        <v>42894</v>
      </c>
      <c r="C508" s="5" t="s">
        <v>5</v>
      </c>
      <c r="D508" s="5" t="s">
        <v>6</v>
      </c>
      <c r="E508" s="5">
        <v>166.37</v>
      </c>
    </row>
    <row r="509" spans="2:5" x14ac:dyDescent="0.3">
      <c r="B509" s="1">
        <v>42893</v>
      </c>
      <c r="C509" s="5" t="s">
        <v>5</v>
      </c>
      <c r="D509" s="5" t="s">
        <v>6</v>
      </c>
      <c r="E509" s="5">
        <v>170</v>
      </c>
    </row>
    <row r="510" spans="2:5" x14ac:dyDescent="0.3">
      <c r="B510" s="1">
        <v>42892</v>
      </c>
      <c r="C510" s="5" t="s">
        <v>5</v>
      </c>
      <c r="D510" s="5" t="s">
        <v>6</v>
      </c>
      <c r="E510" s="5">
        <v>170.4</v>
      </c>
    </row>
    <row r="511" spans="2:5" x14ac:dyDescent="0.3">
      <c r="B511" s="1">
        <v>42891</v>
      </c>
      <c r="C511" s="5" t="s">
        <v>5</v>
      </c>
      <c r="D511" s="5" t="s">
        <v>6</v>
      </c>
      <c r="E511" s="5">
        <v>172.57</v>
      </c>
    </row>
    <row r="512" spans="2:5" x14ac:dyDescent="0.3">
      <c r="B512" s="1">
        <v>42888</v>
      </c>
      <c r="C512" s="5" t="s">
        <v>5</v>
      </c>
      <c r="D512" s="5" t="s">
        <v>6</v>
      </c>
      <c r="E512" s="5">
        <v>165.37</v>
      </c>
    </row>
    <row r="513" spans="2:5" x14ac:dyDescent="0.3">
      <c r="B513" s="1">
        <v>42887</v>
      </c>
      <c r="C513" s="5" t="s">
        <v>5</v>
      </c>
      <c r="D513" s="5" t="s">
        <v>6</v>
      </c>
      <c r="E513" s="5">
        <v>164.58</v>
      </c>
    </row>
    <row r="514" spans="2:5" x14ac:dyDescent="0.3">
      <c r="B514" s="1">
        <v>42886</v>
      </c>
      <c r="C514" s="5" t="s">
        <v>5</v>
      </c>
      <c r="D514" s="5" t="s">
        <v>6</v>
      </c>
      <c r="E514" s="5">
        <v>172.22</v>
      </c>
    </row>
    <row r="515" spans="2:5" x14ac:dyDescent="0.3">
      <c r="B515" s="1">
        <v>42885</v>
      </c>
      <c r="C515" s="5" t="s">
        <v>5</v>
      </c>
      <c r="D515" s="5" t="s">
        <v>6</v>
      </c>
      <c r="E515" s="5">
        <v>168.61</v>
      </c>
    </row>
    <row r="516" spans="2:5" x14ac:dyDescent="0.3">
      <c r="B516" s="1">
        <v>42884</v>
      </c>
      <c r="C516" s="5" t="s">
        <v>5</v>
      </c>
      <c r="D516" s="5" t="s">
        <v>6</v>
      </c>
      <c r="E516" s="5">
        <v>172.12</v>
      </c>
    </row>
    <row r="517" spans="2:5" x14ac:dyDescent="0.3">
      <c r="B517" s="1">
        <v>42881</v>
      </c>
      <c r="C517" s="5" t="s">
        <v>5</v>
      </c>
      <c r="D517" s="5" t="s">
        <v>6</v>
      </c>
      <c r="E517" s="5">
        <v>177.74</v>
      </c>
    </row>
    <row r="518" spans="2:5" x14ac:dyDescent="0.3">
      <c r="B518" s="1">
        <v>42880</v>
      </c>
      <c r="C518" s="5" t="s">
        <v>5</v>
      </c>
      <c r="D518" s="5" t="s">
        <v>6</v>
      </c>
      <c r="E518" s="5">
        <v>175.82</v>
      </c>
    </row>
    <row r="519" spans="2:5" x14ac:dyDescent="0.3">
      <c r="B519" s="1">
        <v>42879</v>
      </c>
      <c r="C519" s="5" t="s">
        <v>5</v>
      </c>
      <c r="D519" s="5" t="s">
        <v>6</v>
      </c>
      <c r="E519" s="5">
        <v>175.03</v>
      </c>
    </row>
    <row r="520" spans="2:5" x14ac:dyDescent="0.3">
      <c r="B520" s="1">
        <v>42878</v>
      </c>
      <c r="C520" s="5" t="s">
        <v>5</v>
      </c>
      <c r="D520" s="5" t="s">
        <v>6</v>
      </c>
      <c r="E520" s="5">
        <v>171.52</v>
      </c>
    </row>
    <row r="521" spans="2:5" x14ac:dyDescent="0.3">
      <c r="B521" s="1">
        <v>42877</v>
      </c>
      <c r="C521" s="5" t="s">
        <v>5</v>
      </c>
      <c r="D521" s="5" t="s">
        <v>6</v>
      </c>
      <c r="E521" s="5">
        <v>169.28</v>
      </c>
    </row>
    <row r="522" spans="2:5" x14ac:dyDescent="0.3">
      <c r="B522" s="1">
        <v>42874</v>
      </c>
      <c r="C522" s="5" t="s">
        <v>5</v>
      </c>
      <c r="D522" s="5" t="s">
        <v>6</v>
      </c>
      <c r="E522" s="5">
        <v>167.4</v>
      </c>
    </row>
    <row r="523" spans="2:5" x14ac:dyDescent="0.3">
      <c r="B523" s="1">
        <v>42873</v>
      </c>
      <c r="C523" s="5" t="s">
        <v>5</v>
      </c>
      <c r="D523" s="5" t="s">
        <v>6</v>
      </c>
      <c r="E523" s="5">
        <v>167.17</v>
      </c>
    </row>
    <row r="524" spans="2:5" x14ac:dyDescent="0.3">
      <c r="B524" s="1">
        <v>42872</v>
      </c>
      <c r="C524" s="5" t="s">
        <v>5</v>
      </c>
      <c r="D524" s="5" t="s">
        <v>6</v>
      </c>
      <c r="E524" s="5">
        <v>170.12</v>
      </c>
    </row>
    <row r="525" spans="2:5" x14ac:dyDescent="0.3">
      <c r="B525" s="1">
        <v>42871</v>
      </c>
      <c r="C525" s="5" t="s">
        <v>5</v>
      </c>
      <c r="D525" s="5" t="s">
        <v>6</v>
      </c>
      <c r="E525" s="5">
        <v>170.08</v>
      </c>
    </row>
    <row r="526" spans="2:5" x14ac:dyDescent="0.3">
      <c r="B526" s="1">
        <v>42870</v>
      </c>
      <c r="C526" s="5" t="s">
        <v>5</v>
      </c>
      <c r="D526" s="5" t="s">
        <v>6</v>
      </c>
      <c r="E526" s="5">
        <v>173.84</v>
      </c>
    </row>
    <row r="527" spans="2:5" x14ac:dyDescent="0.3">
      <c r="B527" s="1">
        <v>42867</v>
      </c>
      <c r="C527" s="5" t="s">
        <v>5</v>
      </c>
      <c r="D527" s="5" t="s">
        <v>6</v>
      </c>
      <c r="E527" s="5">
        <v>172.19</v>
      </c>
    </row>
    <row r="528" spans="2:5" x14ac:dyDescent="0.3">
      <c r="B528" s="1">
        <v>42866</v>
      </c>
      <c r="C528" s="5" t="s">
        <v>5</v>
      </c>
      <c r="D528" s="5" t="s">
        <v>6</v>
      </c>
      <c r="E528" s="5">
        <v>168.27</v>
      </c>
    </row>
    <row r="529" spans="2:5" x14ac:dyDescent="0.3">
      <c r="B529" s="1">
        <v>42865</v>
      </c>
      <c r="C529" s="5" t="s">
        <v>5</v>
      </c>
      <c r="D529" s="5" t="s">
        <v>6</v>
      </c>
      <c r="E529" s="5">
        <v>166.88</v>
      </c>
    </row>
    <row r="530" spans="2:5" x14ac:dyDescent="0.3">
      <c r="B530" s="1">
        <v>42864</v>
      </c>
      <c r="C530" s="5" t="s">
        <v>5</v>
      </c>
      <c r="D530" s="5" t="s">
        <v>6</v>
      </c>
      <c r="E530" s="5">
        <v>169.03</v>
      </c>
    </row>
    <row r="531" spans="2:5" x14ac:dyDescent="0.3">
      <c r="B531" s="1">
        <v>42863</v>
      </c>
      <c r="C531" s="5" t="s">
        <v>5</v>
      </c>
      <c r="D531" s="5" t="s">
        <v>6</v>
      </c>
      <c r="E531" s="5">
        <v>167.24</v>
      </c>
    </row>
    <row r="532" spans="2:5" x14ac:dyDescent="0.3">
      <c r="B532" s="1">
        <v>42860</v>
      </c>
      <c r="C532" s="5" t="s">
        <v>5</v>
      </c>
      <c r="D532" s="5" t="s">
        <v>6</v>
      </c>
      <c r="E532" s="5">
        <v>160.66999999999999</v>
      </c>
    </row>
    <row r="533" spans="2:5" x14ac:dyDescent="0.3">
      <c r="B533" s="1">
        <v>42859</v>
      </c>
      <c r="C533" s="5" t="s">
        <v>5</v>
      </c>
      <c r="D533" s="5" t="s">
        <v>6</v>
      </c>
      <c r="E533" s="5">
        <v>158.08000000000001</v>
      </c>
    </row>
    <row r="534" spans="2:5" x14ac:dyDescent="0.3">
      <c r="B534" s="1">
        <v>42858</v>
      </c>
      <c r="C534" s="5" t="s">
        <v>5</v>
      </c>
      <c r="D534" s="5" t="s">
        <v>6</v>
      </c>
      <c r="E534" s="5">
        <v>150.88</v>
      </c>
    </row>
    <row r="535" spans="2:5" x14ac:dyDescent="0.3">
      <c r="B535" s="1">
        <v>42857</v>
      </c>
      <c r="C535" s="5" t="s">
        <v>5</v>
      </c>
      <c r="D535" s="5" t="s">
        <v>6</v>
      </c>
      <c r="E535" s="5">
        <v>151.03</v>
      </c>
    </row>
    <row r="536" spans="2:5" x14ac:dyDescent="0.3">
      <c r="B536" s="1">
        <v>42853</v>
      </c>
      <c r="C536" s="5" t="s">
        <v>5</v>
      </c>
      <c r="D536" s="5" t="s">
        <v>6</v>
      </c>
      <c r="E536" s="5">
        <v>157.29</v>
      </c>
    </row>
    <row r="537" spans="2:5" x14ac:dyDescent="0.3">
      <c r="B537" s="1">
        <v>42852</v>
      </c>
      <c r="C537" s="5" t="s">
        <v>5</v>
      </c>
      <c r="D537" s="5" t="s">
        <v>6</v>
      </c>
      <c r="E537" s="5">
        <v>161.04</v>
      </c>
    </row>
    <row r="538" spans="2:5" x14ac:dyDescent="0.3">
      <c r="B538" s="1">
        <v>42851</v>
      </c>
      <c r="C538" s="5" t="s">
        <v>5</v>
      </c>
      <c r="D538" s="5" t="s">
        <v>6</v>
      </c>
      <c r="E538" s="5">
        <v>163.21</v>
      </c>
    </row>
    <row r="539" spans="2:5" x14ac:dyDescent="0.3">
      <c r="B539" s="1">
        <v>42850</v>
      </c>
      <c r="C539" s="5" t="s">
        <v>5</v>
      </c>
      <c r="D539" s="5" t="s">
        <v>6</v>
      </c>
      <c r="E539" s="5">
        <v>162.47</v>
      </c>
    </row>
    <row r="540" spans="2:5" x14ac:dyDescent="0.3">
      <c r="B540" s="1">
        <v>42849</v>
      </c>
      <c r="C540" s="5" t="s">
        <v>5</v>
      </c>
      <c r="D540" s="5" t="s">
        <v>6</v>
      </c>
      <c r="E540" s="5">
        <v>163.26</v>
      </c>
    </row>
    <row r="541" spans="2:5" x14ac:dyDescent="0.3">
      <c r="B541" s="1">
        <v>42846</v>
      </c>
      <c r="C541" s="5" t="s">
        <v>5</v>
      </c>
      <c r="D541" s="5" t="s">
        <v>6</v>
      </c>
      <c r="E541" s="5">
        <v>166.73</v>
      </c>
    </row>
    <row r="542" spans="2:5" x14ac:dyDescent="0.3">
      <c r="B542" s="1">
        <v>42845</v>
      </c>
      <c r="C542" s="5" t="s">
        <v>5</v>
      </c>
      <c r="D542" s="5" t="s">
        <v>6</v>
      </c>
      <c r="E542" s="5">
        <v>163.84</v>
      </c>
    </row>
    <row r="543" spans="2:5" x14ac:dyDescent="0.3">
      <c r="B543" s="1">
        <v>42844</v>
      </c>
      <c r="C543" s="5" t="s">
        <v>5</v>
      </c>
      <c r="D543" s="5" t="s">
        <v>6</v>
      </c>
      <c r="E543" s="5">
        <v>156.44999999999999</v>
      </c>
    </row>
    <row r="544" spans="2:5" x14ac:dyDescent="0.3">
      <c r="B544" s="1">
        <v>42843</v>
      </c>
      <c r="C544" s="5" t="s">
        <v>5</v>
      </c>
      <c r="D544" s="5" t="s">
        <v>6</v>
      </c>
      <c r="E544" s="5">
        <v>151.66</v>
      </c>
    </row>
    <row r="545" spans="2:5" x14ac:dyDescent="0.3">
      <c r="B545" s="1">
        <v>42842</v>
      </c>
      <c r="C545" s="5" t="s">
        <v>5</v>
      </c>
      <c r="D545" s="5" t="s">
        <v>6</v>
      </c>
      <c r="E545" s="5">
        <v>151.47</v>
      </c>
    </row>
    <row r="546" spans="2:5" x14ac:dyDescent="0.3">
      <c r="B546" s="1">
        <v>42839</v>
      </c>
      <c r="C546" s="5" t="s">
        <v>5</v>
      </c>
      <c r="D546" s="5" t="s">
        <v>6</v>
      </c>
      <c r="E546" s="5">
        <v>152.58000000000001</v>
      </c>
    </row>
    <row r="547" spans="2:5" x14ac:dyDescent="0.3">
      <c r="B547" s="1">
        <v>42838</v>
      </c>
      <c r="C547" s="5" t="s">
        <v>5</v>
      </c>
      <c r="D547" s="5" t="s">
        <v>6</v>
      </c>
      <c r="E547" s="5">
        <v>158.13</v>
      </c>
    </row>
    <row r="548" spans="2:5" x14ac:dyDescent="0.3">
      <c r="B548" s="1">
        <v>42837</v>
      </c>
      <c r="C548" s="5" t="s">
        <v>5</v>
      </c>
      <c r="D548" s="5" t="s">
        <v>6</v>
      </c>
      <c r="E548" s="5">
        <v>161.65</v>
      </c>
    </row>
    <row r="549" spans="2:5" x14ac:dyDescent="0.3">
      <c r="B549" s="1">
        <v>42836</v>
      </c>
      <c r="C549" s="5" t="s">
        <v>5</v>
      </c>
      <c r="D549" s="5" t="s">
        <v>6</v>
      </c>
      <c r="E549" s="5">
        <v>160.74</v>
      </c>
    </row>
    <row r="550" spans="2:5" x14ac:dyDescent="0.3">
      <c r="B550" s="1">
        <v>42835</v>
      </c>
      <c r="C550" s="5" t="s">
        <v>5</v>
      </c>
      <c r="D550" s="5" t="s">
        <v>6</v>
      </c>
      <c r="E550" s="5">
        <v>161.43</v>
      </c>
    </row>
    <row r="551" spans="2:5" x14ac:dyDescent="0.3">
      <c r="B551" s="1">
        <v>42832</v>
      </c>
      <c r="C551" s="5" t="s">
        <v>5</v>
      </c>
      <c r="D551" s="5" t="s">
        <v>6</v>
      </c>
      <c r="E551" s="5">
        <v>161.99</v>
      </c>
    </row>
    <row r="552" spans="2:5" x14ac:dyDescent="0.3">
      <c r="B552" s="1">
        <v>42831</v>
      </c>
      <c r="C552" s="5" t="s">
        <v>5</v>
      </c>
      <c r="D552" s="5" t="s">
        <v>6</v>
      </c>
      <c r="E552" s="5">
        <v>160.16999999999999</v>
      </c>
    </row>
    <row r="553" spans="2:5" x14ac:dyDescent="0.3">
      <c r="B553" s="1">
        <v>42830</v>
      </c>
      <c r="C553" s="5" t="s">
        <v>5</v>
      </c>
      <c r="D553" s="5" t="s">
        <v>6</v>
      </c>
      <c r="E553" s="5">
        <v>160.91</v>
      </c>
    </row>
    <row r="554" spans="2:5" x14ac:dyDescent="0.3">
      <c r="B554" s="1">
        <v>42829</v>
      </c>
      <c r="C554" s="5" t="s">
        <v>5</v>
      </c>
      <c r="D554" s="5" t="s">
        <v>6</v>
      </c>
      <c r="E554" s="5">
        <v>164</v>
      </c>
    </row>
    <row r="555" spans="2:5" x14ac:dyDescent="0.3">
      <c r="B555" s="1">
        <v>42828</v>
      </c>
      <c r="C555" s="5" t="s">
        <v>5</v>
      </c>
      <c r="D555" s="5" t="s">
        <v>6</v>
      </c>
      <c r="E555" s="5">
        <v>165.08</v>
      </c>
    </row>
    <row r="556" spans="2:5" x14ac:dyDescent="0.3">
      <c r="B556" s="1">
        <v>42825</v>
      </c>
      <c r="C556" s="5" t="s">
        <v>5</v>
      </c>
      <c r="D556" s="5" t="s">
        <v>6</v>
      </c>
      <c r="E556" s="5">
        <v>165.2</v>
      </c>
    </row>
    <row r="557" spans="2:5" x14ac:dyDescent="0.3">
      <c r="B557" s="1">
        <v>42824</v>
      </c>
      <c r="C557" s="5" t="s">
        <v>5</v>
      </c>
      <c r="D557" s="5" t="s">
        <v>6</v>
      </c>
      <c r="E557" s="5">
        <v>163.88</v>
      </c>
    </row>
    <row r="558" spans="2:5" x14ac:dyDescent="0.3">
      <c r="B558" s="1">
        <v>42823</v>
      </c>
      <c r="C558" s="5" t="s">
        <v>5</v>
      </c>
      <c r="D558" s="5" t="s">
        <v>6</v>
      </c>
      <c r="E558" s="5">
        <v>166.39</v>
      </c>
    </row>
    <row r="559" spans="2:5" x14ac:dyDescent="0.3">
      <c r="B559" s="1">
        <v>42822</v>
      </c>
      <c r="C559" s="5" t="s">
        <v>5</v>
      </c>
      <c r="D559" s="5" t="s">
        <v>6</v>
      </c>
      <c r="E559" s="5">
        <v>168.54</v>
      </c>
    </row>
    <row r="560" spans="2:5" x14ac:dyDescent="0.3">
      <c r="B560" s="1">
        <v>42821</v>
      </c>
      <c r="C560" s="5" t="s">
        <v>5</v>
      </c>
      <c r="D560" s="5" t="s">
        <v>6</v>
      </c>
      <c r="E560" s="5">
        <v>171.81</v>
      </c>
    </row>
    <row r="561" spans="2:5" x14ac:dyDescent="0.3">
      <c r="B561" s="1">
        <v>42818</v>
      </c>
      <c r="C561" s="5" t="s">
        <v>5</v>
      </c>
      <c r="D561" s="5" t="s">
        <v>6</v>
      </c>
      <c r="E561" s="5">
        <v>174.8</v>
      </c>
    </row>
    <row r="562" spans="2:5" x14ac:dyDescent="0.3">
      <c r="B562" s="1">
        <v>42816</v>
      </c>
      <c r="C562" s="5" t="s">
        <v>5</v>
      </c>
      <c r="D562" s="5" t="s">
        <v>6</v>
      </c>
      <c r="E562" s="5">
        <v>175.92</v>
      </c>
    </row>
    <row r="563" spans="2:5" x14ac:dyDescent="0.3">
      <c r="B563" s="1">
        <v>42815</v>
      </c>
      <c r="C563" s="5" t="s">
        <v>5</v>
      </c>
      <c r="D563" s="5" t="s">
        <v>6</v>
      </c>
      <c r="E563" s="5">
        <v>175.81</v>
      </c>
    </row>
    <row r="564" spans="2:5" x14ac:dyDescent="0.3">
      <c r="B564" s="1">
        <v>42814</v>
      </c>
      <c r="C564" s="5" t="s">
        <v>5</v>
      </c>
      <c r="D564" s="5" t="s">
        <v>6</v>
      </c>
      <c r="E564" s="5">
        <v>173.68</v>
      </c>
    </row>
    <row r="565" spans="2:5" x14ac:dyDescent="0.3">
      <c r="B565" s="1">
        <v>42811</v>
      </c>
      <c r="C565" s="5" t="s">
        <v>5</v>
      </c>
      <c r="D565" s="5" t="s">
        <v>6</v>
      </c>
      <c r="E565" s="5">
        <v>172.12</v>
      </c>
    </row>
    <row r="566" spans="2:5" x14ac:dyDescent="0.3">
      <c r="B566" s="1">
        <v>42810</v>
      </c>
      <c r="C566" s="5" t="s">
        <v>5</v>
      </c>
      <c r="D566" s="5" t="s">
        <v>6</v>
      </c>
      <c r="E566" s="5">
        <v>171.47</v>
      </c>
    </row>
    <row r="567" spans="2:5" x14ac:dyDescent="0.3">
      <c r="B567" s="1">
        <v>42809</v>
      </c>
      <c r="C567" s="5" t="s">
        <v>5</v>
      </c>
      <c r="D567" s="5" t="s">
        <v>6</v>
      </c>
      <c r="E567" s="5">
        <v>171.19</v>
      </c>
    </row>
    <row r="568" spans="2:5" x14ac:dyDescent="0.3">
      <c r="B568" s="1">
        <v>42808</v>
      </c>
      <c r="C568" s="5" t="s">
        <v>5</v>
      </c>
      <c r="D568" s="5" t="s">
        <v>6</v>
      </c>
      <c r="E568" s="5">
        <v>172.34</v>
      </c>
    </row>
    <row r="569" spans="2:5" x14ac:dyDescent="0.3">
      <c r="B569" s="1">
        <v>42807</v>
      </c>
      <c r="C569" s="5" t="s">
        <v>5</v>
      </c>
      <c r="D569" s="5" t="s">
        <v>6</v>
      </c>
      <c r="E569" s="5">
        <v>170.35</v>
      </c>
    </row>
    <row r="570" spans="2:5" x14ac:dyDescent="0.3">
      <c r="B570" s="1">
        <v>42804</v>
      </c>
      <c r="C570" s="5" t="s">
        <v>5</v>
      </c>
      <c r="D570" s="5" t="s">
        <v>6</v>
      </c>
      <c r="E570" s="5">
        <v>172.82</v>
      </c>
    </row>
    <row r="571" spans="2:5" x14ac:dyDescent="0.3">
      <c r="B571" s="1">
        <v>42803</v>
      </c>
      <c r="C571" s="5" t="s">
        <v>5</v>
      </c>
      <c r="D571" s="5" t="s">
        <v>6</v>
      </c>
      <c r="E571" s="5">
        <v>171.68</v>
      </c>
    </row>
    <row r="572" spans="2:5" x14ac:dyDescent="0.3">
      <c r="B572" s="1">
        <v>42802</v>
      </c>
      <c r="C572" s="5" t="s">
        <v>5</v>
      </c>
      <c r="D572" s="5" t="s">
        <v>6</v>
      </c>
      <c r="E572" s="5">
        <v>173.26</v>
      </c>
    </row>
    <row r="573" spans="2:5" x14ac:dyDescent="0.3">
      <c r="B573" s="1">
        <v>42801</v>
      </c>
      <c r="C573" s="5" t="s">
        <v>5</v>
      </c>
      <c r="D573" s="5" t="s">
        <v>6</v>
      </c>
      <c r="E573" s="5">
        <v>174.27</v>
      </c>
    </row>
    <row r="574" spans="2:5" x14ac:dyDescent="0.3">
      <c r="B574" s="1">
        <v>42800</v>
      </c>
      <c r="C574" s="5" t="s">
        <v>5</v>
      </c>
      <c r="D574" s="5" t="s">
        <v>6</v>
      </c>
      <c r="E574" s="5">
        <v>174.65</v>
      </c>
    </row>
    <row r="575" spans="2:5" x14ac:dyDescent="0.3">
      <c r="B575" s="1">
        <v>42797</v>
      </c>
      <c r="C575" s="5" t="s">
        <v>5</v>
      </c>
      <c r="D575" s="5" t="s">
        <v>6</v>
      </c>
      <c r="E575" s="5">
        <v>179.79</v>
      </c>
    </row>
    <row r="576" spans="2:5" x14ac:dyDescent="0.3">
      <c r="B576" s="1">
        <v>42796</v>
      </c>
      <c r="C576" s="5" t="s">
        <v>5</v>
      </c>
      <c r="D576" s="5" t="s">
        <v>6</v>
      </c>
      <c r="E576" s="5">
        <v>174.83</v>
      </c>
    </row>
    <row r="577" spans="2:5" x14ac:dyDescent="0.3">
      <c r="B577" s="1">
        <v>42795</v>
      </c>
      <c r="C577" s="5" t="s">
        <v>5</v>
      </c>
      <c r="D577" s="5" t="s">
        <v>6</v>
      </c>
      <c r="E577" s="5">
        <v>171.46</v>
      </c>
    </row>
    <row r="578" spans="2:5" x14ac:dyDescent="0.3">
      <c r="B578" s="1">
        <v>42794</v>
      </c>
      <c r="C578" s="5" t="s">
        <v>5</v>
      </c>
      <c r="D578" s="5" t="s">
        <v>6</v>
      </c>
      <c r="E578" s="5">
        <v>170.59</v>
      </c>
    </row>
    <row r="579" spans="2:5" x14ac:dyDescent="0.3">
      <c r="B579" s="1">
        <v>42793</v>
      </c>
      <c r="C579" s="5" t="s">
        <v>5</v>
      </c>
      <c r="D579" s="5" t="s">
        <v>6</v>
      </c>
      <c r="E579" s="5">
        <v>167.74</v>
      </c>
    </row>
    <row r="580" spans="2:5" x14ac:dyDescent="0.3">
      <c r="B580" s="1">
        <v>42790</v>
      </c>
      <c r="C580" s="5" t="s">
        <v>5</v>
      </c>
      <c r="D580" s="5" t="s">
        <v>6</v>
      </c>
      <c r="E580" s="5">
        <v>171.4</v>
      </c>
    </row>
    <row r="581" spans="2:5" x14ac:dyDescent="0.3">
      <c r="B581" s="1">
        <v>42789</v>
      </c>
      <c r="C581" s="5" t="s">
        <v>5</v>
      </c>
      <c r="D581" s="5" t="s">
        <v>6</v>
      </c>
      <c r="E581" s="5">
        <v>167.89</v>
      </c>
    </row>
    <row r="582" spans="2:5" x14ac:dyDescent="0.3">
      <c r="B582" s="1">
        <v>42788</v>
      </c>
      <c r="C582" s="5" t="s">
        <v>5</v>
      </c>
      <c r="D582" s="5" t="s">
        <v>6</v>
      </c>
      <c r="E582" s="5">
        <v>168.35</v>
      </c>
    </row>
    <row r="583" spans="2:5" x14ac:dyDescent="0.3">
      <c r="B583" s="1">
        <v>42787</v>
      </c>
      <c r="C583" s="5" t="s">
        <v>5</v>
      </c>
      <c r="D583" s="5" t="s">
        <v>6</v>
      </c>
      <c r="E583" s="5">
        <v>170.51</v>
      </c>
    </row>
    <row r="584" spans="2:5" x14ac:dyDescent="0.3">
      <c r="B584" s="1">
        <v>42786</v>
      </c>
      <c r="C584" s="5" t="s">
        <v>5</v>
      </c>
      <c r="D584" s="5" t="s">
        <v>6</v>
      </c>
      <c r="E584" s="5">
        <v>171.95</v>
      </c>
    </row>
    <row r="585" spans="2:5" x14ac:dyDescent="0.3">
      <c r="B585" s="1">
        <v>42783</v>
      </c>
      <c r="C585" s="5" t="s">
        <v>5</v>
      </c>
      <c r="D585" s="5" t="s">
        <v>6</v>
      </c>
      <c r="E585" s="5">
        <v>179.86</v>
      </c>
    </row>
    <row r="586" spans="2:5" x14ac:dyDescent="0.3">
      <c r="B586" s="1">
        <v>42782</v>
      </c>
      <c r="C586" s="5" t="s">
        <v>5</v>
      </c>
      <c r="D586" s="5" t="s">
        <v>6</v>
      </c>
      <c r="E586" s="5">
        <v>182.5</v>
      </c>
    </row>
    <row r="587" spans="2:5" x14ac:dyDescent="0.3">
      <c r="B587" s="1">
        <v>42781</v>
      </c>
      <c r="C587" s="5" t="s">
        <v>5</v>
      </c>
      <c r="D587" s="5" t="s">
        <v>6</v>
      </c>
      <c r="E587" s="5">
        <v>182.39</v>
      </c>
    </row>
    <row r="588" spans="2:5" x14ac:dyDescent="0.3">
      <c r="B588" s="1">
        <v>42780</v>
      </c>
      <c r="C588" s="5" t="s">
        <v>5</v>
      </c>
      <c r="D588" s="5" t="s">
        <v>6</v>
      </c>
      <c r="E588" s="5">
        <v>185.63</v>
      </c>
    </row>
    <row r="589" spans="2:5" x14ac:dyDescent="0.3">
      <c r="B589" s="1">
        <v>42779</v>
      </c>
      <c r="C589" s="5" t="s">
        <v>5</v>
      </c>
      <c r="D589" s="5" t="s">
        <v>6</v>
      </c>
      <c r="E589" s="5">
        <v>182.76</v>
      </c>
    </row>
    <row r="590" spans="2:5" x14ac:dyDescent="0.3">
      <c r="B590" s="1">
        <v>42776</v>
      </c>
      <c r="C590" s="5" t="s">
        <v>5</v>
      </c>
      <c r="D590" s="5" t="s">
        <v>6</v>
      </c>
      <c r="E590" s="5">
        <v>182.25</v>
      </c>
    </row>
    <row r="591" spans="2:5" x14ac:dyDescent="0.3">
      <c r="B591" s="1">
        <v>42775</v>
      </c>
      <c r="C591" s="5" t="s">
        <v>5</v>
      </c>
      <c r="D591" s="5" t="s">
        <v>6</v>
      </c>
      <c r="E591" s="5">
        <v>185.58</v>
      </c>
    </row>
    <row r="592" spans="2:5" x14ac:dyDescent="0.3">
      <c r="B592" s="1">
        <v>42774</v>
      </c>
      <c r="C592" s="5" t="s">
        <v>5</v>
      </c>
      <c r="D592" s="5" t="s">
        <v>6</v>
      </c>
      <c r="E592" s="5">
        <v>181.37</v>
      </c>
    </row>
    <row r="593" spans="2:5" x14ac:dyDescent="0.3">
      <c r="B593" s="1">
        <v>42773</v>
      </c>
      <c r="C593" s="5" t="s">
        <v>5</v>
      </c>
      <c r="D593" s="5" t="s">
        <v>6</v>
      </c>
      <c r="E593" s="5">
        <v>172.74</v>
      </c>
    </row>
    <row r="594" spans="2:5" x14ac:dyDescent="0.3">
      <c r="B594" s="1">
        <v>42772</v>
      </c>
      <c r="C594" s="5" t="s">
        <v>5</v>
      </c>
      <c r="D594" s="5" t="s">
        <v>6</v>
      </c>
      <c r="E594" s="5">
        <v>168.1</v>
      </c>
    </row>
    <row r="595" spans="2:5" x14ac:dyDescent="0.3">
      <c r="B595" s="1">
        <v>42769</v>
      </c>
      <c r="C595" s="5" t="s">
        <v>5</v>
      </c>
      <c r="D595" s="5" t="s">
        <v>6</v>
      </c>
      <c r="E595" s="5">
        <v>169.52</v>
      </c>
    </row>
    <row r="596" spans="2:5" x14ac:dyDescent="0.3">
      <c r="B596" s="1">
        <v>42768</v>
      </c>
      <c r="C596" s="5" t="s">
        <v>5</v>
      </c>
      <c r="D596" s="5" t="s">
        <v>6</v>
      </c>
      <c r="E596" s="5">
        <v>166.23</v>
      </c>
    </row>
    <row r="597" spans="2:5" x14ac:dyDescent="0.3">
      <c r="B597" s="1">
        <v>42767</v>
      </c>
      <c r="C597" s="5" t="s">
        <v>5</v>
      </c>
      <c r="D597" s="5" t="s">
        <v>6</v>
      </c>
      <c r="E597" s="5">
        <v>164.43</v>
      </c>
    </row>
    <row r="598" spans="2:5" x14ac:dyDescent="0.3">
      <c r="B598" s="1">
        <v>42766</v>
      </c>
      <c r="C598" s="5" t="s">
        <v>5</v>
      </c>
      <c r="D598" s="5" t="s">
        <v>6</v>
      </c>
      <c r="E598" s="5">
        <v>159.88</v>
      </c>
    </row>
    <row r="599" spans="2:5" x14ac:dyDescent="0.3">
      <c r="B599" s="1">
        <v>42765</v>
      </c>
      <c r="C599" s="5" t="s">
        <v>5</v>
      </c>
      <c r="D599" s="5" t="s">
        <v>6</v>
      </c>
      <c r="E599" s="5">
        <v>162.22999999999999</v>
      </c>
    </row>
    <row r="600" spans="2:5" x14ac:dyDescent="0.3">
      <c r="B600" s="1">
        <v>42762</v>
      </c>
      <c r="C600" s="5" t="s">
        <v>5</v>
      </c>
      <c r="D600" s="5" t="s">
        <v>6</v>
      </c>
      <c r="E600" s="5">
        <v>168.38</v>
      </c>
    </row>
    <row r="601" spans="2:5" x14ac:dyDescent="0.3">
      <c r="B601" s="1">
        <v>42761</v>
      </c>
      <c r="C601" s="5" t="s">
        <v>5</v>
      </c>
      <c r="D601" s="5" t="s">
        <v>6</v>
      </c>
      <c r="E601" s="5">
        <v>172.22</v>
      </c>
    </row>
    <row r="602" spans="2:5" x14ac:dyDescent="0.3">
      <c r="B602" s="1">
        <v>42760</v>
      </c>
      <c r="C602" s="5" t="s">
        <v>5</v>
      </c>
      <c r="D602" s="5" t="s">
        <v>6</v>
      </c>
      <c r="E602" s="5">
        <v>165.39</v>
      </c>
    </row>
    <row r="603" spans="2:5" x14ac:dyDescent="0.3">
      <c r="B603" s="1">
        <v>42759</v>
      </c>
      <c r="C603" s="5" t="s">
        <v>5</v>
      </c>
      <c r="D603" s="5" t="s">
        <v>6</v>
      </c>
      <c r="E603" s="5">
        <v>167.9</v>
      </c>
    </row>
    <row r="604" spans="2:5" x14ac:dyDescent="0.3">
      <c r="B604" s="1">
        <v>42758</v>
      </c>
      <c r="C604" s="5" t="s">
        <v>5</v>
      </c>
      <c r="D604" s="5" t="s">
        <v>6</v>
      </c>
      <c r="E604" s="5">
        <v>174.33</v>
      </c>
    </row>
    <row r="605" spans="2:5" x14ac:dyDescent="0.3">
      <c r="B605" s="1">
        <v>42755</v>
      </c>
      <c r="C605" s="5" t="s">
        <v>5</v>
      </c>
      <c r="D605" s="5" t="s">
        <v>6</v>
      </c>
      <c r="E605" s="5">
        <v>168.87</v>
      </c>
    </row>
    <row r="606" spans="2:5" x14ac:dyDescent="0.3">
      <c r="B606" s="1">
        <v>42754</v>
      </c>
      <c r="C606" s="5" t="s">
        <v>5</v>
      </c>
      <c r="D606" s="5" t="s">
        <v>6</v>
      </c>
      <c r="E606" s="5">
        <v>161.71</v>
      </c>
    </row>
    <row r="607" spans="2:5" x14ac:dyDescent="0.3">
      <c r="B607" s="1">
        <v>42753</v>
      </c>
      <c r="C607" s="5" t="s">
        <v>5</v>
      </c>
      <c r="D607" s="5" t="s">
        <v>6</v>
      </c>
      <c r="E607" s="5">
        <v>154.01</v>
      </c>
    </row>
    <row r="608" spans="2:5" x14ac:dyDescent="0.3">
      <c r="B608" s="1">
        <v>42752</v>
      </c>
      <c r="C608" s="5" t="s">
        <v>5</v>
      </c>
      <c r="D608" s="5" t="s">
        <v>6</v>
      </c>
      <c r="E608" s="5">
        <v>150.51</v>
      </c>
    </row>
    <row r="609" spans="2:5" x14ac:dyDescent="0.3">
      <c r="B609" s="1">
        <v>42751</v>
      </c>
      <c r="C609" s="5" t="s">
        <v>5</v>
      </c>
      <c r="D609" s="5" t="s">
        <v>6</v>
      </c>
      <c r="E609" s="5">
        <v>154.04</v>
      </c>
    </row>
    <row r="610" spans="2:5" x14ac:dyDescent="0.3">
      <c r="B610" s="1">
        <v>42748</v>
      </c>
      <c r="C610" s="5" t="s">
        <v>5</v>
      </c>
      <c r="D610" s="5" t="s">
        <v>6</v>
      </c>
      <c r="E610" s="5">
        <v>155.9</v>
      </c>
    </row>
    <row r="611" spans="2:5" x14ac:dyDescent="0.3">
      <c r="B611" s="1">
        <v>42747</v>
      </c>
      <c r="C611" s="5" t="s">
        <v>5</v>
      </c>
      <c r="D611" s="5" t="s">
        <v>6</v>
      </c>
      <c r="E611" s="5">
        <v>158.76</v>
      </c>
    </row>
    <row r="612" spans="2:5" x14ac:dyDescent="0.3">
      <c r="B612" s="1">
        <v>42746</v>
      </c>
      <c r="C612" s="5" t="s">
        <v>5</v>
      </c>
      <c r="D612" s="5" t="s">
        <v>6</v>
      </c>
      <c r="E612" s="5">
        <v>161.56</v>
      </c>
    </row>
    <row r="613" spans="2:5" x14ac:dyDescent="0.3">
      <c r="B613" s="1">
        <v>42745</v>
      </c>
      <c r="C613" s="5" t="s">
        <v>5</v>
      </c>
      <c r="D613" s="5" t="s">
        <v>6</v>
      </c>
      <c r="E613" s="5">
        <v>162.22999999999999</v>
      </c>
    </row>
    <row r="614" spans="2:5" x14ac:dyDescent="0.3">
      <c r="B614" s="1">
        <v>42744</v>
      </c>
      <c r="C614" s="5" t="s">
        <v>5</v>
      </c>
      <c r="D614" s="5" t="s">
        <v>6</v>
      </c>
      <c r="E614" s="5">
        <v>159.94</v>
      </c>
    </row>
    <row r="615" spans="2:5" x14ac:dyDescent="0.3">
      <c r="B615" s="1">
        <v>42741</v>
      </c>
      <c r="C615" s="5" t="s">
        <v>5</v>
      </c>
      <c r="D615" s="5" t="s">
        <v>6</v>
      </c>
      <c r="E615" s="5">
        <v>161.05000000000001</v>
      </c>
    </row>
    <row r="616" spans="2:5" x14ac:dyDescent="0.3">
      <c r="B616" s="1">
        <v>42740</v>
      </c>
      <c r="C616" s="5" t="s">
        <v>5</v>
      </c>
      <c r="D616" s="5" t="s">
        <v>6</v>
      </c>
      <c r="E616" s="5">
        <v>153.49</v>
      </c>
    </row>
    <row r="617" spans="2:5" x14ac:dyDescent="0.3">
      <c r="B617" s="1">
        <v>42739</v>
      </c>
      <c r="C617" s="5" t="s">
        <v>5</v>
      </c>
      <c r="D617" s="5" t="s">
        <v>6</v>
      </c>
      <c r="E617" s="5">
        <v>152.81</v>
      </c>
    </row>
    <row r="618" spans="2:5" x14ac:dyDescent="0.3">
      <c r="B618" s="1">
        <v>42738</v>
      </c>
      <c r="C618" s="5" t="s">
        <v>5</v>
      </c>
      <c r="D618" s="5" t="s">
        <v>6</v>
      </c>
      <c r="E618" s="5">
        <v>156.56</v>
      </c>
    </row>
    <row r="619" spans="2:5" x14ac:dyDescent="0.3">
      <c r="B619" s="1">
        <v>42737</v>
      </c>
      <c r="C619" s="5" t="s">
        <v>5</v>
      </c>
      <c r="D619" s="5" t="s">
        <v>6</v>
      </c>
      <c r="E619" s="5">
        <v>150.53</v>
      </c>
    </row>
    <row r="620" spans="2:5" x14ac:dyDescent="0.3">
      <c r="B620" s="1">
        <v>42734</v>
      </c>
      <c r="C620" s="5" t="s">
        <v>5</v>
      </c>
      <c r="D620" s="5" t="s">
        <v>6</v>
      </c>
      <c r="E620" s="5">
        <v>152.27000000000001</v>
      </c>
    </row>
    <row r="621" spans="2:5" x14ac:dyDescent="0.3">
      <c r="B621" s="1">
        <v>42733</v>
      </c>
      <c r="C621" s="5" t="s">
        <v>5</v>
      </c>
      <c r="D621" s="5" t="s">
        <v>6</v>
      </c>
      <c r="E621" s="5">
        <v>154.24</v>
      </c>
    </row>
    <row r="622" spans="2:5" x14ac:dyDescent="0.3">
      <c r="B622" s="1">
        <v>42732</v>
      </c>
      <c r="C622" s="5" t="s">
        <v>5</v>
      </c>
      <c r="D622" s="5" t="s">
        <v>6</v>
      </c>
      <c r="E622" s="5">
        <v>151.16999999999999</v>
      </c>
    </row>
    <row r="623" spans="2:5" x14ac:dyDescent="0.3">
      <c r="B623" s="1">
        <v>42731</v>
      </c>
      <c r="C623" s="5" t="s">
        <v>5</v>
      </c>
      <c r="D623" s="5" t="s">
        <v>6</v>
      </c>
      <c r="E623" s="5">
        <v>150.55000000000001</v>
      </c>
    </row>
    <row r="624" spans="2:5" x14ac:dyDescent="0.3">
      <c r="B624" s="1">
        <v>42730</v>
      </c>
      <c r="C624" s="5" t="s">
        <v>5</v>
      </c>
      <c r="D624" s="5" t="s">
        <v>6</v>
      </c>
      <c r="E624" s="5">
        <v>150.94999999999999</v>
      </c>
    </row>
    <row r="625" spans="2:5" x14ac:dyDescent="0.3">
      <c r="B625" s="1">
        <v>42727</v>
      </c>
      <c r="C625" s="5" t="s">
        <v>5</v>
      </c>
      <c r="D625" s="5" t="s">
        <v>6</v>
      </c>
      <c r="E625" s="5">
        <v>151.30000000000001</v>
      </c>
    </row>
    <row r="626" spans="2:5" x14ac:dyDescent="0.3">
      <c r="B626" s="1">
        <v>42726</v>
      </c>
      <c r="C626" s="5" t="s">
        <v>5</v>
      </c>
      <c r="D626" s="5" t="s">
        <v>6</v>
      </c>
      <c r="E626" s="5">
        <v>151.07</v>
      </c>
    </row>
    <row r="627" spans="2:5" x14ac:dyDescent="0.3">
      <c r="B627" s="1">
        <v>42725</v>
      </c>
      <c r="C627" s="5" t="s">
        <v>5</v>
      </c>
      <c r="D627" s="5" t="s">
        <v>6</v>
      </c>
      <c r="E627" s="5">
        <v>152.41999999999999</v>
      </c>
    </row>
    <row r="628" spans="2:5" x14ac:dyDescent="0.3">
      <c r="B628" s="1">
        <v>42724</v>
      </c>
      <c r="C628" s="5" t="s">
        <v>5</v>
      </c>
      <c r="D628" s="5" t="s">
        <v>6</v>
      </c>
      <c r="E628" s="5">
        <v>152.30000000000001</v>
      </c>
    </row>
    <row r="629" spans="2:5" x14ac:dyDescent="0.3">
      <c r="B629" s="1">
        <v>42723</v>
      </c>
      <c r="C629" s="5" t="s">
        <v>5</v>
      </c>
      <c r="D629" s="5" t="s">
        <v>6</v>
      </c>
      <c r="E629" s="5">
        <v>149.78</v>
      </c>
    </row>
    <row r="630" spans="2:5" x14ac:dyDescent="0.3">
      <c r="B630" s="1">
        <v>42720</v>
      </c>
      <c r="C630" s="5" t="s">
        <v>5</v>
      </c>
      <c r="D630" s="5" t="s">
        <v>6</v>
      </c>
      <c r="E630" s="5">
        <v>151.01</v>
      </c>
    </row>
    <row r="631" spans="2:5" x14ac:dyDescent="0.3">
      <c r="B631" s="1">
        <v>42719</v>
      </c>
      <c r="C631" s="5" t="s">
        <v>5</v>
      </c>
      <c r="D631" s="5" t="s">
        <v>6</v>
      </c>
      <c r="E631" s="5">
        <v>155.82</v>
      </c>
    </row>
    <row r="632" spans="2:5" x14ac:dyDescent="0.3">
      <c r="B632" s="1">
        <v>42718</v>
      </c>
      <c r="C632" s="5" t="s">
        <v>5</v>
      </c>
      <c r="D632" s="5" t="s">
        <v>6</v>
      </c>
      <c r="E632" s="5">
        <v>148.4</v>
      </c>
    </row>
    <row r="633" spans="2:5" x14ac:dyDescent="0.3">
      <c r="B633" s="1">
        <v>42717</v>
      </c>
      <c r="C633" s="5" t="s">
        <v>5</v>
      </c>
      <c r="D633" s="5" t="s">
        <v>6</v>
      </c>
      <c r="E633" s="5">
        <v>148.5</v>
      </c>
    </row>
    <row r="634" spans="2:5" x14ac:dyDescent="0.3">
      <c r="B634" s="1">
        <v>42713</v>
      </c>
      <c r="C634" s="5" t="s">
        <v>5</v>
      </c>
      <c r="D634" s="5" t="s">
        <v>6</v>
      </c>
      <c r="E634" s="5">
        <v>148.19999999999999</v>
      </c>
    </row>
    <row r="635" spans="2:5" x14ac:dyDescent="0.3">
      <c r="B635" s="1">
        <v>42712</v>
      </c>
      <c r="C635" s="5" t="s">
        <v>5</v>
      </c>
      <c r="D635" s="5" t="s">
        <v>6</v>
      </c>
      <c r="E635" s="5">
        <v>145.59</v>
      </c>
    </row>
    <row r="636" spans="2:5" x14ac:dyDescent="0.3">
      <c r="B636" s="1">
        <v>42711</v>
      </c>
      <c r="C636" s="5" t="s">
        <v>5</v>
      </c>
      <c r="D636" s="5" t="s">
        <v>6</v>
      </c>
      <c r="E636" s="5">
        <v>147.25</v>
      </c>
    </row>
    <row r="637" spans="2:5" x14ac:dyDescent="0.3">
      <c r="B637" s="1">
        <v>42710</v>
      </c>
      <c r="C637" s="5" t="s">
        <v>5</v>
      </c>
      <c r="D637" s="5" t="s">
        <v>6</v>
      </c>
      <c r="E637" s="5">
        <v>147.13999999999999</v>
      </c>
    </row>
    <row r="638" spans="2:5" x14ac:dyDescent="0.3">
      <c r="B638" s="1">
        <v>42709</v>
      </c>
      <c r="C638" s="5" t="s">
        <v>5</v>
      </c>
      <c r="D638" s="5" t="s">
        <v>6</v>
      </c>
      <c r="E638" s="5">
        <v>148.4</v>
      </c>
    </row>
    <row r="639" spans="2:5" x14ac:dyDescent="0.3">
      <c r="B639" s="1">
        <v>42706</v>
      </c>
      <c r="C639" s="5" t="s">
        <v>5</v>
      </c>
      <c r="D639" s="5" t="s">
        <v>6</v>
      </c>
      <c r="E639" s="5">
        <v>147.41999999999999</v>
      </c>
    </row>
    <row r="640" spans="2:5" x14ac:dyDescent="0.3">
      <c r="B640" s="1">
        <v>42705</v>
      </c>
      <c r="C640" s="5" t="s">
        <v>5</v>
      </c>
      <c r="D640" s="5" t="s">
        <v>6</v>
      </c>
      <c r="E640" s="5">
        <v>147.84</v>
      </c>
    </row>
    <row r="641" spans="2:5" x14ac:dyDescent="0.3">
      <c r="B641" s="1">
        <v>42704</v>
      </c>
      <c r="C641" s="5" t="s">
        <v>5</v>
      </c>
      <c r="D641" s="5" t="s">
        <v>6</v>
      </c>
      <c r="E641" s="5">
        <v>143.28</v>
      </c>
    </row>
    <row r="642" spans="2:5" x14ac:dyDescent="0.3">
      <c r="B642" s="1">
        <v>42703</v>
      </c>
      <c r="C642" s="5" t="s">
        <v>5</v>
      </c>
      <c r="D642" s="5" t="s">
        <v>6</v>
      </c>
      <c r="E642" s="5">
        <v>150.13</v>
      </c>
    </row>
    <row r="643" spans="2:5" x14ac:dyDescent="0.3">
      <c r="B643" s="1">
        <v>42702</v>
      </c>
      <c r="C643" s="5" t="s">
        <v>5</v>
      </c>
      <c r="D643" s="5" t="s">
        <v>6</v>
      </c>
      <c r="E643" s="5">
        <v>157.87</v>
      </c>
    </row>
    <row r="644" spans="2:5" x14ac:dyDescent="0.3">
      <c r="B644" s="1">
        <v>42699</v>
      </c>
      <c r="C644" s="5" t="s">
        <v>5</v>
      </c>
      <c r="D644" s="5" t="s">
        <v>6</v>
      </c>
      <c r="E644" s="5">
        <v>156.69999999999999</v>
      </c>
    </row>
    <row r="645" spans="2:5" x14ac:dyDescent="0.3">
      <c r="B645" s="1">
        <v>42698</v>
      </c>
      <c r="C645" s="5" t="s">
        <v>5</v>
      </c>
      <c r="D645" s="5" t="s">
        <v>6</v>
      </c>
      <c r="E645" s="5">
        <v>153.18</v>
      </c>
    </row>
    <row r="646" spans="2:5" x14ac:dyDescent="0.3">
      <c r="B646" s="1">
        <v>42697</v>
      </c>
      <c r="C646" s="5" t="s">
        <v>5</v>
      </c>
      <c r="D646" s="5" t="s">
        <v>6</v>
      </c>
      <c r="E646" s="5">
        <v>151.47999999999999</v>
      </c>
    </row>
    <row r="647" spans="2:5" x14ac:dyDescent="0.3">
      <c r="B647" s="1">
        <v>42696</v>
      </c>
      <c r="C647" s="5" t="s">
        <v>5</v>
      </c>
      <c r="D647" s="5" t="s">
        <v>6</v>
      </c>
      <c r="E647" s="5">
        <v>148.78</v>
      </c>
    </row>
    <row r="648" spans="2:5" x14ac:dyDescent="0.3">
      <c r="B648" s="1">
        <v>42695</v>
      </c>
      <c r="C648" s="5" t="s">
        <v>5</v>
      </c>
      <c r="D648" s="5" t="s">
        <v>6</v>
      </c>
      <c r="E648" s="5">
        <v>147.43</v>
      </c>
    </row>
    <row r="649" spans="2:5" x14ac:dyDescent="0.3">
      <c r="B649" s="1">
        <v>42692</v>
      </c>
      <c r="C649" s="5" t="s">
        <v>5</v>
      </c>
      <c r="D649" s="5" t="s">
        <v>6</v>
      </c>
      <c r="E649" s="5">
        <v>144.59</v>
      </c>
    </row>
    <row r="650" spans="2:5" x14ac:dyDescent="0.3">
      <c r="B650" s="1">
        <v>42691</v>
      </c>
      <c r="C650" s="5" t="s">
        <v>5</v>
      </c>
      <c r="D650" s="5" t="s">
        <v>6</v>
      </c>
      <c r="E650" s="5">
        <v>145.16999999999999</v>
      </c>
    </row>
    <row r="651" spans="2:5" x14ac:dyDescent="0.3">
      <c r="B651" s="1">
        <v>42690</v>
      </c>
      <c r="C651" s="5" t="s">
        <v>5</v>
      </c>
      <c r="D651" s="5" t="s">
        <v>6</v>
      </c>
      <c r="E651" s="5">
        <v>147.87</v>
      </c>
    </row>
    <row r="652" spans="2:5" x14ac:dyDescent="0.3">
      <c r="B652" s="1">
        <v>42689</v>
      </c>
      <c r="C652" s="5" t="s">
        <v>5</v>
      </c>
      <c r="D652" s="5" t="s">
        <v>6</v>
      </c>
      <c r="E652" s="5">
        <v>147.38</v>
      </c>
    </row>
    <row r="653" spans="2:5" x14ac:dyDescent="0.3">
      <c r="B653" s="1">
        <v>42688</v>
      </c>
      <c r="C653" s="5" t="s">
        <v>5</v>
      </c>
      <c r="D653" s="5" t="s">
        <v>6</v>
      </c>
      <c r="E653" s="5">
        <v>146.96</v>
      </c>
    </row>
    <row r="654" spans="2:5" x14ac:dyDescent="0.3">
      <c r="B654" s="1">
        <v>42685</v>
      </c>
      <c r="C654" s="5" t="s">
        <v>5</v>
      </c>
      <c r="D654" s="5" t="s">
        <v>6</v>
      </c>
      <c r="E654" s="5">
        <v>148.46</v>
      </c>
    </row>
    <row r="655" spans="2:5" x14ac:dyDescent="0.3">
      <c r="B655" s="1">
        <v>42684</v>
      </c>
      <c r="C655" s="5" t="s">
        <v>5</v>
      </c>
      <c r="D655" s="5" t="s">
        <v>6</v>
      </c>
      <c r="E655" s="5">
        <v>148.49</v>
      </c>
    </row>
    <row r="656" spans="2:5" x14ac:dyDescent="0.3">
      <c r="B656" s="1">
        <v>42683</v>
      </c>
      <c r="C656" s="5" t="s">
        <v>5</v>
      </c>
      <c r="D656" s="5" t="s">
        <v>6</v>
      </c>
      <c r="E656" s="5">
        <v>145.72999999999999</v>
      </c>
    </row>
    <row r="657" spans="2:5" x14ac:dyDescent="0.3">
      <c r="B657" s="1">
        <v>42682</v>
      </c>
      <c r="C657" s="5" t="s">
        <v>5</v>
      </c>
      <c r="D657" s="5" t="s">
        <v>6</v>
      </c>
      <c r="E657" s="5">
        <v>148.12</v>
      </c>
    </row>
    <row r="658" spans="2:5" x14ac:dyDescent="0.3">
      <c r="B658" s="1">
        <v>42681</v>
      </c>
      <c r="C658" s="5" t="s">
        <v>5</v>
      </c>
      <c r="D658" s="5" t="s">
        <v>6</v>
      </c>
      <c r="E658" s="5">
        <v>148.75</v>
      </c>
    </row>
    <row r="659" spans="2:5" x14ac:dyDescent="0.3">
      <c r="B659" s="1">
        <v>42678</v>
      </c>
      <c r="C659" s="5" t="s">
        <v>5</v>
      </c>
      <c r="D659" s="5" t="s">
        <v>6</v>
      </c>
      <c r="E659" s="5">
        <v>146.86000000000001</v>
      </c>
    </row>
    <row r="660" spans="2:5" x14ac:dyDescent="0.3">
      <c r="B660" s="1">
        <v>42677</v>
      </c>
      <c r="C660" s="5" t="s">
        <v>5</v>
      </c>
      <c r="D660" s="5" t="s">
        <v>6</v>
      </c>
      <c r="E660" s="5">
        <v>147.47</v>
      </c>
    </row>
    <row r="661" spans="2:5" x14ac:dyDescent="0.3">
      <c r="B661" s="1">
        <v>42676</v>
      </c>
      <c r="C661" s="5" t="s">
        <v>5</v>
      </c>
      <c r="D661" s="5" t="s">
        <v>6</v>
      </c>
      <c r="E661" s="5">
        <v>151.12</v>
      </c>
    </row>
    <row r="662" spans="2:5" x14ac:dyDescent="0.3">
      <c r="B662" s="1">
        <v>42675</v>
      </c>
      <c r="C662" s="5" t="s">
        <v>5</v>
      </c>
      <c r="D662" s="5" t="s">
        <v>6</v>
      </c>
      <c r="E662" s="5">
        <v>145.05000000000001</v>
      </c>
    </row>
    <row r="663" spans="2:5" x14ac:dyDescent="0.3">
      <c r="B663" s="1">
        <v>42674</v>
      </c>
      <c r="C663" s="5" t="s">
        <v>5</v>
      </c>
      <c r="D663" s="5" t="s">
        <v>6</v>
      </c>
      <c r="E663" s="5">
        <v>138.15</v>
      </c>
    </row>
    <row r="664" spans="2:5" x14ac:dyDescent="0.3">
      <c r="B664" s="1">
        <v>42671</v>
      </c>
      <c r="C664" s="5" t="s">
        <v>5</v>
      </c>
      <c r="D664" s="5" t="s">
        <v>6</v>
      </c>
      <c r="E664" s="5">
        <v>136.97999999999999</v>
      </c>
    </row>
    <row r="665" spans="2:5" x14ac:dyDescent="0.3">
      <c r="B665" s="1">
        <v>42670</v>
      </c>
      <c r="C665" s="5" t="s">
        <v>5</v>
      </c>
      <c r="D665" s="5" t="s">
        <v>6</v>
      </c>
      <c r="E665" s="5">
        <v>136.41</v>
      </c>
    </row>
    <row r="666" spans="2:5" x14ac:dyDescent="0.3">
      <c r="B666" s="1">
        <v>42669</v>
      </c>
      <c r="C666" s="5" t="s">
        <v>5</v>
      </c>
      <c r="D666" s="5" t="s">
        <v>6</v>
      </c>
      <c r="E666" s="5">
        <v>138.1</v>
      </c>
    </row>
    <row r="667" spans="2:5" x14ac:dyDescent="0.3">
      <c r="B667" s="1">
        <v>42668</v>
      </c>
      <c r="C667" s="5" t="s">
        <v>5</v>
      </c>
      <c r="D667" s="5" t="s">
        <v>6</v>
      </c>
      <c r="E667" s="5">
        <v>140.06</v>
      </c>
    </row>
    <row r="668" spans="2:5" x14ac:dyDescent="0.3">
      <c r="B668" s="1">
        <v>42667</v>
      </c>
      <c r="C668" s="5" t="s">
        <v>5</v>
      </c>
      <c r="D668" s="5" t="s">
        <v>6</v>
      </c>
      <c r="E668" s="5">
        <v>141.19999999999999</v>
      </c>
    </row>
    <row r="669" spans="2:5" x14ac:dyDescent="0.3">
      <c r="B669" s="1">
        <v>42664</v>
      </c>
      <c r="C669" s="5" t="s">
        <v>5</v>
      </c>
      <c r="D669" s="5" t="s">
        <v>6</v>
      </c>
      <c r="E669" s="5">
        <v>144.86000000000001</v>
      </c>
    </row>
    <row r="670" spans="2:5" x14ac:dyDescent="0.3">
      <c r="B670" s="1">
        <v>42663</v>
      </c>
      <c r="C670" s="5" t="s">
        <v>5</v>
      </c>
      <c r="D670" s="5" t="s">
        <v>6</v>
      </c>
      <c r="E670" s="5">
        <v>146.49</v>
      </c>
    </row>
    <row r="671" spans="2:5" x14ac:dyDescent="0.3">
      <c r="B671" s="1">
        <v>42662</v>
      </c>
      <c r="C671" s="5" t="s">
        <v>5</v>
      </c>
      <c r="D671" s="5" t="s">
        <v>6</v>
      </c>
      <c r="E671" s="5">
        <v>142.09</v>
      </c>
    </row>
    <row r="672" spans="2:5" x14ac:dyDescent="0.3">
      <c r="B672" s="1">
        <v>42661</v>
      </c>
      <c r="C672" s="5" t="s">
        <v>5</v>
      </c>
      <c r="D672" s="5" t="s">
        <v>6</v>
      </c>
      <c r="E672" s="5">
        <v>140.97999999999999</v>
      </c>
    </row>
    <row r="673" spans="2:5" x14ac:dyDescent="0.3">
      <c r="B673" s="1">
        <v>42660</v>
      </c>
      <c r="C673" s="5" t="s">
        <v>5</v>
      </c>
      <c r="D673" s="5" t="s">
        <v>6</v>
      </c>
      <c r="E673" s="5">
        <v>140.01</v>
      </c>
    </row>
    <row r="674" spans="2:5" x14ac:dyDescent="0.3">
      <c r="B674" s="1">
        <v>42657</v>
      </c>
      <c r="C674" s="5" t="s">
        <v>5</v>
      </c>
      <c r="D674" s="5" t="s">
        <v>6</v>
      </c>
      <c r="E674" s="5">
        <v>140.03</v>
      </c>
    </row>
    <row r="675" spans="2:5" x14ac:dyDescent="0.3">
      <c r="B675" s="1">
        <v>42656</v>
      </c>
      <c r="C675" s="5" t="s">
        <v>5</v>
      </c>
      <c r="D675" s="5" t="s">
        <v>6</v>
      </c>
      <c r="E675" s="5">
        <v>139.16999999999999</v>
      </c>
    </row>
    <row r="676" spans="2:5" x14ac:dyDescent="0.3">
      <c r="B676" s="1">
        <v>42653</v>
      </c>
      <c r="C676" s="5" t="s">
        <v>5</v>
      </c>
      <c r="D676" s="5" t="s">
        <v>6</v>
      </c>
      <c r="E676" s="5">
        <v>142.21</v>
      </c>
    </row>
    <row r="677" spans="2:5" x14ac:dyDescent="0.3">
      <c r="B677" s="1">
        <v>42650</v>
      </c>
      <c r="C677" s="5" t="s">
        <v>5</v>
      </c>
      <c r="D677" s="5" t="s">
        <v>6</v>
      </c>
      <c r="E677" s="5">
        <v>136.91999999999999</v>
      </c>
    </row>
    <row r="678" spans="2:5" x14ac:dyDescent="0.3">
      <c r="B678" s="1">
        <v>42649</v>
      </c>
      <c r="C678" s="5" t="s">
        <v>5</v>
      </c>
      <c r="D678" s="5" t="s">
        <v>6</v>
      </c>
      <c r="E678" s="5">
        <v>138.1</v>
      </c>
    </row>
    <row r="679" spans="2:5" x14ac:dyDescent="0.3">
      <c r="B679" s="1">
        <v>42648</v>
      </c>
      <c r="C679" s="5" t="s">
        <v>5</v>
      </c>
      <c r="D679" s="5" t="s">
        <v>6</v>
      </c>
      <c r="E679" s="5">
        <v>140.07</v>
      </c>
    </row>
    <row r="680" spans="2:5" x14ac:dyDescent="0.3">
      <c r="B680" s="1">
        <v>42647</v>
      </c>
      <c r="C680" s="5" t="s">
        <v>5</v>
      </c>
      <c r="D680" s="5" t="s">
        <v>6</v>
      </c>
      <c r="E680" s="5">
        <v>140.29</v>
      </c>
    </row>
    <row r="681" spans="2:5" x14ac:dyDescent="0.3">
      <c r="B681" s="1">
        <v>42646</v>
      </c>
      <c r="C681" s="5" t="s">
        <v>5</v>
      </c>
      <c r="D681" s="5" t="s">
        <v>6</v>
      </c>
      <c r="E681" s="5">
        <v>139.57</v>
      </c>
    </row>
    <row r="682" spans="2:5" x14ac:dyDescent="0.3">
      <c r="B682" s="1">
        <v>42643</v>
      </c>
      <c r="C682" s="5" t="s">
        <v>5</v>
      </c>
      <c r="D682" s="5" t="s">
        <v>6</v>
      </c>
      <c r="E682" s="5">
        <v>140.9</v>
      </c>
    </row>
    <row r="683" spans="2:5" x14ac:dyDescent="0.3">
      <c r="B683" s="1">
        <v>42642</v>
      </c>
      <c r="C683" s="5" t="s">
        <v>5</v>
      </c>
      <c r="D683" s="5" t="s">
        <v>6</v>
      </c>
      <c r="E683" s="5">
        <v>135.19999999999999</v>
      </c>
    </row>
    <row r="684" spans="2:5" x14ac:dyDescent="0.3">
      <c r="B684" s="1">
        <v>42641</v>
      </c>
      <c r="C684" s="5" t="s">
        <v>5</v>
      </c>
      <c r="D684" s="5" t="s">
        <v>6</v>
      </c>
      <c r="E684" s="5">
        <v>136.32</v>
      </c>
    </row>
    <row r="685" spans="2:5" x14ac:dyDescent="0.3">
      <c r="B685" s="1">
        <v>42640</v>
      </c>
      <c r="C685" s="5" t="s">
        <v>5</v>
      </c>
      <c r="D685" s="5" t="s">
        <v>6</v>
      </c>
      <c r="E685" s="5">
        <v>135.18</v>
      </c>
    </row>
    <row r="686" spans="2:5" x14ac:dyDescent="0.3">
      <c r="B686" s="1">
        <v>42639</v>
      </c>
      <c r="C686" s="5" t="s">
        <v>5</v>
      </c>
      <c r="D686" s="5" t="s">
        <v>6</v>
      </c>
      <c r="E686" s="5">
        <v>134.72</v>
      </c>
    </row>
    <row r="687" spans="2:5" x14ac:dyDescent="0.3">
      <c r="B687" s="1">
        <v>42636</v>
      </c>
      <c r="C687" s="5" t="s">
        <v>5</v>
      </c>
      <c r="D687" s="5" t="s">
        <v>6</v>
      </c>
      <c r="E687" s="5">
        <v>128.31</v>
      </c>
    </row>
    <row r="688" spans="2:5" x14ac:dyDescent="0.3">
      <c r="B688" s="1">
        <v>42635</v>
      </c>
      <c r="C688" s="5" t="s">
        <v>5</v>
      </c>
      <c r="D688" s="5" t="s">
        <v>6</v>
      </c>
      <c r="E688" s="5">
        <v>132.94</v>
      </c>
    </row>
    <row r="689" spans="2:5" x14ac:dyDescent="0.3">
      <c r="B689" s="1">
        <v>42634</v>
      </c>
      <c r="C689" s="5" t="s">
        <v>5</v>
      </c>
      <c r="D689" s="5" t="s">
        <v>6</v>
      </c>
      <c r="E689" s="5">
        <v>129.66999999999999</v>
      </c>
    </row>
    <row r="690" spans="2:5" x14ac:dyDescent="0.3">
      <c r="B690" s="1">
        <v>42633</v>
      </c>
      <c r="C690" s="5" t="s">
        <v>5</v>
      </c>
      <c r="D690" s="5" t="s">
        <v>6</v>
      </c>
      <c r="E690" s="5">
        <v>129.49</v>
      </c>
    </row>
    <row r="691" spans="2:5" x14ac:dyDescent="0.3">
      <c r="B691" s="1">
        <v>42632</v>
      </c>
      <c r="C691" s="5" t="s">
        <v>5</v>
      </c>
      <c r="D691" s="5" t="s">
        <v>6</v>
      </c>
      <c r="E691" s="5">
        <v>130.46</v>
      </c>
    </row>
    <row r="692" spans="2:5" x14ac:dyDescent="0.3">
      <c r="B692" s="1">
        <v>42629</v>
      </c>
      <c r="C692" s="5" t="s">
        <v>5</v>
      </c>
      <c r="D692" s="5" t="s">
        <v>6</v>
      </c>
      <c r="E692" s="5">
        <v>131.02000000000001</v>
      </c>
    </row>
    <row r="693" spans="2:5" x14ac:dyDescent="0.3">
      <c r="B693" s="1">
        <v>42628</v>
      </c>
      <c r="C693" s="5" t="s">
        <v>5</v>
      </c>
      <c r="D693" s="5" t="s">
        <v>6</v>
      </c>
      <c r="E693" s="5">
        <v>131.08000000000001</v>
      </c>
    </row>
    <row r="694" spans="2:5" x14ac:dyDescent="0.3">
      <c r="B694" s="1">
        <v>42622</v>
      </c>
      <c r="C694" s="5" t="s">
        <v>5</v>
      </c>
      <c r="D694" s="5" t="s">
        <v>6</v>
      </c>
      <c r="E694" s="5">
        <v>132.36000000000001</v>
      </c>
    </row>
    <row r="695" spans="2:5" x14ac:dyDescent="0.3">
      <c r="B695" s="1">
        <v>42621</v>
      </c>
      <c r="C695" s="5" t="s">
        <v>5</v>
      </c>
      <c r="D695" s="5" t="s">
        <v>6</v>
      </c>
      <c r="E695" s="5">
        <v>127.92</v>
      </c>
    </row>
    <row r="696" spans="2:5" x14ac:dyDescent="0.3">
      <c r="B696" s="1">
        <v>42620</v>
      </c>
      <c r="C696" s="5" t="s">
        <v>5</v>
      </c>
      <c r="D696" s="5" t="s">
        <v>6</v>
      </c>
      <c r="E696" s="5">
        <v>126.29</v>
      </c>
    </row>
    <row r="697" spans="2:5" x14ac:dyDescent="0.3">
      <c r="B697" s="1">
        <v>42619</v>
      </c>
      <c r="C697" s="5" t="s">
        <v>5</v>
      </c>
      <c r="D697" s="5" t="s">
        <v>6</v>
      </c>
      <c r="E697" s="5">
        <v>124.03</v>
      </c>
    </row>
    <row r="698" spans="2:5" x14ac:dyDescent="0.3">
      <c r="B698" s="1">
        <v>42618</v>
      </c>
      <c r="C698" s="5" t="s">
        <v>5</v>
      </c>
      <c r="D698" s="5" t="s">
        <v>6</v>
      </c>
      <c r="E698" s="5">
        <v>122.5</v>
      </c>
    </row>
    <row r="699" spans="2:5" x14ac:dyDescent="0.3">
      <c r="B699" s="1">
        <v>42615</v>
      </c>
      <c r="C699" s="5" t="s">
        <v>5</v>
      </c>
      <c r="D699" s="5" t="s">
        <v>6</v>
      </c>
      <c r="E699" s="5">
        <v>122.27</v>
      </c>
    </row>
    <row r="700" spans="2:5" x14ac:dyDescent="0.3">
      <c r="B700" s="1">
        <v>42614</v>
      </c>
      <c r="C700" s="5" t="s">
        <v>5</v>
      </c>
      <c r="D700" s="5" t="s">
        <v>6</v>
      </c>
      <c r="E700" s="5">
        <v>123.54</v>
      </c>
    </row>
    <row r="701" spans="2:5" x14ac:dyDescent="0.3">
      <c r="B701" s="1">
        <v>42613</v>
      </c>
      <c r="C701" s="5" t="s">
        <v>5</v>
      </c>
      <c r="D701" s="5" t="s">
        <v>6</v>
      </c>
      <c r="E701" s="5">
        <v>125.52</v>
      </c>
    </row>
    <row r="702" spans="2:5" x14ac:dyDescent="0.3">
      <c r="B702" s="1">
        <v>42612</v>
      </c>
      <c r="C702" s="5" t="s">
        <v>5</v>
      </c>
      <c r="D702" s="5" t="s">
        <v>6</v>
      </c>
      <c r="E702" s="5">
        <v>126.5</v>
      </c>
    </row>
    <row r="703" spans="2:5" x14ac:dyDescent="0.3">
      <c r="B703" s="1">
        <v>42611</v>
      </c>
      <c r="C703" s="5" t="s">
        <v>5</v>
      </c>
      <c r="D703" s="5" t="s">
        <v>6</v>
      </c>
      <c r="E703" s="5">
        <v>126.41</v>
      </c>
    </row>
    <row r="704" spans="2:5" x14ac:dyDescent="0.3">
      <c r="B704" s="1">
        <v>42608</v>
      </c>
      <c r="C704" s="5" t="s">
        <v>5</v>
      </c>
      <c r="D704" s="5" t="s">
        <v>6</v>
      </c>
      <c r="E704" s="5">
        <v>126.42</v>
      </c>
    </row>
    <row r="705" spans="2:5" x14ac:dyDescent="0.3">
      <c r="B705" s="1">
        <v>42607</v>
      </c>
      <c r="C705" s="5" t="s">
        <v>5</v>
      </c>
      <c r="D705" s="5" t="s">
        <v>6</v>
      </c>
      <c r="E705" s="5">
        <v>126.93</v>
      </c>
    </row>
    <row r="706" spans="2:5" x14ac:dyDescent="0.3">
      <c r="B706" s="1">
        <v>42606</v>
      </c>
      <c r="C706" s="5" t="s">
        <v>5</v>
      </c>
      <c r="D706" s="5" t="s">
        <v>6</v>
      </c>
      <c r="E706" s="5">
        <v>124.1</v>
      </c>
    </row>
    <row r="707" spans="2:5" x14ac:dyDescent="0.3">
      <c r="B707" s="1">
        <v>42605</v>
      </c>
      <c r="C707" s="5" t="s">
        <v>5</v>
      </c>
      <c r="D707" s="5" t="s">
        <v>6</v>
      </c>
      <c r="E707" s="5">
        <v>123.27</v>
      </c>
    </row>
    <row r="708" spans="2:5" x14ac:dyDescent="0.3">
      <c r="B708" s="1">
        <v>42604</v>
      </c>
      <c r="C708" s="5" t="s">
        <v>5</v>
      </c>
      <c r="D708" s="5" t="s">
        <v>6</v>
      </c>
      <c r="E708" s="5">
        <v>123</v>
      </c>
    </row>
    <row r="709" spans="2:5" x14ac:dyDescent="0.3">
      <c r="B709" s="1">
        <v>42601</v>
      </c>
      <c r="C709" s="5" t="s">
        <v>5</v>
      </c>
      <c r="D709" s="5" t="s">
        <v>6</v>
      </c>
      <c r="E709" s="5">
        <v>123.4</v>
      </c>
    </row>
    <row r="710" spans="2:5" x14ac:dyDescent="0.3">
      <c r="B710" s="1">
        <v>42600</v>
      </c>
      <c r="C710" s="5" t="s">
        <v>5</v>
      </c>
      <c r="D710" s="5" t="s">
        <v>6</v>
      </c>
      <c r="E710" s="5">
        <v>123.38</v>
      </c>
    </row>
    <row r="711" spans="2:5" x14ac:dyDescent="0.3">
      <c r="B711" s="1">
        <v>42599</v>
      </c>
      <c r="C711" s="5" t="s">
        <v>5</v>
      </c>
      <c r="D711" s="5" t="s">
        <v>6</v>
      </c>
      <c r="E711" s="5">
        <v>123.17</v>
      </c>
    </row>
    <row r="712" spans="2:5" x14ac:dyDescent="0.3">
      <c r="B712" s="1">
        <v>42598</v>
      </c>
      <c r="C712" s="5" t="s">
        <v>5</v>
      </c>
      <c r="D712" s="5" t="s">
        <v>6</v>
      </c>
      <c r="E712" s="5">
        <v>121.47</v>
      </c>
    </row>
    <row r="713" spans="2:5" x14ac:dyDescent="0.3">
      <c r="B713" s="1">
        <v>42597</v>
      </c>
      <c r="C713" s="5" t="s">
        <v>5</v>
      </c>
      <c r="D713" s="5" t="s">
        <v>6</v>
      </c>
      <c r="E713" s="5">
        <v>121.58</v>
      </c>
    </row>
    <row r="714" spans="2:5" x14ac:dyDescent="0.3">
      <c r="B714" s="1">
        <v>42594</v>
      </c>
      <c r="C714" s="5" t="s">
        <v>5</v>
      </c>
      <c r="D714" s="5" t="s">
        <v>6</v>
      </c>
      <c r="E714" s="5">
        <v>121.02</v>
      </c>
    </row>
    <row r="715" spans="2:5" x14ac:dyDescent="0.3">
      <c r="B715" s="1">
        <v>42593</v>
      </c>
      <c r="C715" s="5" t="s">
        <v>5</v>
      </c>
      <c r="D715" s="5" t="s">
        <v>6</v>
      </c>
      <c r="E715" s="5">
        <v>121.04</v>
      </c>
    </row>
    <row r="716" spans="2:5" x14ac:dyDescent="0.3">
      <c r="B716" s="1">
        <v>42592</v>
      </c>
      <c r="C716" s="5" t="s">
        <v>5</v>
      </c>
      <c r="D716" s="5" t="s">
        <v>6</v>
      </c>
      <c r="E716" s="5">
        <v>121.63</v>
      </c>
    </row>
    <row r="717" spans="2:5" x14ac:dyDescent="0.3">
      <c r="B717" s="1">
        <v>42591</v>
      </c>
      <c r="C717" s="5" t="s">
        <v>5</v>
      </c>
      <c r="D717" s="5" t="s">
        <v>6</v>
      </c>
      <c r="E717" s="5">
        <v>121.07</v>
      </c>
    </row>
    <row r="718" spans="2:5" x14ac:dyDescent="0.3">
      <c r="B718" s="1">
        <v>42590</v>
      </c>
      <c r="C718" s="5" t="s">
        <v>5</v>
      </c>
      <c r="D718" s="5" t="s">
        <v>6</v>
      </c>
      <c r="E718" s="5">
        <v>121.43</v>
      </c>
    </row>
    <row r="719" spans="2:5" x14ac:dyDescent="0.3">
      <c r="B719" s="1">
        <v>42587</v>
      </c>
      <c r="C719" s="5" t="s">
        <v>5</v>
      </c>
      <c r="D719" s="5" t="s">
        <v>6</v>
      </c>
      <c r="E719" s="5">
        <v>121.58</v>
      </c>
    </row>
    <row r="720" spans="2:5" x14ac:dyDescent="0.3">
      <c r="B720" s="1">
        <v>42586</v>
      </c>
      <c r="C720" s="5" t="s">
        <v>5</v>
      </c>
      <c r="D720" s="5" t="s">
        <v>6</v>
      </c>
      <c r="E720" s="5">
        <v>120.59</v>
      </c>
    </row>
    <row r="721" spans="2:5" x14ac:dyDescent="0.3">
      <c r="B721" s="1">
        <v>42585</v>
      </c>
      <c r="C721" s="5" t="s">
        <v>5</v>
      </c>
      <c r="D721" s="5" t="s">
        <v>6</v>
      </c>
      <c r="E721" s="5">
        <v>120.89</v>
      </c>
    </row>
    <row r="722" spans="2:5" x14ac:dyDescent="0.3">
      <c r="B722" s="1">
        <v>42584</v>
      </c>
      <c r="C722" s="5" t="s">
        <v>5</v>
      </c>
      <c r="D722" s="5" t="s">
        <v>6</v>
      </c>
      <c r="E722" s="5">
        <v>122.18</v>
      </c>
    </row>
    <row r="723" spans="2:5" x14ac:dyDescent="0.3">
      <c r="B723" s="1">
        <v>42583</v>
      </c>
      <c r="C723" s="5" t="s">
        <v>5</v>
      </c>
      <c r="D723" s="5" t="s">
        <v>6</v>
      </c>
      <c r="E723" s="5">
        <v>121.5</v>
      </c>
    </row>
    <row r="724" spans="2:5" x14ac:dyDescent="0.3">
      <c r="B724" s="1">
        <v>42580</v>
      </c>
      <c r="C724" s="5" t="s">
        <v>5</v>
      </c>
      <c r="D724" s="5" t="s">
        <v>6</v>
      </c>
      <c r="E724" s="5">
        <v>120.88</v>
      </c>
    </row>
    <row r="725" spans="2:5" x14ac:dyDescent="0.3">
      <c r="B725" s="1">
        <v>42579</v>
      </c>
      <c r="C725" s="5" t="s">
        <v>5</v>
      </c>
      <c r="D725" s="5" t="s">
        <v>6</v>
      </c>
      <c r="E725" s="5">
        <v>118.85</v>
      </c>
    </row>
    <row r="726" spans="2:5" x14ac:dyDescent="0.3">
      <c r="B726" s="1">
        <v>42578</v>
      </c>
      <c r="C726" s="5" t="s">
        <v>5</v>
      </c>
      <c r="D726" s="5" t="s">
        <v>6</v>
      </c>
      <c r="E726" s="5">
        <v>115.83</v>
      </c>
    </row>
    <row r="727" spans="2:5" x14ac:dyDescent="0.3">
      <c r="B727" s="1">
        <v>42577</v>
      </c>
      <c r="C727" s="5" t="s">
        <v>5</v>
      </c>
      <c r="D727" s="5" t="s">
        <v>6</v>
      </c>
      <c r="E727" s="5">
        <v>115.77</v>
      </c>
    </row>
    <row r="728" spans="2:5" x14ac:dyDescent="0.3">
      <c r="B728" s="1">
        <v>42576</v>
      </c>
      <c r="C728" s="5" t="s">
        <v>5</v>
      </c>
      <c r="D728" s="5" t="s">
        <v>6</v>
      </c>
      <c r="E728" s="5">
        <v>115.51</v>
      </c>
    </row>
    <row r="729" spans="2:5" x14ac:dyDescent="0.3">
      <c r="B729" s="1">
        <v>42573</v>
      </c>
      <c r="C729" s="5" t="s">
        <v>5</v>
      </c>
      <c r="D729" s="5" t="s">
        <v>6</v>
      </c>
      <c r="E729" s="5">
        <v>115</v>
      </c>
    </row>
    <row r="730" spans="2:5" x14ac:dyDescent="0.3">
      <c r="B730" s="1">
        <v>42572</v>
      </c>
      <c r="C730" s="5" t="s">
        <v>5</v>
      </c>
      <c r="D730" s="5" t="s">
        <v>6</v>
      </c>
      <c r="E730" s="5">
        <v>115.01</v>
      </c>
    </row>
    <row r="731" spans="2:5" x14ac:dyDescent="0.3">
      <c r="B731" s="1">
        <v>42571</v>
      </c>
      <c r="C731" s="5" t="s">
        <v>5</v>
      </c>
      <c r="D731" s="5" t="s">
        <v>6</v>
      </c>
      <c r="E731" s="5">
        <v>115.36</v>
      </c>
    </row>
    <row r="732" spans="2:5" x14ac:dyDescent="0.3">
      <c r="B732" s="1">
        <v>42570</v>
      </c>
      <c r="C732" s="5" t="s">
        <v>5</v>
      </c>
      <c r="D732" s="5" t="s">
        <v>6</v>
      </c>
      <c r="E732" s="5">
        <v>114.99</v>
      </c>
    </row>
    <row r="733" spans="2:5" x14ac:dyDescent="0.3">
      <c r="B733" s="1">
        <v>42569</v>
      </c>
      <c r="C733" s="5" t="s">
        <v>5</v>
      </c>
      <c r="D733" s="5" t="s">
        <v>6</v>
      </c>
      <c r="E733" s="5">
        <v>115.99</v>
      </c>
    </row>
    <row r="734" spans="2:5" x14ac:dyDescent="0.3">
      <c r="B734" s="1">
        <v>42566</v>
      </c>
      <c r="C734" s="5" t="s">
        <v>5</v>
      </c>
      <c r="D734" s="5" t="s">
        <v>6</v>
      </c>
      <c r="E734" s="5">
        <v>116.95</v>
      </c>
    </row>
    <row r="735" spans="2:5" x14ac:dyDescent="0.3">
      <c r="B735" s="1">
        <v>42565</v>
      </c>
      <c r="C735" s="5" t="s">
        <v>5</v>
      </c>
      <c r="D735" s="5" t="s">
        <v>6</v>
      </c>
      <c r="E735" s="5">
        <v>117.5</v>
      </c>
    </row>
    <row r="736" spans="2:5" x14ac:dyDescent="0.3">
      <c r="B736" s="1">
        <v>42564</v>
      </c>
      <c r="C736" s="5" t="s">
        <v>5</v>
      </c>
      <c r="D736" s="5" t="s">
        <v>6</v>
      </c>
      <c r="E736" s="5">
        <v>116.74</v>
      </c>
    </row>
    <row r="737" spans="2:5" x14ac:dyDescent="0.3">
      <c r="B737" s="1">
        <v>42563</v>
      </c>
      <c r="C737" s="5" t="s">
        <v>5</v>
      </c>
      <c r="D737" s="5" t="s">
        <v>6</v>
      </c>
      <c r="E737" s="5">
        <v>116.25</v>
      </c>
    </row>
    <row r="738" spans="2:5" x14ac:dyDescent="0.3">
      <c r="B738" s="1">
        <v>42562</v>
      </c>
      <c r="C738" s="5" t="s">
        <v>5</v>
      </c>
      <c r="D738" s="5" t="s">
        <v>6</v>
      </c>
      <c r="E738" s="5">
        <v>110.82</v>
      </c>
    </row>
    <row r="739" spans="2:5" x14ac:dyDescent="0.3">
      <c r="B739" s="1">
        <v>42555</v>
      </c>
      <c r="C739" s="5" t="s">
        <v>5</v>
      </c>
      <c r="D739" s="5" t="s">
        <v>6</v>
      </c>
      <c r="E739" s="5">
        <v>110.65</v>
      </c>
    </row>
    <row r="740" spans="2:5" x14ac:dyDescent="0.3">
      <c r="B740" s="1">
        <v>42551</v>
      </c>
      <c r="C740" s="5" t="s">
        <v>5</v>
      </c>
      <c r="D740" s="5" t="s">
        <v>6</v>
      </c>
      <c r="E740" s="5">
        <v>107.9</v>
      </c>
    </row>
    <row r="741" spans="2:5" x14ac:dyDescent="0.3">
      <c r="B741" s="1">
        <v>42550</v>
      </c>
      <c r="C741" s="5" t="s">
        <v>5</v>
      </c>
      <c r="D741" s="5" t="s">
        <v>6</v>
      </c>
      <c r="E741" s="5">
        <v>107.24</v>
      </c>
    </row>
    <row r="742" spans="2:5" x14ac:dyDescent="0.3">
      <c r="B742" s="1">
        <v>42549</v>
      </c>
      <c r="C742" s="5" t="s">
        <v>5</v>
      </c>
      <c r="D742" s="5" t="s">
        <v>6</v>
      </c>
      <c r="E742" s="5">
        <v>104.81</v>
      </c>
    </row>
    <row r="743" spans="2:5" x14ac:dyDescent="0.3">
      <c r="B743" s="1">
        <v>42548</v>
      </c>
      <c r="C743" s="5" t="s">
        <v>5</v>
      </c>
      <c r="D743" s="5" t="s">
        <v>6</v>
      </c>
      <c r="E743" s="5">
        <v>105.09</v>
      </c>
    </row>
    <row r="744" spans="2:5" x14ac:dyDescent="0.3">
      <c r="B744" s="1">
        <v>42545</v>
      </c>
      <c r="C744" s="5" t="s">
        <v>5</v>
      </c>
      <c r="D744" s="5" t="s">
        <v>6</v>
      </c>
      <c r="E744" s="5">
        <v>110.36</v>
      </c>
    </row>
    <row r="745" spans="2:5" x14ac:dyDescent="0.3">
      <c r="B745" s="1">
        <v>42544</v>
      </c>
      <c r="C745" s="5" t="s">
        <v>5</v>
      </c>
      <c r="D745" s="5" t="s">
        <v>6</v>
      </c>
      <c r="E745" s="5">
        <v>116.16</v>
      </c>
    </row>
    <row r="746" spans="2:5" x14ac:dyDescent="0.3">
      <c r="B746" s="1">
        <v>42543</v>
      </c>
      <c r="C746" s="5" t="s">
        <v>5</v>
      </c>
      <c r="D746" s="5" t="s">
        <v>6</v>
      </c>
      <c r="E746" s="5">
        <v>116.69</v>
      </c>
    </row>
    <row r="747" spans="2:5" x14ac:dyDescent="0.3">
      <c r="B747" s="1">
        <v>42542</v>
      </c>
      <c r="C747" s="5" t="s">
        <v>5</v>
      </c>
      <c r="D747" s="5" t="s">
        <v>6</v>
      </c>
      <c r="E747" s="5">
        <v>119.06</v>
      </c>
    </row>
    <row r="748" spans="2:5" x14ac:dyDescent="0.3">
      <c r="B748" s="1">
        <v>42541</v>
      </c>
      <c r="C748" s="5" t="s">
        <v>5</v>
      </c>
      <c r="D748" s="5" t="s">
        <v>6</v>
      </c>
      <c r="E748" s="5">
        <v>118.08</v>
      </c>
    </row>
    <row r="749" spans="2:5" x14ac:dyDescent="0.3">
      <c r="B749" s="1">
        <v>42538</v>
      </c>
      <c r="C749" s="5" t="s">
        <v>5</v>
      </c>
      <c r="D749" s="5" t="s">
        <v>6</v>
      </c>
      <c r="E749" s="5">
        <v>119.36</v>
      </c>
    </row>
    <row r="750" spans="2:5" x14ac:dyDescent="0.3">
      <c r="B750" s="1">
        <v>42537</v>
      </c>
      <c r="C750" s="5" t="s">
        <v>5</v>
      </c>
      <c r="D750" s="5" t="s">
        <v>6</v>
      </c>
      <c r="E750" s="5">
        <v>121.13</v>
      </c>
    </row>
    <row r="751" spans="2:5" x14ac:dyDescent="0.3">
      <c r="B751" s="1">
        <v>42536</v>
      </c>
      <c r="C751" s="5" t="s">
        <v>5</v>
      </c>
      <c r="D751" s="5" t="s">
        <v>6</v>
      </c>
      <c r="E751" s="5">
        <v>121.92</v>
      </c>
    </row>
    <row r="752" spans="2:5" x14ac:dyDescent="0.3">
      <c r="B752" s="1">
        <v>42535</v>
      </c>
      <c r="C752" s="5" t="s">
        <v>5</v>
      </c>
      <c r="D752" s="5" t="s">
        <v>6</v>
      </c>
      <c r="E752" s="5">
        <v>116.19</v>
      </c>
    </row>
    <row r="753" spans="2:5" x14ac:dyDescent="0.3">
      <c r="B753" s="1">
        <v>42534</v>
      </c>
      <c r="C753" s="5" t="s">
        <v>5</v>
      </c>
      <c r="D753" s="5" t="s">
        <v>6</v>
      </c>
      <c r="E753" s="5">
        <v>114.8</v>
      </c>
    </row>
    <row r="754" spans="2:5" x14ac:dyDescent="0.3">
      <c r="B754" s="1">
        <v>42531</v>
      </c>
      <c r="C754" s="5" t="s">
        <v>5</v>
      </c>
      <c r="D754" s="5" t="s">
        <v>6</v>
      </c>
      <c r="E754" s="5">
        <v>113.71</v>
      </c>
    </row>
    <row r="755" spans="2:5" x14ac:dyDescent="0.3">
      <c r="B755" s="1">
        <v>42530</v>
      </c>
      <c r="C755" s="5" t="s">
        <v>5</v>
      </c>
      <c r="D755" s="5" t="s">
        <v>6</v>
      </c>
      <c r="E755" s="5">
        <v>116.28</v>
      </c>
    </row>
    <row r="756" spans="2:5" x14ac:dyDescent="0.3">
      <c r="B756" s="1">
        <v>42529</v>
      </c>
      <c r="C756" s="5" t="s">
        <v>5</v>
      </c>
      <c r="D756" s="5" t="s">
        <v>6</v>
      </c>
      <c r="E756" s="5">
        <v>117.37</v>
      </c>
    </row>
    <row r="757" spans="2:5" x14ac:dyDescent="0.3">
      <c r="B757" s="1">
        <v>42528</v>
      </c>
      <c r="C757" s="5" t="s">
        <v>5</v>
      </c>
      <c r="D757" s="5" t="s">
        <v>6</v>
      </c>
      <c r="E757" s="5">
        <v>119.33</v>
      </c>
    </row>
    <row r="758" spans="2:5" x14ac:dyDescent="0.3">
      <c r="B758" s="1">
        <v>42527</v>
      </c>
      <c r="C758" s="5" t="s">
        <v>5</v>
      </c>
      <c r="D758" s="5" t="s">
        <v>6</v>
      </c>
      <c r="E758" s="5">
        <v>121.53</v>
      </c>
    </row>
    <row r="759" spans="2:5" x14ac:dyDescent="0.3">
      <c r="B759" s="1">
        <v>42524</v>
      </c>
      <c r="C759" s="5" t="s">
        <v>5</v>
      </c>
      <c r="D759" s="5" t="s">
        <v>6</v>
      </c>
      <c r="E759" s="5">
        <v>120.82</v>
      </c>
    </row>
    <row r="760" spans="2:5" x14ac:dyDescent="0.3">
      <c r="B760" s="1">
        <v>42523</v>
      </c>
      <c r="C760" s="5" t="s">
        <v>5</v>
      </c>
      <c r="D760" s="5" t="s">
        <v>6</v>
      </c>
      <c r="E760" s="5">
        <v>117.15</v>
      </c>
    </row>
    <row r="761" spans="2:5" x14ac:dyDescent="0.3">
      <c r="B761" s="1">
        <v>42522</v>
      </c>
      <c r="C761" s="5" t="s">
        <v>5</v>
      </c>
      <c r="D761" s="5" t="s">
        <v>6</v>
      </c>
      <c r="E761" s="5">
        <v>114.61</v>
      </c>
    </row>
    <row r="762" spans="2:5" x14ac:dyDescent="0.3">
      <c r="B762" s="1">
        <v>42521</v>
      </c>
      <c r="C762" s="5" t="s">
        <v>5</v>
      </c>
      <c r="D762" s="5" t="s">
        <v>6</v>
      </c>
      <c r="E762" s="5">
        <v>113.74</v>
      </c>
    </row>
    <row r="763" spans="2:5" x14ac:dyDescent="0.3">
      <c r="B763" s="1">
        <v>42520</v>
      </c>
      <c r="C763" s="5" t="s">
        <v>5</v>
      </c>
      <c r="D763" s="5" t="s">
        <v>6</v>
      </c>
      <c r="E763" s="5">
        <v>114.05</v>
      </c>
    </row>
    <row r="764" spans="2:5" x14ac:dyDescent="0.3">
      <c r="B764" s="1">
        <v>42517</v>
      </c>
      <c r="C764" s="5" t="s">
        <v>5</v>
      </c>
      <c r="D764" s="5" t="s">
        <v>6</v>
      </c>
      <c r="E764" s="5">
        <v>113.1</v>
      </c>
    </row>
    <row r="765" spans="2:5" x14ac:dyDescent="0.3">
      <c r="B765" s="1">
        <v>42516</v>
      </c>
      <c r="C765" s="5" t="s">
        <v>5</v>
      </c>
      <c r="D765" s="5" t="s">
        <v>6</v>
      </c>
      <c r="E765" s="5">
        <v>113.04</v>
      </c>
    </row>
    <row r="766" spans="2:5" x14ac:dyDescent="0.3">
      <c r="B766" s="1">
        <v>42515</v>
      </c>
      <c r="C766" s="5" t="s">
        <v>5</v>
      </c>
      <c r="D766" s="5" t="s">
        <v>6</v>
      </c>
      <c r="E766" s="5">
        <v>113.25</v>
      </c>
    </row>
    <row r="767" spans="2:5" x14ac:dyDescent="0.3">
      <c r="B767" s="1">
        <v>42514</v>
      </c>
      <c r="C767" s="5" t="s">
        <v>5</v>
      </c>
      <c r="D767" s="5" t="s">
        <v>6</v>
      </c>
      <c r="E767" s="5">
        <v>114.52</v>
      </c>
    </row>
    <row r="768" spans="2:5" x14ac:dyDescent="0.3">
      <c r="B768" s="1">
        <v>42513</v>
      </c>
      <c r="C768" s="5" t="s">
        <v>5</v>
      </c>
      <c r="D768" s="5" t="s">
        <v>6</v>
      </c>
      <c r="E768" s="5">
        <v>113.71</v>
      </c>
    </row>
    <row r="769" spans="2:5" x14ac:dyDescent="0.3">
      <c r="B769" s="1">
        <v>42510</v>
      </c>
      <c r="C769" s="5" t="s">
        <v>5</v>
      </c>
      <c r="D769" s="5" t="s">
        <v>6</v>
      </c>
      <c r="E769" s="5">
        <v>111.57</v>
      </c>
    </row>
    <row r="770" spans="2:5" x14ac:dyDescent="0.3">
      <c r="B770" s="1">
        <v>42509</v>
      </c>
      <c r="C770" s="5" t="s">
        <v>5</v>
      </c>
      <c r="D770" s="5" t="s">
        <v>6</v>
      </c>
      <c r="E770" s="5">
        <v>111.65</v>
      </c>
    </row>
    <row r="771" spans="2:5" x14ac:dyDescent="0.3">
      <c r="B771" s="1">
        <v>42508</v>
      </c>
      <c r="C771" s="5" t="s">
        <v>5</v>
      </c>
      <c r="D771" s="5" t="s">
        <v>6</v>
      </c>
      <c r="E771" s="5">
        <v>110.88</v>
      </c>
    </row>
    <row r="772" spans="2:5" x14ac:dyDescent="0.3">
      <c r="B772" s="1">
        <v>42507</v>
      </c>
      <c r="C772" s="5" t="s">
        <v>5</v>
      </c>
      <c r="D772" s="5" t="s">
        <v>6</v>
      </c>
      <c r="E772" s="5">
        <v>108.57</v>
      </c>
    </row>
    <row r="773" spans="2:5" x14ac:dyDescent="0.3">
      <c r="B773" s="1">
        <v>42506</v>
      </c>
      <c r="C773" s="5" t="s">
        <v>5</v>
      </c>
      <c r="D773" s="5" t="s">
        <v>6</v>
      </c>
      <c r="E773" s="5">
        <v>109.02</v>
      </c>
    </row>
    <row r="774" spans="2:5" x14ac:dyDescent="0.3">
      <c r="B774" s="1">
        <v>42503</v>
      </c>
      <c r="C774" s="5" t="s">
        <v>5</v>
      </c>
      <c r="D774" s="5" t="s">
        <v>6</v>
      </c>
      <c r="E774" s="5">
        <v>111.16</v>
      </c>
    </row>
    <row r="775" spans="2:5" x14ac:dyDescent="0.3">
      <c r="B775" s="1">
        <v>42502</v>
      </c>
      <c r="C775" s="5" t="s">
        <v>5</v>
      </c>
      <c r="D775" s="5" t="s">
        <v>6</v>
      </c>
      <c r="E775" s="5">
        <v>111.71</v>
      </c>
    </row>
    <row r="776" spans="2:5" x14ac:dyDescent="0.3">
      <c r="B776" s="1">
        <v>42501</v>
      </c>
      <c r="C776" s="5" t="s">
        <v>5</v>
      </c>
      <c r="D776" s="5" t="s">
        <v>6</v>
      </c>
      <c r="E776" s="5">
        <v>112.25</v>
      </c>
    </row>
    <row r="777" spans="2:5" x14ac:dyDescent="0.3">
      <c r="B777" s="1">
        <v>42500</v>
      </c>
      <c r="C777" s="5" t="s">
        <v>5</v>
      </c>
      <c r="D777" s="5" t="s">
        <v>6</v>
      </c>
      <c r="E777" s="5">
        <v>113.72</v>
      </c>
    </row>
    <row r="778" spans="2:5" x14ac:dyDescent="0.3">
      <c r="B778" s="1">
        <v>42499</v>
      </c>
      <c r="C778" s="5" t="s">
        <v>5</v>
      </c>
      <c r="D778" s="5" t="s">
        <v>6</v>
      </c>
      <c r="E778" s="5">
        <v>113.88</v>
      </c>
    </row>
    <row r="779" spans="2:5" x14ac:dyDescent="0.3">
      <c r="B779" s="1">
        <v>42496</v>
      </c>
      <c r="C779" s="5" t="s">
        <v>5</v>
      </c>
      <c r="D779" s="5" t="s">
        <v>6</v>
      </c>
      <c r="E779" s="5">
        <v>115.38</v>
      </c>
    </row>
    <row r="780" spans="2:5" x14ac:dyDescent="0.3">
      <c r="B780" s="1">
        <v>42495</v>
      </c>
      <c r="C780" s="5" t="s">
        <v>5</v>
      </c>
      <c r="D780" s="5" t="s">
        <v>6</v>
      </c>
      <c r="E780" s="5">
        <v>112.25</v>
      </c>
    </row>
    <row r="781" spans="2:5" x14ac:dyDescent="0.3">
      <c r="B781" s="1">
        <v>42494</v>
      </c>
      <c r="C781" s="5" t="s">
        <v>5</v>
      </c>
      <c r="D781" s="5" t="s">
        <v>6</v>
      </c>
      <c r="E781" s="5">
        <v>110.12</v>
      </c>
    </row>
    <row r="782" spans="2:5" x14ac:dyDescent="0.3">
      <c r="B782" s="1">
        <v>42493</v>
      </c>
      <c r="C782" s="5" t="s">
        <v>5</v>
      </c>
      <c r="D782" s="5" t="s">
        <v>6</v>
      </c>
      <c r="E782" s="5">
        <v>107.05</v>
      </c>
    </row>
    <row r="783" spans="2:5" x14ac:dyDescent="0.3">
      <c r="B783" s="1">
        <v>42492</v>
      </c>
      <c r="C783" s="5" t="s">
        <v>5</v>
      </c>
      <c r="D783" s="5" t="s">
        <v>6</v>
      </c>
      <c r="E783" s="5">
        <v>105.97</v>
      </c>
    </row>
    <row r="784" spans="2:5" x14ac:dyDescent="0.3">
      <c r="B784" s="1">
        <v>42489</v>
      </c>
      <c r="C784" s="5" t="s">
        <v>5</v>
      </c>
      <c r="D784" s="5" t="s">
        <v>6</v>
      </c>
      <c r="E784" s="5">
        <v>107.2</v>
      </c>
    </row>
    <row r="785" spans="2:5" x14ac:dyDescent="0.3">
      <c r="B785" s="1">
        <v>42488</v>
      </c>
      <c r="C785" s="5" t="s">
        <v>5</v>
      </c>
      <c r="D785" s="5" t="s">
        <v>6</v>
      </c>
      <c r="E785" s="5">
        <v>106.15</v>
      </c>
    </row>
    <row r="786" spans="2:5" x14ac:dyDescent="0.3">
      <c r="B786" s="1">
        <v>42487</v>
      </c>
      <c r="C786" s="5" t="s">
        <v>5</v>
      </c>
      <c r="D786" s="5" t="s">
        <v>6</v>
      </c>
      <c r="E786" s="5">
        <v>103.45</v>
      </c>
    </row>
    <row r="787" spans="2:5" x14ac:dyDescent="0.3">
      <c r="B787" s="1">
        <v>42486</v>
      </c>
      <c r="C787" s="5" t="s">
        <v>5</v>
      </c>
      <c r="D787" s="5" t="s">
        <v>6</v>
      </c>
      <c r="E787" s="5">
        <v>98.53</v>
      </c>
    </row>
    <row r="788" spans="2:5" x14ac:dyDescent="0.3">
      <c r="B788" s="1">
        <v>42485</v>
      </c>
      <c r="C788" s="5" t="s">
        <v>5</v>
      </c>
      <c r="D788" s="5" t="s">
        <v>6</v>
      </c>
      <c r="E788" s="5">
        <v>96.56</v>
      </c>
    </row>
    <row r="789" spans="2:5" x14ac:dyDescent="0.3">
      <c r="B789" s="1">
        <v>42482</v>
      </c>
      <c r="C789" s="5" t="s">
        <v>5</v>
      </c>
      <c r="D789" s="5" t="s">
        <v>6</v>
      </c>
      <c r="E789" s="5">
        <v>96.53</v>
      </c>
    </row>
    <row r="790" spans="2:5" x14ac:dyDescent="0.3">
      <c r="B790" s="1">
        <v>42481</v>
      </c>
      <c r="C790" s="5" t="s">
        <v>5</v>
      </c>
      <c r="D790" s="5" t="s">
        <v>6</v>
      </c>
      <c r="E790" s="5">
        <v>96.92</v>
      </c>
    </row>
    <row r="791" spans="2:5" x14ac:dyDescent="0.3">
      <c r="B791" s="1">
        <v>42480</v>
      </c>
      <c r="C791" s="5" t="s">
        <v>5</v>
      </c>
      <c r="D791" s="5" t="s">
        <v>6</v>
      </c>
      <c r="E791" s="5">
        <v>97.19</v>
      </c>
    </row>
    <row r="792" spans="2:5" x14ac:dyDescent="0.3">
      <c r="B792" s="1">
        <v>42479</v>
      </c>
      <c r="C792" s="5" t="s">
        <v>5</v>
      </c>
      <c r="D792" s="5" t="s">
        <v>6</v>
      </c>
      <c r="E792" s="5">
        <v>98.25</v>
      </c>
    </row>
    <row r="793" spans="2:5" x14ac:dyDescent="0.3">
      <c r="B793" s="1">
        <v>42478</v>
      </c>
      <c r="C793" s="5" t="s">
        <v>5</v>
      </c>
      <c r="D793" s="5" t="s">
        <v>6</v>
      </c>
      <c r="E793" s="5">
        <v>98.81</v>
      </c>
    </row>
    <row r="794" spans="2:5" x14ac:dyDescent="0.3">
      <c r="B794" s="1">
        <v>42475</v>
      </c>
      <c r="C794" s="5" t="s">
        <v>5</v>
      </c>
      <c r="D794" s="5" t="s">
        <v>6</v>
      </c>
      <c r="E794" s="5">
        <v>98.59</v>
      </c>
    </row>
    <row r="795" spans="2:5" x14ac:dyDescent="0.3">
      <c r="B795" s="1">
        <v>42474</v>
      </c>
      <c r="C795" s="5" t="s">
        <v>5</v>
      </c>
      <c r="D795" s="5" t="s">
        <v>6</v>
      </c>
      <c r="E795" s="5">
        <v>99.47</v>
      </c>
    </row>
    <row r="796" spans="2:5" x14ac:dyDescent="0.3">
      <c r="B796" s="1">
        <v>42473</v>
      </c>
      <c r="C796" s="5" t="s">
        <v>5</v>
      </c>
      <c r="D796" s="5" t="s">
        <v>6</v>
      </c>
      <c r="E796" s="5">
        <v>98.2</v>
      </c>
    </row>
    <row r="797" spans="2:5" x14ac:dyDescent="0.3">
      <c r="B797" s="1">
        <v>42472</v>
      </c>
      <c r="C797" s="5" t="s">
        <v>5</v>
      </c>
      <c r="D797" s="5" t="s">
        <v>6</v>
      </c>
      <c r="E797" s="5">
        <v>97.09</v>
      </c>
    </row>
    <row r="798" spans="2:5" x14ac:dyDescent="0.3">
      <c r="B798" s="1">
        <v>42471</v>
      </c>
      <c r="C798" s="5" t="s">
        <v>5</v>
      </c>
      <c r="D798" s="5" t="s">
        <v>6</v>
      </c>
      <c r="E798" s="5">
        <v>96.27</v>
      </c>
    </row>
    <row r="799" spans="2:5" x14ac:dyDescent="0.3">
      <c r="B799" s="1">
        <v>42468</v>
      </c>
      <c r="C799" s="5" t="s">
        <v>5</v>
      </c>
      <c r="D799" s="5" t="s">
        <v>6</v>
      </c>
      <c r="E799" s="5">
        <v>99.96</v>
      </c>
    </row>
    <row r="800" spans="2:5" x14ac:dyDescent="0.3">
      <c r="B800" s="1">
        <v>42467</v>
      </c>
      <c r="C800" s="5" t="s">
        <v>5</v>
      </c>
      <c r="D800" s="5" t="s">
        <v>6</v>
      </c>
      <c r="E800" s="5">
        <v>99.95</v>
      </c>
    </row>
    <row r="801" spans="2:5" x14ac:dyDescent="0.3">
      <c r="B801" s="1">
        <v>42466</v>
      </c>
      <c r="C801" s="5" t="s">
        <v>5</v>
      </c>
      <c r="D801" s="5" t="s">
        <v>6</v>
      </c>
      <c r="E801" s="5">
        <v>99.61</v>
      </c>
    </row>
    <row r="802" spans="2:5" x14ac:dyDescent="0.3">
      <c r="B802" s="1">
        <v>42465</v>
      </c>
      <c r="C802" s="5" t="s">
        <v>5</v>
      </c>
      <c r="D802" s="5" t="s">
        <v>6</v>
      </c>
      <c r="E802" s="5">
        <v>98.57</v>
      </c>
    </row>
    <row r="803" spans="2:5" x14ac:dyDescent="0.3">
      <c r="B803" s="1">
        <v>42464</v>
      </c>
      <c r="C803" s="5" t="s">
        <v>5</v>
      </c>
      <c r="D803" s="5" t="s">
        <v>6</v>
      </c>
      <c r="E803" s="5">
        <v>96.79</v>
      </c>
    </row>
    <row r="804" spans="2:5" x14ac:dyDescent="0.3">
      <c r="B804" s="1">
        <v>42461</v>
      </c>
      <c r="C804" s="5" t="s">
        <v>5</v>
      </c>
      <c r="D804" s="5" t="s">
        <v>6</v>
      </c>
      <c r="E804" s="5">
        <v>95.76</v>
      </c>
    </row>
    <row r="805" spans="2:5" x14ac:dyDescent="0.3">
      <c r="B805" s="1">
        <v>42460</v>
      </c>
      <c r="C805" s="5" t="s">
        <v>5</v>
      </c>
      <c r="D805" s="5" t="s">
        <v>6</v>
      </c>
      <c r="E805" s="5">
        <v>95.81</v>
      </c>
    </row>
    <row r="806" spans="2:5" x14ac:dyDescent="0.3">
      <c r="B806" s="1">
        <v>42459</v>
      </c>
      <c r="C806" s="5" t="s">
        <v>5</v>
      </c>
      <c r="D806" s="5" t="s">
        <v>6</v>
      </c>
      <c r="E806" s="5">
        <v>95.63</v>
      </c>
    </row>
    <row r="807" spans="2:5" x14ac:dyDescent="0.3">
      <c r="B807" s="1">
        <v>42458</v>
      </c>
      <c r="C807" s="5" t="s">
        <v>5</v>
      </c>
      <c r="D807" s="5" t="s">
        <v>6</v>
      </c>
      <c r="E807" s="5">
        <v>95.61</v>
      </c>
    </row>
    <row r="808" spans="2:5" x14ac:dyDescent="0.3">
      <c r="B808" s="1">
        <v>42457</v>
      </c>
      <c r="C808" s="5" t="s">
        <v>5</v>
      </c>
      <c r="D808" s="5" t="s">
        <v>6</v>
      </c>
      <c r="E808" s="5">
        <v>95.79</v>
      </c>
    </row>
    <row r="809" spans="2:5" x14ac:dyDescent="0.3">
      <c r="B809" s="1">
        <v>42454</v>
      </c>
      <c r="C809" s="5" t="s">
        <v>5</v>
      </c>
      <c r="D809" s="5" t="s">
        <v>6</v>
      </c>
      <c r="E809" s="5">
        <v>96.1</v>
      </c>
    </row>
    <row r="810" spans="2:5" x14ac:dyDescent="0.3">
      <c r="B810" s="1">
        <v>42453</v>
      </c>
      <c r="C810" s="5" t="s">
        <v>5</v>
      </c>
      <c r="D810" s="5" t="s">
        <v>6</v>
      </c>
      <c r="E810" s="5">
        <v>95.42</v>
      </c>
    </row>
    <row r="811" spans="2:5" x14ac:dyDescent="0.3">
      <c r="B811" s="1">
        <v>42451</v>
      </c>
      <c r="C811" s="5" t="s">
        <v>5</v>
      </c>
      <c r="D811" s="5" t="s">
        <v>6</v>
      </c>
      <c r="E811" s="5">
        <v>96.51</v>
      </c>
    </row>
    <row r="812" spans="2:5" x14ac:dyDescent="0.3">
      <c r="B812" s="1">
        <v>42450</v>
      </c>
      <c r="C812" s="5" t="s">
        <v>5</v>
      </c>
      <c r="D812" s="5" t="s">
        <v>6</v>
      </c>
      <c r="E812" s="5">
        <v>97.6</v>
      </c>
    </row>
    <row r="813" spans="2:5" x14ac:dyDescent="0.3">
      <c r="B813" s="1">
        <v>42447</v>
      </c>
      <c r="C813" s="5" t="s">
        <v>5</v>
      </c>
      <c r="D813" s="5" t="s">
        <v>6</v>
      </c>
      <c r="E813" s="5">
        <v>97.01</v>
      </c>
    </row>
    <row r="814" spans="2:5" x14ac:dyDescent="0.3">
      <c r="B814" s="1">
        <v>42446</v>
      </c>
      <c r="C814" s="5" t="s">
        <v>5</v>
      </c>
      <c r="D814" s="5" t="s">
        <v>6</v>
      </c>
      <c r="E814" s="5">
        <v>97.44</v>
      </c>
    </row>
    <row r="815" spans="2:5" x14ac:dyDescent="0.3">
      <c r="B815" s="1">
        <v>42445</v>
      </c>
      <c r="C815" s="5" t="s">
        <v>5</v>
      </c>
      <c r="D815" s="5" t="s">
        <v>6</v>
      </c>
      <c r="E815" s="5">
        <v>97.36</v>
      </c>
    </row>
    <row r="816" spans="2:5" x14ac:dyDescent="0.3">
      <c r="B816" s="1">
        <v>42444</v>
      </c>
      <c r="C816" s="5" t="s">
        <v>5</v>
      </c>
      <c r="D816" s="5" t="s">
        <v>6</v>
      </c>
      <c r="E816" s="5">
        <v>95.82</v>
      </c>
    </row>
    <row r="817" spans="2:5" x14ac:dyDescent="0.3">
      <c r="B817" s="1">
        <v>42443</v>
      </c>
      <c r="C817" s="5" t="s">
        <v>5</v>
      </c>
      <c r="D817" s="5" t="s">
        <v>6</v>
      </c>
      <c r="E817" s="5">
        <v>95.97</v>
      </c>
    </row>
    <row r="818" spans="2:5" x14ac:dyDescent="0.3">
      <c r="B818" s="1">
        <v>42440</v>
      </c>
      <c r="C818" s="5" t="s">
        <v>5</v>
      </c>
      <c r="D818" s="5" t="s">
        <v>6</v>
      </c>
      <c r="E818" s="5">
        <v>94.94</v>
      </c>
    </row>
    <row r="819" spans="2:5" x14ac:dyDescent="0.3">
      <c r="B819" s="1">
        <v>42439</v>
      </c>
      <c r="C819" s="5" t="s">
        <v>5</v>
      </c>
      <c r="D819" s="5" t="s">
        <v>6</v>
      </c>
      <c r="E819" s="5">
        <v>95.93</v>
      </c>
    </row>
    <row r="820" spans="2:5" x14ac:dyDescent="0.3">
      <c r="B820" s="1">
        <v>42438</v>
      </c>
      <c r="C820" s="5" t="s">
        <v>5</v>
      </c>
      <c r="D820" s="5" t="s">
        <v>6</v>
      </c>
      <c r="E820" s="5">
        <v>96.95</v>
      </c>
    </row>
    <row r="821" spans="2:5" x14ac:dyDescent="0.3">
      <c r="B821" s="1">
        <v>42437</v>
      </c>
      <c r="C821" s="5" t="s">
        <v>5</v>
      </c>
      <c r="D821" s="5" t="s">
        <v>6</v>
      </c>
      <c r="E821" s="5">
        <v>95.96</v>
      </c>
    </row>
    <row r="822" spans="2:5" x14ac:dyDescent="0.3">
      <c r="B822" s="1">
        <v>42436</v>
      </c>
      <c r="C822" s="5" t="s">
        <v>5</v>
      </c>
      <c r="D822" s="5" t="s">
        <v>6</v>
      </c>
      <c r="E822" s="5">
        <v>96.3</v>
      </c>
    </row>
    <row r="823" spans="2:5" x14ac:dyDescent="0.3">
      <c r="B823" s="1">
        <v>42433</v>
      </c>
      <c r="C823" s="5" t="s">
        <v>5</v>
      </c>
      <c r="D823" s="5" t="s">
        <v>6</v>
      </c>
      <c r="E823" s="5">
        <v>94.84</v>
      </c>
    </row>
    <row r="824" spans="2:5" x14ac:dyDescent="0.3">
      <c r="B824" s="1">
        <v>42432</v>
      </c>
      <c r="C824" s="5" t="s">
        <v>5</v>
      </c>
      <c r="D824" s="5" t="s">
        <v>6</v>
      </c>
      <c r="E824" s="5">
        <v>94.46</v>
      </c>
    </row>
    <row r="825" spans="2:5" x14ac:dyDescent="0.3">
      <c r="B825" s="1">
        <v>42431</v>
      </c>
      <c r="C825" s="5" t="s">
        <v>5</v>
      </c>
      <c r="D825" s="5" t="s">
        <v>6</v>
      </c>
      <c r="E825" s="5">
        <v>94.28</v>
      </c>
    </row>
    <row r="826" spans="2:5" x14ac:dyDescent="0.3">
      <c r="B826" s="1">
        <v>42430</v>
      </c>
      <c r="C826" s="5" t="s">
        <v>5</v>
      </c>
      <c r="D826" s="5" t="s">
        <v>6</v>
      </c>
      <c r="E826" s="5">
        <v>92.92</v>
      </c>
    </row>
    <row r="827" spans="2:5" x14ac:dyDescent="0.3">
      <c r="B827" s="1">
        <v>42429</v>
      </c>
      <c r="C827" s="5" t="s">
        <v>5</v>
      </c>
      <c r="D827" s="5" t="s">
        <v>6</v>
      </c>
      <c r="E827" s="5">
        <v>93.1</v>
      </c>
    </row>
    <row r="828" spans="2:5" x14ac:dyDescent="0.3">
      <c r="B828" s="1">
        <v>42426</v>
      </c>
      <c r="C828" s="5" t="s">
        <v>5</v>
      </c>
      <c r="D828" s="5" t="s">
        <v>6</v>
      </c>
      <c r="E828" s="5">
        <v>91.15</v>
      </c>
    </row>
    <row r="829" spans="2:5" x14ac:dyDescent="0.3">
      <c r="B829" s="1">
        <v>42425</v>
      </c>
      <c r="C829" s="5" t="s">
        <v>5</v>
      </c>
      <c r="D829" s="5" t="s">
        <v>6</v>
      </c>
      <c r="E829" s="5">
        <v>87.55</v>
      </c>
    </row>
    <row r="830" spans="2:5" x14ac:dyDescent="0.3">
      <c r="B830" s="1">
        <v>42424</v>
      </c>
      <c r="C830" s="5" t="s">
        <v>5</v>
      </c>
      <c r="D830" s="5" t="s">
        <v>6</v>
      </c>
      <c r="E830" s="5">
        <v>87.82</v>
      </c>
    </row>
    <row r="831" spans="2:5" x14ac:dyDescent="0.3">
      <c r="B831" s="1">
        <v>42423</v>
      </c>
      <c r="C831" s="5" t="s">
        <v>5</v>
      </c>
      <c r="D831" s="5" t="s">
        <v>6</v>
      </c>
      <c r="E831" s="5">
        <v>86.83</v>
      </c>
    </row>
    <row r="832" spans="2:5" x14ac:dyDescent="0.3">
      <c r="B832" s="1">
        <v>42422</v>
      </c>
      <c r="C832" s="5" t="s">
        <v>5</v>
      </c>
      <c r="D832" s="5" t="s">
        <v>6</v>
      </c>
      <c r="E832" s="5">
        <v>87.47</v>
      </c>
    </row>
    <row r="833" spans="2:5" x14ac:dyDescent="0.3">
      <c r="B833" s="1">
        <v>42419</v>
      </c>
      <c r="C833" s="5" t="s">
        <v>5</v>
      </c>
      <c r="D833" s="5" t="s">
        <v>6</v>
      </c>
      <c r="E833" s="5">
        <v>88.99</v>
      </c>
    </row>
    <row r="834" spans="2:5" x14ac:dyDescent="0.3">
      <c r="B834" s="1">
        <v>42418</v>
      </c>
      <c r="C834" s="5" t="s">
        <v>5</v>
      </c>
      <c r="D834" s="5" t="s">
        <v>6</v>
      </c>
      <c r="E834" s="5">
        <v>90.14</v>
      </c>
    </row>
    <row r="835" spans="2:5" x14ac:dyDescent="0.3">
      <c r="B835" s="1">
        <v>42417</v>
      </c>
      <c r="C835" s="5" t="s">
        <v>5</v>
      </c>
      <c r="D835" s="5" t="s">
        <v>6</v>
      </c>
      <c r="E835" s="5">
        <v>92.48</v>
      </c>
    </row>
    <row r="836" spans="2:5" x14ac:dyDescent="0.3">
      <c r="B836" s="1">
        <v>42416</v>
      </c>
      <c r="C836" s="5" t="s">
        <v>5</v>
      </c>
      <c r="D836" s="5" t="s">
        <v>6</v>
      </c>
      <c r="E836" s="5">
        <v>92.06</v>
      </c>
    </row>
    <row r="837" spans="2:5" x14ac:dyDescent="0.3">
      <c r="B837" s="1">
        <v>42415</v>
      </c>
      <c r="C837" s="5" t="s">
        <v>5</v>
      </c>
      <c r="D837" s="5" t="s">
        <v>6</v>
      </c>
      <c r="E837" s="5">
        <v>93.51</v>
      </c>
    </row>
    <row r="838" spans="2:5" x14ac:dyDescent="0.3">
      <c r="B838" s="1">
        <v>42412</v>
      </c>
      <c r="C838" s="5" t="s">
        <v>5</v>
      </c>
      <c r="D838" s="5" t="s">
        <v>6</v>
      </c>
      <c r="E838" s="5">
        <v>91.97</v>
      </c>
    </row>
    <row r="839" spans="2:5" x14ac:dyDescent="0.3">
      <c r="B839" s="1">
        <v>42411</v>
      </c>
      <c r="C839" s="5" t="s">
        <v>5</v>
      </c>
      <c r="D839" s="5" t="s">
        <v>6</v>
      </c>
      <c r="E839" s="5">
        <v>93.3</v>
      </c>
    </row>
    <row r="840" spans="2:5" x14ac:dyDescent="0.3">
      <c r="B840" s="1">
        <v>42410</v>
      </c>
      <c r="C840" s="5" t="s">
        <v>5</v>
      </c>
      <c r="D840" s="5" t="s">
        <v>6</v>
      </c>
      <c r="E840" s="5">
        <v>95.88</v>
      </c>
    </row>
    <row r="841" spans="2:5" x14ac:dyDescent="0.3">
      <c r="B841" s="1">
        <v>42409</v>
      </c>
      <c r="C841" s="5" t="s">
        <v>5</v>
      </c>
      <c r="D841" s="5" t="s">
        <v>6</v>
      </c>
      <c r="E841" s="5">
        <v>95.64</v>
      </c>
    </row>
    <row r="842" spans="2:5" x14ac:dyDescent="0.3">
      <c r="B842" s="1">
        <v>42408</v>
      </c>
      <c r="C842" s="5" t="s">
        <v>5</v>
      </c>
      <c r="D842" s="5" t="s">
        <v>6</v>
      </c>
      <c r="E842" s="5">
        <v>96.6</v>
      </c>
    </row>
    <row r="843" spans="2:5" x14ac:dyDescent="0.3">
      <c r="B843" s="1">
        <v>42404</v>
      </c>
      <c r="C843" s="5" t="s">
        <v>5</v>
      </c>
      <c r="D843" s="5" t="s">
        <v>6</v>
      </c>
      <c r="E843" s="5">
        <v>96.56</v>
      </c>
    </row>
    <row r="844" spans="2:5" x14ac:dyDescent="0.3">
      <c r="B844" s="1">
        <v>42403</v>
      </c>
      <c r="C844" s="5" t="s">
        <v>5</v>
      </c>
      <c r="D844" s="5" t="s">
        <v>6</v>
      </c>
      <c r="E844" s="5">
        <v>95.52</v>
      </c>
    </row>
    <row r="845" spans="2:5" x14ac:dyDescent="0.3">
      <c r="B845" s="1">
        <v>42402</v>
      </c>
      <c r="C845" s="5" t="s">
        <v>5</v>
      </c>
      <c r="D845" s="5" t="s">
        <v>6</v>
      </c>
      <c r="E845" s="5">
        <v>97.23</v>
      </c>
    </row>
    <row r="846" spans="2:5" x14ac:dyDescent="0.3">
      <c r="B846" s="1">
        <v>42401</v>
      </c>
      <c r="C846" s="5" t="s">
        <v>5</v>
      </c>
      <c r="D846" s="5" t="s">
        <v>6</v>
      </c>
      <c r="E846" s="5">
        <v>97.21</v>
      </c>
    </row>
    <row r="847" spans="2:5" x14ac:dyDescent="0.3">
      <c r="B847" s="1">
        <v>42398</v>
      </c>
      <c r="C847" s="5" t="s">
        <v>5</v>
      </c>
      <c r="D847" s="5" t="s">
        <v>6</v>
      </c>
      <c r="E847" s="5">
        <v>96.69</v>
      </c>
    </row>
    <row r="848" spans="2:5" x14ac:dyDescent="0.3">
      <c r="B848" s="1">
        <v>42397</v>
      </c>
      <c r="C848" s="5" t="s">
        <v>5</v>
      </c>
      <c r="D848" s="5" t="s">
        <v>6</v>
      </c>
      <c r="E848" s="5">
        <v>96.47</v>
      </c>
    </row>
    <row r="849" spans="2:5" x14ac:dyDescent="0.3">
      <c r="B849" s="1">
        <v>42396</v>
      </c>
      <c r="C849" s="5" t="s">
        <v>5</v>
      </c>
      <c r="D849" s="5" t="s">
        <v>6</v>
      </c>
      <c r="E849" s="5">
        <v>97.1</v>
      </c>
    </row>
    <row r="850" spans="2:5" x14ac:dyDescent="0.3">
      <c r="B850" s="1">
        <v>42395</v>
      </c>
      <c r="C850" s="5" t="s">
        <v>5</v>
      </c>
      <c r="D850" s="5" t="s">
        <v>6</v>
      </c>
      <c r="E850" s="5">
        <v>97.97</v>
      </c>
    </row>
    <row r="851" spans="2:5" x14ac:dyDescent="0.3">
      <c r="B851" s="1">
        <v>42394</v>
      </c>
      <c r="C851" s="5" t="s">
        <v>5</v>
      </c>
      <c r="D851" s="5" t="s">
        <v>6</v>
      </c>
      <c r="E851" s="5">
        <v>98.44</v>
      </c>
    </row>
    <row r="852" spans="2:5" x14ac:dyDescent="0.3">
      <c r="B852" s="1">
        <v>42391</v>
      </c>
      <c r="C852" s="5" t="s">
        <v>5</v>
      </c>
      <c r="D852" s="5" t="s">
        <v>6</v>
      </c>
      <c r="E852" s="5">
        <v>97.98</v>
      </c>
    </row>
    <row r="853" spans="2:5" x14ac:dyDescent="0.3">
      <c r="B853" s="1">
        <v>42390</v>
      </c>
      <c r="C853" s="5" t="s">
        <v>5</v>
      </c>
      <c r="D853" s="5" t="s">
        <v>6</v>
      </c>
      <c r="E853" s="5">
        <v>94.74</v>
      </c>
    </row>
    <row r="854" spans="2:5" x14ac:dyDescent="0.3">
      <c r="B854" s="1">
        <v>42389</v>
      </c>
      <c r="C854" s="5" t="s">
        <v>5</v>
      </c>
      <c r="D854" s="5" t="s">
        <v>6</v>
      </c>
      <c r="E854" s="5">
        <v>96.1</v>
      </c>
    </row>
    <row r="855" spans="2:5" x14ac:dyDescent="0.3">
      <c r="B855" s="1">
        <v>42388</v>
      </c>
      <c r="C855" s="5" t="s">
        <v>5</v>
      </c>
      <c r="D855" s="5" t="s">
        <v>6</v>
      </c>
      <c r="E855" s="5">
        <v>96.24</v>
      </c>
    </row>
    <row r="856" spans="2:5" x14ac:dyDescent="0.3">
      <c r="B856" s="1">
        <v>42387</v>
      </c>
      <c r="C856" s="5" t="s">
        <v>5</v>
      </c>
      <c r="D856" s="5" t="s">
        <v>6</v>
      </c>
      <c r="E856" s="5">
        <v>94.48</v>
      </c>
    </row>
    <row r="857" spans="2:5" x14ac:dyDescent="0.3">
      <c r="B857" s="1">
        <v>42384</v>
      </c>
      <c r="C857" s="5" t="s">
        <v>5</v>
      </c>
      <c r="D857" s="5" t="s">
        <v>6</v>
      </c>
      <c r="E857" s="5">
        <v>93.91</v>
      </c>
    </row>
    <row r="858" spans="2:5" x14ac:dyDescent="0.3">
      <c r="B858" s="1">
        <v>42383</v>
      </c>
      <c r="C858" s="5" t="s">
        <v>5</v>
      </c>
      <c r="D858" s="5" t="s">
        <v>6</v>
      </c>
      <c r="E858" s="5">
        <v>92.99</v>
      </c>
    </row>
    <row r="859" spans="2:5" x14ac:dyDescent="0.3">
      <c r="B859" s="1">
        <v>42382</v>
      </c>
      <c r="C859" s="5" t="s">
        <v>5</v>
      </c>
      <c r="D859" s="5" t="s">
        <v>6</v>
      </c>
      <c r="E859" s="5">
        <v>94.48</v>
      </c>
    </row>
    <row r="860" spans="2:5" x14ac:dyDescent="0.3">
      <c r="B860" s="1">
        <v>42381</v>
      </c>
      <c r="C860" s="5" t="s">
        <v>5</v>
      </c>
      <c r="D860" s="5" t="s">
        <v>6</v>
      </c>
      <c r="E860" s="5">
        <v>95.11</v>
      </c>
    </row>
    <row r="861" spans="2:5" x14ac:dyDescent="0.3">
      <c r="B861" s="1">
        <v>42380</v>
      </c>
      <c r="C861" s="5" t="s">
        <v>5</v>
      </c>
      <c r="D861" s="5" t="s">
        <v>6</v>
      </c>
      <c r="E861" s="5">
        <v>96.87</v>
      </c>
    </row>
    <row r="862" spans="2:5" x14ac:dyDescent="0.3">
      <c r="B862" s="1">
        <v>42377</v>
      </c>
      <c r="C862" s="5" t="s">
        <v>5</v>
      </c>
      <c r="D862" s="5" t="s">
        <v>6</v>
      </c>
      <c r="E862" s="5">
        <v>98.81</v>
      </c>
    </row>
    <row r="863" spans="2:5" x14ac:dyDescent="0.3">
      <c r="B863" s="1">
        <v>42376</v>
      </c>
      <c r="C863" s="5" t="s">
        <v>5</v>
      </c>
      <c r="D863" s="5" t="s">
        <v>6</v>
      </c>
      <c r="E863" s="5">
        <v>99.9</v>
      </c>
    </row>
    <row r="864" spans="2:5" x14ac:dyDescent="0.3">
      <c r="B864" s="1">
        <v>42375</v>
      </c>
      <c r="C864" s="5" t="s">
        <v>5</v>
      </c>
      <c r="D864" s="5" t="s">
        <v>6</v>
      </c>
      <c r="E864" s="5">
        <v>100.75</v>
      </c>
    </row>
    <row r="865" spans="2:5" x14ac:dyDescent="0.3">
      <c r="B865" s="1">
        <v>42374</v>
      </c>
      <c r="C865" s="5" t="s">
        <v>5</v>
      </c>
      <c r="D865" s="5" t="s">
        <v>6</v>
      </c>
      <c r="E865" s="5">
        <v>101.79</v>
      </c>
    </row>
    <row r="866" spans="2:5" x14ac:dyDescent="0.3">
      <c r="B866" s="1">
        <v>42373</v>
      </c>
      <c r="C866" s="5" t="s">
        <v>5</v>
      </c>
      <c r="D866" s="5" t="s">
        <v>6</v>
      </c>
      <c r="E866" s="5">
        <v>99.43</v>
      </c>
    </row>
    <row r="867" spans="2:5" x14ac:dyDescent="0.3">
      <c r="B867" s="1">
        <v>42370</v>
      </c>
      <c r="C867" s="5" t="s">
        <v>5</v>
      </c>
      <c r="D867" s="5" t="s">
        <v>6</v>
      </c>
      <c r="E867" s="5">
        <v>99.61</v>
      </c>
    </row>
    <row r="868" spans="2:5" x14ac:dyDescent="0.3">
      <c r="B868" s="1">
        <v>42369</v>
      </c>
      <c r="C868" s="5" t="s">
        <v>5</v>
      </c>
      <c r="D868" s="5" t="s">
        <v>6</v>
      </c>
      <c r="E868" s="5">
        <v>94.87</v>
      </c>
    </row>
    <row r="869" spans="2:5" x14ac:dyDescent="0.3">
      <c r="B869" s="1">
        <v>42368</v>
      </c>
      <c r="C869" s="5" t="s">
        <v>5</v>
      </c>
      <c r="D869" s="5" t="s">
        <v>6</v>
      </c>
      <c r="E869" s="5">
        <v>93.55</v>
      </c>
    </row>
    <row r="870" spans="2:5" x14ac:dyDescent="0.3">
      <c r="B870" s="1">
        <v>42367</v>
      </c>
      <c r="C870" s="5" t="s">
        <v>5</v>
      </c>
      <c r="D870" s="5" t="s">
        <v>6</v>
      </c>
      <c r="E870" s="5">
        <v>94.15</v>
      </c>
    </row>
    <row r="871" spans="2:5" x14ac:dyDescent="0.3">
      <c r="B871" s="1">
        <v>42366</v>
      </c>
      <c r="C871" s="5" t="s">
        <v>5</v>
      </c>
      <c r="D871" s="5" t="s">
        <v>6</v>
      </c>
      <c r="E871" s="5">
        <v>94.91</v>
      </c>
    </row>
    <row r="872" spans="2:5" x14ac:dyDescent="0.3">
      <c r="B872" s="1">
        <v>42361</v>
      </c>
      <c r="C872" s="5" t="s">
        <v>5</v>
      </c>
      <c r="D872" s="5" t="s">
        <v>6</v>
      </c>
      <c r="E872" s="5">
        <v>92.97</v>
      </c>
    </row>
    <row r="873" spans="2:5" x14ac:dyDescent="0.3">
      <c r="B873" s="1">
        <v>42360</v>
      </c>
      <c r="C873" s="5" t="s">
        <v>5</v>
      </c>
      <c r="D873" s="5" t="s">
        <v>6</v>
      </c>
      <c r="E873" s="5">
        <v>94.23</v>
      </c>
    </row>
    <row r="874" spans="2:5" x14ac:dyDescent="0.3">
      <c r="B874" s="1">
        <v>42359</v>
      </c>
      <c r="C874" s="5" t="s">
        <v>5</v>
      </c>
      <c r="D874" s="5" t="s">
        <v>6</v>
      </c>
      <c r="E874" s="5">
        <v>94.65</v>
      </c>
    </row>
    <row r="875" spans="2:5" x14ac:dyDescent="0.3">
      <c r="B875" s="1">
        <v>42356</v>
      </c>
      <c r="C875" s="5" t="s">
        <v>5</v>
      </c>
      <c r="D875" s="5" t="s">
        <v>6</v>
      </c>
      <c r="E875" s="5">
        <v>96.86</v>
      </c>
    </row>
    <row r="876" spans="2:5" x14ac:dyDescent="0.3">
      <c r="B876" s="1">
        <v>42355</v>
      </c>
      <c r="C876" s="5" t="s">
        <v>5</v>
      </c>
      <c r="D876" s="5" t="s">
        <v>6</v>
      </c>
      <c r="E876" s="5">
        <v>96.95</v>
      </c>
    </row>
    <row r="877" spans="2:5" x14ac:dyDescent="0.3">
      <c r="B877" s="1">
        <v>42354</v>
      </c>
      <c r="C877" s="5" t="s">
        <v>5</v>
      </c>
      <c r="D877" s="5" t="s">
        <v>6</v>
      </c>
      <c r="E877" s="5">
        <v>95.78</v>
      </c>
    </row>
    <row r="878" spans="2:5" x14ac:dyDescent="0.3">
      <c r="B878" s="1">
        <v>42353</v>
      </c>
      <c r="C878" s="5" t="s">
        <v>5</v>
      </c>
      <c r="D878" s="5" t="s">
        <v>6</v>
      </c>
      <c r="E878" s="5">
        <v>94.04</v>
      </c>
    </row>
    <row r="879" spans="2:5" x14ac:dyDescent="0.3">
      <c r="B879" s="1">
        <v>42352</v>
      </c>
      <c r="C879" s="5" t="s">
        <v>5</v>
      </c>
      <c r="D879" s="5" t="s">
        <v>6</v>
      </c>
      <c r="E879" s="5">
        <v>94.19</v>
      </c>
    </row>
    <row r="880" spans="2:5" x14ac:dyDescent="0.3">
      <c r="B880" s="1">
        <v>42349</v>
      </c>
      <c r="C880" s="5" t="s">
        <v>5</v>
      </c>
      <c r="D880" s="5" t="s">
        <v>6</v>
      </c>
      <c r="E880" s="5">
        <v>95.41</v>
      </c>
    </row>
    <row r="881" spans="2:5" x14ac:dyDescent="0.3">
      <c r="B881" s="1">
        <v>42348</v>
      </c>
      <c r="C881" s="5" t="s">
        <v>5</v>
      </c>
      <c r="D881" s="5" t="s">
        <v>6</v>
      </c>
      <c r="E881" s="5">
        <v>96.44</v>
      </c>
    </row>
    <row r="882" spans="2:5" x14ac:dyDescent="0.3">
      <c r="B882" s="1">
        <v>42347</v>
      </c>
      <c r="C882" s="5" t="s">
        <v>5</v>
      </c>
      <c r="D882" s="5" t="s">
        <v>6</v>
      </c>
      <c r="E882" s="5">
        <v>97.49</v>
      </c>
    </row>
    <row r="883" spans="2:5" x14ac:dyDescent="0.3">
      <c r="B883" s="1">
        <v>42346</v>
      </c>
      <c r="C883" s="5" t="s">
        <v>5</v>
      </c>
      <c r="D883" s="5" t="s">
        <v>6</v>
      </c>
      <c r="E883" s="5">
        <v>97.19</v>
      </c>
    </row>
    <row r="884" spans="2:5" x14ac:dyDescent="0.3">
      <c r="B884" s="1">
        <v>42345</v>
      </c>
      <c r="C884" s="5" t="s">
        <v>5</v>
      </c>
      <c r="D884" s="5" t="s">
        <v>6</v>
      </c>
      <c r="E884" s="5">
        <v>96.6</v>
      </c>
    </row>
    <row r="885" spans="2:5" x14ac:dyDescent="0.3">
      <c r="B885" s="1">
        <v>42342</v>
      </c>
      <c r="C885" s="5" t="s">
        <v>5</v>
      </c>
      <c r="D885" s="5" t="s">
        <v>6</v>
      </c>
      <c r="E885" s="5">
        <v>98.17</v>
      </c>
    </row>
    <row r="886" spans="2:5" x14ac:dyDescent="0.3">
      <c r="B886" s="1">
        <v>42341</v>
      </c>
      <c r="C886" s="5" t="s">
        <v>5</v>
      </c>
      <c r="D886" s="5" t="s">
        <v>6</v>
      </c>
      <c r="E886" s="5">
        <v>96.91</v>
      </c>
    </row>
    <row r="887" spans="2:5" x14ac:dyDescent="0.3">
      <c r="B887" s="1">
        <v>42340</v>
      </c>
      <c r="C887" s="5" t="s">
        <v>5</v>
      </c>
      <c r="D887" s="5" t="s">
        <v>6</v>
      </c>
      <c r="E887" s="5">
        <v>98.13</v>
      </c>
    </row>
    <row r="888" spans="2:5" x14ac:dyDescent="0.3">
      <c r="B888" s="1">
        <v>42339</v>
      </c>
      <c r="C888" s="5" t="s">
        <v>5</v>
      </c>
      <c r="D888" s="5" t="s">
        <v>6</v>
      </c>
      <c r="E888" s="5">
        <v>93.73</v>
      </c>
    </row>
    <row r="889" spans="2:5" x14ac:dyDescent="0.3">
      <c r="B889" s="1">
        <v>42338</v>
      </c>
      <c r="C889" s="5" t="s">
        <v>5</v>
      </c>
      <c r="D889" s="5" t="s">
        <v>6</v>
      </c>
      <c r="E889" s="5">
        <v>96.84</v>
      </c>
    </row>
    <row r="890" spans="2:5" x14ac:dyDescent="0.3">
      <c r="B890" s="1">
        <v>42335</v>
      </c>
      <c r="C890" s="5" t="s">
        <v>5</v>
      </c>
      <c r="D890" s="5" t="s">
        <v>6</v>
      </c>
      <c r="E890" s="5">
        <v>97.39</v>
      </c>
    </row>
    <row r="891" spans="2:5" x14ac:dyDescent="0.3">
      <c r="B891" s="1">
        <v>42334</v>
      </c>
      <c r="C891" s="5" t="s">
        <v>5</v>
      </c>
      <c r="D891" s="5" t="s">
        <v>6</v>
      </c>
      <c r="E891" s="5">
        <v>97.64</v>
      </c>
    </row>
    <row r="892" spans="2:5" x14ac:dyDescent="0.3">
      <c r="B892" s="1">
        <v>42333</v>
      </c>
      <c r="C892" s="5" t="s">
        <v>5</v>
      </c>
      <c r="D892" s="5" t="s">
        <v>6</v>
      </c>
      <c r="E892" s="5">
        <v>98.21</v>
      </c>
    </row>
    <row r="893" spans="2:5" x14ac:dyDescent="0.3">
      <c r="B893" s="1">
        <v>42332</v>
      </c>
      <c r="C893" s="5" t="s">
        <v>5</v>
      </c>
      <c r="D893" s="5" t="s">
        <v>6</v>
      </c>
      <c r="E893" s="5">
        <v>98.95</v>
      </c>
    </row>
    <row r="894" spans="2:5" x14ac:dyDescent="0.3">
      <c r="B894" s="1">
        <v>42331</v>
      </c>
      <c r="C894" s="5" t="s">
        <v>5</v>
      </c>
      <c r="D894" s="5" t="s">
        <v>6</v>
      </c>
      <c r="E894" s="5">
        <v>100.01</v>
      </c>
    </row>
    <row r="895" spans="2:5" x14ac:dyDescent="0.3">
      <c r="B895" s="1">
        <v>42328</v>
      </c>
      <c r="C895" s="5" t="s">
        <v>5</v>
      </c>
      <c r="D895" s="5" t="s">
        <v>6</v>
      </c>
      <c r="E895" s="5">
        <v>103.56</v>
      </c>
    </row>
    <row r="896" spans="2:5" x14ac:dyDescent="0.3">
      <c r="B896" s="1">
        <v>42327</v>
      </c>
      <c r="C896" s="5" t="s">
        <v>5</v>
      </c>
      <c r="D896" s="5" t="s">
        <v>6</v>
      </c>
      <c r="E896" s="5">
        <v>103.66</v>
      </c>
    </row>
    <row r="897" spans="2:5" x14ac:dyDescent="0.3">
      <c r="B897" s="1">
        <v>42326</v>
      </c>
      <c r="C897" s="5" t="s">
        <v>5</v>
      </c>
      <c r="D897" s="5" t="s">
        <v>6</v>
      </c>
      <c r="E897" s="5">
        <v>104.06</v>
      </c>
    </row>
    <row r="898" spans="2:5" x14ac:dyDescent="0.3">
      <c r="B898" s="1">
        <v>42325</v>
      </c>
      <c r="C898" s="5" t="s">
        <v>5</v>
      </c>
      <c r="D898" s="5" t="s">
        <v>6</v>
      </c>
      <c r="E898" s="5">
        <v>102.39</v>
      </c>
    </row>
    <row r="899" spans="2:5" x14ac:dyDescent="0.3">
      <c r="B899" s="1">
        <v>42324</v>
      </c>
      <c r="C899" s="5" t="s">
        <v>5</v>
      </c>
      <c r="D899" s="5" t="s">
        <v>6</v>
      </c>
      <c r="E899" s="5">
        <v>101.75</v>
      </c>
    </row>
    <row r="900" spans="2:5" x14ac:dyDescent="0.3">
      <c r="B900" s="1">
        <v>42321</v>
      </c>
      <c r="C900" s="5" t="s">
        <v>5</v>
      </c>
      <c r="D900" s="5" t="s">
        <v>6</v>
      </c>
      <c r="E900" s="5">
        <v>102.7</v>
      </c>
    </row>
    <row r="901" spans="2:5" x14ac:dyDescent="0.3">
      <c r="B901" s="1">
        <v>42320</v>
      </c>
      <c r="C901" s="5" t="s">
        <v>5</v>
      </c>
      <c r="D901" s="5" t="s">
        <v>6</v>
      </c>
      <c r="E901" s="5">
        <v>102.39</v>
      </c>
    </row>
    <row r="902" spans="2:5" x14ac:dyDescent="0.3">
      <c r="B902" s="1">
        <v>42319</v>
      </c>
      <c r="C902" s="5" t="s">
        <v>5</v>
      </c>
      <c r="D902" s="5" t="s">
        <v>6</v>
      </c>
      <c r="E902" s="5">
        <v>100.74</v>
      </c>
    </row>
    <row r="903" spans="2:5" x14ac:dyDescent="0.3">
      <c r="B903" s="1">
        <v>42318</v>
      </c>
      <c r="C903" s="5" t="s">
        <v>5</v>
      </c>
      <c r="D903" s="5" t="s">
        <v>6</v>
      </c>
      <c r="E903" s="5">
        <v>101.5</v>
      </c>
    </row>
    <row r="904" spans="2:5" x14ac:dyDescent="0.3">
      <c r="B904" s="1">
        <v>42317</v>
      </c>
      <c r="C904" s="5" t="s">
        <v>5</v>
      </c>
      <c r="D904" s="5" t="s">
        <v>6</v>
      </c>
      <c r="E904" s="5">
        <v>100.22</v>
      </c>
    </row>
    <row r="905" spans="2:5" x14ac:dyDescent="0.3">
      <c r="B905" s="1">
        <v>42314</v>
      </c>
      <c r="C905" s="5" t="s">
        <v>5</v>
      </c>
      <c r="D905" s="5" t="s">
        <v>6</v>
      </c>
      <c r="E905" s="5">
        <v>101.19</v>
      </c>
    </row>
    <row r="906" spans="2:5" x14ac:dyDescent="0.3">
      <c r="B906" s="1">
        <v>42313</v>
      </c>
      <c r="C906" s="5" t="s">
        <v>5</v>
      </c>
      <c r="D906" s="5" t="s">
        <v>6</v>
      </c>
      <c r="E906" s="5">
        <v>100.66</v>
      </c>
    </row>
    <row r="907" spans="2:5" x14ac:dyDescent="0.3">
      <c r="B907" s="1">
        <v>42312</v>
      </c>
      <c r="C907" s="5" t="s">
        <v>5</v>
      </c>
      <c r="D907" s="5" t="s">
        <v>6</v>
      </c>
      <c r="E907" s="5">
        <v>101.46</v>
      </c>
    </row>
    <row r="908" spans="2:5" x14ac:dyDescent="0.3">
      <c r="B908" s="1">
        <v>42311</v>
      </c>
      <c r="C908" s="5" t="s">
        <v>5</v>
      </c>
      <c r="D908" s="5" t="s">
        <v>6</v>
      </c>
      <c r="E908" s="5">
        <v>102.08</v>
      </c>
    </row>
    <row r="909" spans="2:5" x14ac:dyDescent="0.3">
      <c r="B909" s="1">
        <v>42310</v>
      </c>
      <c r="C909" s="5" t="s">
        <v>5</v>
      </c>
      <c r="D909" s="5" t="s">
        <v>6</v>
      </c>
      <c r="E909" s="5">
        <v>101.88</v>
      </c>
    </row>
    <row r="910" spans="2:5" x14ac:dyDescent="0.3">
      <c r="B910" s="1">
        <v>42307</v>
      </c>
      <c r="C910" s="5" t="s">
        <v>5</v>
      </c>
      <c r="D910" s="5" t="s">
        <v>6</v>
      </c>
      <c r="E910" s="5">
        <v>102.93</v>
      </c>
    </row>
    <row r="911" spans="2:5" x14ac:dyDescent="0.3">
      <c r="B911" s="1">
        <v>42306</v>
      </c>
      <c r="C911" s="5" t="s">
        <v>5</v>
      </c>
      <c r="D911" s="5" t="s">
        <v>6</v>
      </c>
      <c r="E911" s="5">
        <v>103.69</v>
      </c>
    </row>
    <row r="912" spans="2:5" x14ac:dyDescent="0.3">
      <c r="B912" s="1">
        <v>42305</v>
      </c>
      <c r="C912" s="5" t="s">
        <v>5</v>
      </c>
      <c r="D912" s="5" t="s">
        <v>6</v>
      </c>
      <c r="E912" s="5">
        <v>102.04</v>
      </c>
    </row>
    <row r="913" spans="2:5" x14ac:dyDescent="0.3">
      <c r="B913" s="1">
        <v>42304</v>
      </c>
      <c r="C913" s="5" t="s">
        <v>5</v>
      </c>
      <c r="D913" s="5" t="s">
        <v>6</v>
      </c>
      <c r="E913" s="5">
        <v>100.97</v>
      </c>
    </row>
    <row r="914" spans="2:5" x14ac:dyDescent="0.3">
      <c r="B914" s="1">
        <v>42303</v>
      </c>
      <c r="C914" s="5" t="s">
        <v>5</v>
      </c>
      <c r="D914" s="5" t="s">
        <v>6</v>
      </c>
      <c r="E914" s="5">
        <v>101.61</v>
      </c>
    </row>
    <row r="915" spans="2:5" x14ac:dyDescent="0.3">
      <c r="B915" s="1">
        <v>42299</v>
      </c>
      <c r="C915" s="5" t="s">
        <v>5</v>
      </c>
      <c r="D915" s="5" t="s">
        <v>6</v>
      </c>
      <c r="E915" s="5">
        <v>103.07</v>
      </c>
    </row>
    <row r="916" spans="2:5" x14ac:dyDescent="0.3">
      <c r="B916" s="1">
        <v>42298</v>
      </c>
      <c r="C916" s="5" t="s">
        <v>5</v>
      </c>
      <c r="D916" s="5" t="s">
        <v>6</v>
      </c>
      <c r="E916" s="5">
        <v>103.15</v>
      </c>
    </row>
    <row r="917" spans="2:5" x14ac:dyDescent="0.3">
      <c r="B917" s="1">
        <v>42297</v>
      </c>
      <c r="C917" s="5" t="s">
        <v>5</v>
      </c>
      <c r="D917" s="5" t="s">
        <v>6</v>
      </c>
      <c r="E917" s="5">
        <v>103.39</v>
      </c>
    </row>
    <row r="918" spans="2:5" x14ac:dyDescent="0.3">
      <c r="B918" s="1">
        <v>42296</v>
      </c>
      <c r="C918" s="5" t="s">
        <v>5</v>
      </c>
      <c r="D918" s="5" t="s">
        <v>6</v>
      </c>
      <c r="E918" s="5">
        <v>103.65</v>
      </c>
    </row>
    <row r="919" spans="2:5" x14ac:dyDescent="0.3">
      <c r="B919" s="1">
        <v>42293</v>
      </c>
      <c r="C919" s="5" t="s">
        <v>5</v>
      </c>
      <c r="D919" s="5" t="s">
        <v>6</v>
      </c>
      <c r="E919" s="5">
        <v>101.6</v>
      </c>
    </row>
    <row r="920" spans="2:5" x14ac:dyDescent="0.3">
      <c r="B920" s="1">
        <v>42292</v>
      </c>
      <c r="C920" s="5" t="s">
        <v>5</v>
      </c>
      <c r="D920" s="5" t="s">
        <v>6</v>
      </c>
      <c r="E920" s="5">
        <v>102.14</v>
      </c>
    </row>
    <row r="921" spans="2:5" x14ac:dyDescent="0.3">
      <c r="B921" s="1">
        <v>42291</v>
      </c>
      <c r="C921" s="5" t="s">
        <v>5</v>
      </c>
      <c r="D921" s="5" t="s">
        <v>6</v>
      </c>
      <c r="E921" s="5">
        <v>100.42</v>
      </c>
    </row>
    <row r="922" spans="2:5" x14ac:dyDescent="0.3">
      <c r="B922" s="1">
        <v>42290</v>
      </c>
      <c r="C922" s="5" t="s">
        <v>5</v>
      </c>
      <c r="D922" s="5" t="s">
        <v>6</v>
      </c>
      <c r="E922" s="5">
        <v>100.07</v>
      </c>
    </row>
    <row r="923" spans="2:5" x14ac:dyDescent="0.3">
      <c r="B923" s="1">
        <v>42289</v>
      </c>
      <c r="C923" s="5" t="s">
        <v>5</v>
      </c>
      <c r="D923" s="5" t="s">
        <v>6</v>
      </c>
      <c r="E923" s="5">
        <v>103.64</v>
      </c>
    </row>
    <row r="924" spans="2:5" x14ac:dyDescent="0.3">
      <c r="B924" s="1">
        <v>42286</v>
      </c>
      <c r="C924" s="5" t="s">
        <v>5</v>
      </c>
      <c r="D924" s="5" t="s">
        <v>6</v>
      </c>
      <c r="E924" s="5">
        <v>103.28</v>
      </c>
    </row>
    <row r="925" spans="2:5" x14ac:dyDescent="0.3">
      <c r="B925" s="1">
        <v>42285</v>
      </c>
      <c r="C925" s="5" t="s">
        <v>5</v>
      </c>
      <c r="D925" s="5" t="s">
        <v>6</v>
      </c>
      <c r="E925" s="5">
        <v>98.73</v>
      </c>
    </row>
    <row r="926" spans="2:5" x14ac:dyDescent="0.3">
      <c r="B926" s="1">
        <v>42284</v>
      </c>
      <c r="C926" s="5" t="s">
        <v>5</v>
      </c>
      <c r="D926" s="5" t="s">
        <v>6</v>
      </c>
      <c r="E926" s="5">
        <v>98.49</v>
      </c>
    </row>
    <row r="927" spans="2:5" x14ac:dyDescent="0.3">
      <c r="B927" s="1">
        <v>42283</v>
      </c>
      <c r="C927" s="5" t="s">
        <v>5</v>
      </c>
      <c r="D927" s="5" t="s">
        <v>6</v>
      </c>
      <c r="E927" s="5">
        <v>98.24</v>
      </c>
    </row>
    <row r="928" spans="2:5" x14ac:dyDescent="0.3">
      <c r="B928" s="1">
        <v>42282</v>
      </c>
      <c r="C928" s="5" t="s">
        <v>5</v>
      </c>
      <c r="D928" s="5" t="s">
        <v>6</v>
      </c>
      <c r="E928" s="5">
        <v>97.92</v>
      </c>
    </row>
    <row r="929" spans="2:5" x14ac:dyDescent="0.3">
      <c r="B929" s="1">
        <v>42279</v>
      </c>
      <c r="C929" s="5" t="s">
        <v>5</v>
      </c>
      <c r="D929" s="5" t="s">
        <v>6</v>
      </c>
      <c r="E929" s="5">
        <v>99.88</v>
      </c>
    </row>
    <row r="930" spans="2:5" x14ac:dyDescent="0.3">
      <c r="B930" s="1">
        <v>42278</v>
      </c>
      <c r="C930" s="5" t="s">
        <v>5</v>
      </c>
      <c r="D930" s="5" t="s">
        <v>6</v>
      </c>
      <c r="E930" s="5">
        <v>100.24</v>
      </c>
    </row>
    <row r="931" spans="2:5" x14ac:dyDescent="0.3">
      <c r="B931" s="1">
        <v>42277</v>
      </c>
      <c r="C931" s="5" t="s">
        <v>5</v>
      </c>
      <c r="D931" s="5" t="s">
        <v>6</v>
      </c>
      <c r="E931" s="5">
        <v>99.29</v>
      </c>
    </row>
    <row r="932" spans="2:5" x14ac:dyDescent="0.3">
      <c r="B932" s="1">
        <v>42276</v>
      </c>
      <c r="C932" s="5" t="s">
        <v>5</v>
      </c>
      <c r="D932" s="5" t="s">
        <v>6</v>
      </c>
      <c r="E932" s="5">
        <v>99.28</v>
      </c>
    </row>
    <row r="933" spans="2:5" x14ac:dyDescent="0.3">
      <c r="B933" s="1">
        <v>42275</v>
      </c>
      <c r="C933" s="5" t="s">
        <v>5</v>
      </c>
      <c r="D933" s="5" t="s">
        <v>6</v>
      </c>
      <c r="E933" s="5">
        <v>99.89</v>
      </c>
    </row>
    <row r="934" spans="2:5" x14ac:dyDescent="0.3">
      <c r="B934" s="1">
        <v>42270</v>
      </c>
      <c r="C934" s="5" t="s">
        <v>5</v>
      </c>
      <c r="D934" s="5" t="s">
        <v>6</v>
      </c>
      <c r="E934" s="5">
        <v>99.93</v>
      </c>
    </row>
    <row r="935" spans="2:5" x14ac:dyDescent="0.3">
      <c r="B935" s="1">
        <v>42269</v>
      </c>
      <c r="C935" s="5" t="s">
        <v>5</v>
      </c>
      <c r="D935" s="5" t="s">
        <v>6</v>
      </c>
      <c r="E935" s="5">
        <v>101.11</v>
      </c>
    </row>
    <row r="936" spans="2:5" x14ac:dyDescent="0.3">
      <c r="B936" s="1">
        <v>42268</v>
      </c>
      <c r="C936" s="5" t="s">
        <v>5</v>
      </c>
      <c r="D936" s="5" t="s">
        <v>6</v>
      </c>
      <c r="E936" s="5">
        <v>100.1</v>
      </c>
    </row>
    <row r="937" spans="2:5" x14ac:dyDescent="0.3">
      <c r="B937" s="1">
        <v>42265</v>
      </c>
      <c r="C937" s="5" t="s">
        <v>5</v>
      </c>
      <c r="D937" s="5" t="s">
        <v>6</v>
      </c>
      <c r="E937" s="5">
        <v>99.35</v>
      </c>
    </row>
    <row r="938" spans="2:5" x14ac:dyDescent="0.3">
      <c r="B938" s="1">
        <v>42264</v>
      </c>
      <c r="C938" s="5" t="s">
        <v>5</v>
      </c>
      <c r="D938" s="5" t="s">
        <v>6</v>
      </c>
      <c r="E938" s="5">
        <v>101.06</v>
      </c>
    </row>
    <row r="939" spans="2:5" x14ac:dyDescent="0.3">
      <c r="B939" s="1">
        <v>42263</v>
      </c>
      <c r="C939" s="5" t="s">
        <v>5</v>
      </c>
      <c r="D939" s="5" t="s">
        <v>6</v>
      </c>
      <c r="E939" s="5">
        <v>101.61</v>
      </c>
    </row>
    <row r="940" spans="2:5" x14ac:dyDescent="0.3">
      <c r="B940" s="1">
        <v>42262</v>
      </c>
      <c r="C940" s="5" t="s">
        <v>5</v>
      </c>
      <c r="D940" s="5" t="s">
        <v>6</v>
      </c>
      <c r="E940" s="5">
        <v>100.94</v>
      </c>
    </row>
    <row r="941" spans="2:5" x14ac:dyDescent="0.3">
      <c r="B941" s="1">
        <v>42261</v>
      </c>
      <c r="C941" s="5" t="s">
        <v>5</v>
      </c>
      <c r="D941" s="5" t="s">
        <v>6</v>
      </c>
      <c r="E941" s="5">
        <v>101.83</v>
      </c>
    </row>
    <row r="942" spans="2:5" x14ac:dyDescent="0.3">
      <c r="B942" s="1">
        <v>42258</v>
      </c>
      <c r="C942" s="5" t="s">
        <v>5</v>
      </c>
      <c r="D942" s="5" t="s">
        <v>6</v>
      </c>
      <c r="E942" s="5">
        <v>102.62</v>
      </c>
    </row>
    <row r="943" spans="2:5" x14ac:dyDescent="0.3">
      <c r="B943" s="1">
        <v>42257</v>
      </c>
      <c r="C943" s="5" t="s">
        <v>5</v>
      </c>
      <c r="D943" s="5" t="s">
        <v>6</v>
      </c>
      <c r="E943" s="5">
        <v>101.64</v>
      </c>
    </row>
    <row r="944" spans="2:5" x14ac:dyDescent="0.3">
      <c r="B944" s="1">
        <v>42256</v>
      </c>
      <c r="C944" s="5" t="s">
        <v>5</v>
      </c>
      <c r="D944" s="5" t="s">
        <v>6</v>
      </c>
      <c r="E944" s="5">
        <v>102.68</v>
      </c>
    </row>
    <row r="945" spans="2:5" x14ac:dyDescent="0.3">
      <c r="B945" s="1">
        <v>42255</v>
      </c>
      <c r="C945" s="5" t="s">
        <v>5</v>
      </c>
      <c r="D945" s="5" t="s">
        <v>6</v>
      </c>
      <c r="E945" s="5">
        <v>101.72</v>
      </c>
    </row>
    <row r="946" spans="2:5" x14ac:dyDescent="0.3">
      <c r="B946" s="1">
        <v>42254</v>
      </c>
      <c r="C946" s="5" t="s">
        <v>5</v>
      </c>
      <c r="D946" s="5" t="s">
        <v>6</v>
      </c>
      <c r="E946" s="5">
        <v>100.25</v>
      </c>
    </row>
    <row r="947" spans="2:5" x14ac:dyDescent="0.3">
      <c r="B947" s="1">
        <v>42251</v>
      </c>
      <c r="C947" s="5" t="s">
        <v>5</v>
      </c>
      <c r="D947" s="5" t="s">
        <v>6</v>
      </c>
      <c r="E947" s="5">
        <v>104.38</v>
      </c>
    </row>
    <row r="948" spans="2:5" x14ac:dyDescent="0.3">
      <c r="B948" s="1">
        <v>42250</v>
      </c>
      <c r="C948" s="5" t="s">
        <v>5</v>
      </c>
      <c r="D948" s="5" t="s">
        <v>6</v>
      </c>
      <c r="E948" s="5">
        <v>108.24</v>
      </c>
    </row>
    <row r="949" spans="2:5" x14ac:dyDescent="0.3">
      <c r="B949" s="1">
        <v>42249</v>
      </c>
      <c r="C949" s="5" t="s">
        <v>5</v>
      </c>
      <c r="D949" s="5" t="s">
        <v>6</v>
      </c>
      <c r="E949" s="5">
        <v>108.67</v>
      </c>
    </row>
    <row r="950" spans="2:5" x14ac:dyDescent="0.3">
      <c r="B950" s="1">
        <v>42248</v>
      </c>
      <c r="C950" s="5" t="s">
        <v>5</v>
      </c>
      <c r="D950" s="5" t="s">
        <v>6</v>
      </c>
      <c r="E950" s="5">
        <v>107.99</v>
      </c>
    </row>
    <row r="951" spans="2:5" x14ac:dyDescent="0.3">
      <c r="B951" s="1">
        <v>42247</v>
      </c>
      <c r="C951" s="5" t="s">
        <v>5</v>
      </c>
      <c r="D951" s="5" t="s">
        <v>6</v>
      </c>
      <c r="E951" s="5">
        <v>110.3</v>
      </c>
    </row>
    <row r="952" spans="2:5" x14ac:dyDescent="0.3">
      <c r="B952" s="1">
        <v>42244</v>
      </c>
      <c r="C952" s="5" t="s">
        <v>5</v>
      </c>
      <c r="D952" s="5" t="s">
        <v>6</v>
      </c>
      <c r="E952" s="5">
        <v>109.9</v>
      </c>
    </row>
    <row r="953" spans="2:5" x14ac:dyDescent="0.3">
      <c r="B953" s="1">
        <v>42243</v>
      </c>
      <c r="C953" s="5" t="s">
        <v>5</v>
      </c>
      <c r="D953" s="5" t="s">
        <v>6</v>
      </c>
      <c r="E953" s="5">
        <v>109.75</v>
      </c>
    </row>
    <row r="954" spans="2:5" x14ac:dyDescent="0.3">
      <c r="B954" s="1">
        <v>42242</v>
      </c>
      <c r="C954" s="5" t="s">
        <v>5</v>
      </c>
      <c r="D954" s="5" t="s">
        <v>6</v>
      </c>
      <c r="E954" s="5">
        <v>107.33</v>
      </c>
    </row>
    <row r="955" spans="2:5" x14ac:dyDescent="0.3">
      <c r="B955" s="1">
        <v>42241</v>
      </c>
      <c r="C955" s="5" t="s">
        <v>5</v>
      </c>
      <c r="D955" s="5" t="s">
        <v>6</v>
      </c>
      <c r="E955" s="5">
        <v>109.49</v>
      </c>
    </row>
    <row r="956" spans="2:5" x14ac:dyDescent="0.3">
      <c r="B956" s="1">
        <v>42240</v>
      </c>
      <c r="C956" s="5" t="s">
        <v>5</v>
      </c>
      <c r="D956" s="5" t="s">
        <v>6</v>
      </c>
      <c r="E956" s="5">
        <v>104.58</v>
      </c>
    </row>
    <row r="957" spans="2:5" x14ac:dyDescent="0.3">
      <c r="B957" s="1">
        <v>42237</v>
      </c>
      <c r="C957" s="5" t="s">
        <v>5</v>
      </c>
      <c r="D957" s="5" t="s">
        <v>6</v>
      </c>
      <c r="E957" s="5">
        <v>110.03</v>
      </c>
    </row>
    <row r="958" spans="2:5" x14ac:dyDescent="0.3">
      <c r="B958" s="1">
        <v>42236</v>
      </c>
      <c r="C958" s="5" t="s">
        <v>5</v>
      </c>
      <c r="D958" s="5" t="s">
        <v>6</v>
      </c>
      <c r="E958" s="5">
        <v>113.94</v>
      </c>
    </row>
    <row r="959" spans="2:5" x14ac:dyDescent="0.3">
      <c r="B959" s="1">
        <v>42235</v>
      </c>
      <c r="C959" s="5" t="s">
        <v>5</v>
      </c>
      <c r="D959" s="5" t="s">
        <v>6</v>
      </c>
      <c r="E959" s="5">
        <v>114.13</v>
      </c>
    </row>
    <row r="960" spans="2:5" x14ac:dyDescent="0.3">
      <c r="B960" s="1">
        <v>42234</v>
      </c>
      <c r="C960" s="5" t="s">
        <v>5</v>
      </c>
      <c r="D960" s="5" t="s">
        <v>6</v>
      </c>
      <c r="E960" s="5">
        <v>115.44</v>
      </c>
    </row>
    <row r="961" spans="2:5" x14ac:dyDescent="0.3">
      <c r="B961" s="1">
        <v>42233</v>
      </c>
      <c r="C961" s="5" t="s">
        <v>5</v>
      </c>
      <c r="D961" s="5" t="s">
        <v>6</v>
      </c>
      <c r="E961" s="5">
        <v>114.99</v>
      </c>
    </row>
    <row r="962" spans="2:5" x14ac:dyDescent="0.3">
      <c r="B962" s="1">
        <v>42229</v>
      </c>
      <c r="C962" s="5" t="s">
        <v>5</v>
      </c>
      <c r="D962" s="5" t="s">
        <v>6</v>
      </c>
      <c r="E962" s="5">
        <v>116.12</v>
      </c>
    </row>
    <row r="963" spans="2:5" x14ac:dyDescent="0.3">
      <c r="B963" s="1">
        <v>42228</v>
      </c>
      <c r="C963" s="5" t="s">
        <v>5</v>
      </c>
      <c r="D963" s="5" t="s">
        <v>6</v>
      </c>
      <c r="E963" s="5">
        <v>117.31</v>
      </c>
    </row>
    <row r="964" spans="2:5" x14ac:dyDescent="0.3">
      <c r="B964" s="1">
        <v>42227</v>
      </c>
      <c r="C964" s="5" t="s">
        <v>5</v>
      </c>
      <c r="D964" s="5" t="s">
        <v>6</v>
      </c>
      <c r="E964" s="5">
        <v>119.95</v>
      </c>
    </row>
    <row r="965" spans="2:5" x14ac:dyDescent="0.3">
      <c r="B965" s="1">
        <v>42226</v>
      </c>
      <c r="C965" s="5" t="s">
        <v>5</v>
      </c>
      <c r="D965" s="5" t="s">
        <v>6</v>
      </c>
      <c r="E965" s="5">
        <v>119.97</v>
      </c>
    </row>
    <row r="966" spans="2:5" x14ac:dyDescent="0.3">
      <c r="B966" s="1">
        <v>42223</v>
      </c>
      <c r="C966" s="5" t="s">
        <v>5</v>
      </c>
      <c r="D966" s="5" t="s">
        <v>6</v>
      </c>
      <c r="E966" s="5">
        <v>121.45</v>
      </c>
    </row>
    <row r="967" spans="2:5" x14ac:dyDescent="0.3">
      <c r="B967" s="1">
        <v>42222</v>
      </c>
      <c r="C967" s="5" t="s">
        <v>5</v>
      </c>
      <c r="D967" s="5" t="s">
        <v>6</v>
      </c>
      <c r="E967" s="5">
        <v>118.89</v>
      </c>
    </row>
    <row r="968" spans="2:5" x14ac:dyDescent="0.3">
      <c r="B968" s="1">
        <v>42221</v>
      </c>
      <c r="C968" s="5" t="s">
        <v>5</v>
      </c>
      <c r="D968" s="5" t="s">
        <v>6</v>
      </c>
      <c r="E968" s="5">
        <v>118.14</v>
      </c>
    </row>
    <row r="969" spans="2:5" x14ac:dyDescent="0.3">
      <c r="B969" s="1">
        <v>42220</v>
      </c>
      <c r="C969" s="5" t="s">
        <v>5</v>
      </c>
      <c r="D969" s="5" t="s">
        <v>6</v>
      </c>
      <c r="E969" s="5">
        <v>117.34</v>
      </c>
    </row>
    <row r="970" spans="2:5" x14ac:dyDescent="0.3">
      <c r="B970" s="1">
        <v>42219</v>
      </c>
      <c r="C970" s="5" t="s">
        <v>5</v>
      </c>
      <c r="D970" s="5" t="s">
        <v>6</v>
      </c>
      <c r="E970" s="5">
        <v>114.92</v>
      </c>
    </row>
    <row r="971" spans="2:5" x14ac:dyDescent="0.3">
      <c r="B971" s="1">
        <v>42216</v>
      </c>
      <c r="C971" s="5" t="s">
        <v>5</v>
      </c>
      <c r="D971" s="5" t="s">
        <v>6</v>
      </c>
      <c r="E971" s="5">
        <v>114.48</v>
      </c>
    </row>
    <row r="972" spans="2:5" x14ac:dyDescent="0.3">
      <c r="B972" s="1">
        <v>42215</v>
      </c>
      <c r="C972" s="5" t="s">
        <v>5</v>
      </c>
      <c r="D972" s="5" t="s">
        <v>6</v>
      </c>
      <c r="E972" s="5">
        <v>115.84</v>
      </c>
    </row>
    <row r="973" spans="2:5" x14ac:dyDescent="0.3">
      <c r="B973" s="1">
        <v>42214</v>
      </c>
      <c r="C973" s="5" t="s">
        <v>5</v>
      </c>
      <c r="D973" s="5" t="s">
        <v>6</v>
      </c>
      <c r="E973" s="5">
        <v>116.33</v>
      </c>
    </row>
    <row r="974" spans="2:5" x14ac:dyDescent="0.3">
      <c r="B974" s="1">
        <v>42213</v>
      </c>
      <c r="C974" s="5" t="s">
        <v>5</v>
      </c>
      <c r="D974" s="5" t="s">
        <v>6</v>
      </c>
      <c r="E974" s="5">
        <v>114.96</v>
      </c>
    </row>
    <row r="975" spans="2:5" x14ac:dyDescent="0.3">
      <c r="B975" s="1">
        <v>42212</v>
      </c>
      <c r="C975" s="5" t="s">
        <v>5</v>
      </c>
      <c r="D975" s="5" t="s">
        <v>6</v>
      </c>
      <c r="E975" s="5">
        <v>116.91</v>
      </c>
    </row>
    <row r="976" spans="2:5" x14ac:dyDescent="0.3">
      <c r="B976" s="1">
        <v>42209</v>
      </c>
      <c r="C976" s="5" t="s">
        <v>5</v>
      </c>
      <c r="D976" s="5" t="s">
        <v>6</v>
      </c>
      <c r="E976" s="5">
        <v>119.04</v>
      </c>
    </row>
    <row r="977" spans="2:5" x14ac:dyDescent="0.3">
      <c r="B977" s="1">
        <v>42208</v>
      </c>
      <c r="C977" s="5" t="s">
        <v>5</v>
      </c>
      <c r="D977" s="5" t="s">
        <v>6</v>
      </c>
      <c r="E977" s="5">
        <v>119.03</v>
      </c>
    </row>
    <row r="978" spans="2:5" x14ac:dyDescent="0.3">
      <c r="B978" s="1">
        <v>42207</v>
      </c>
      <c r="C978" s="5" t="s">
        <v>5</v>
      </c>
      <c r="D978" s="5" t="s">
        <v>6</v>
      </c>
      <c r="E978" s="5">
        <v>120.87</v>
      </c>
    </row>
    <row r="979" spans="2:5" x14ac:dyDescent="0.3">
      <c r="B979" s="1">
        <v>42201</v>
      </c>
      <c r="C979" s="5" t="s">
        <v>5</v>
      </c>
      <c r="D979" s="5" t="s">
        <v>6</v>
      </c>
      <c r="E979" s="5">
        <v>121.15</v>
      </c>
    </row>
    <row r="980" spans="2:5" x14ac:dyDescent="0.3">
      <c r="B980" s="1">
        <v>42200</v>
      </c>
      <c r="C980" s="5" t="s">
        <v>5</v>
      </c>
      <c r="D980" s="5" t="s">
        <v>6</v>
      </c>
      <c r="E980" s="5">
        <v>122.05</v>
      </c>
    </row>
    <row r="981" spans="2:5" x14ac:dyDescent="0.3">
      <c r="B981" s="1">
        <v>42199</v>
      </c>
      <c r="C981" s="5" t="s">
        <v>5</v>
      </c>
      <c r="D981" s="5" t="s">
        <v>6</v>
      </c>
      <c r="E981" s="5">
        <v>119.8</v>
      </c>
    </row>
    <row r="982" spans="2:5" x14ac:dyDescent="0.3">
      <c r="B982" s="1">
        <v>42198</v>
      </c>
      <c r="C982" s="5" t="s">
        <v>5</v>
      </c>
      <c r="D982" s="5" t="s">
        <v>6</v>
      </c>
      <c r="E982" s="5">
        <v>118.77</v>
      </c>
    </row>
    <row r="983" spans="2:5" x14ac:dyDescent="0.3">
      <c r="B983" s="1">
        <v>42195</v>
      </c>
      <c r="C983" s="5" t="s">
        <v>5</v>
      </c>
      <c r="D983" s="5" t="s">
        <v>6</v>
      </c>
      <c r="E983" s="5">
        <v>115.49</v>
      </c>
    </row>
    <row r="984" spans="2:5" x14ac:dyDescent="0.3">
      <c r="B984" s="1">
        <v>42194</v>
      </c>
      <c r="C984" s="5" t="s">
        <v>5</v>
      </c>
      <c r="D984" s="5" t="s">
        <v>6</v>
      </c>
      <c r="E984" s="5">
        <v>115.57</v>
      </c>
    </row>
    <row r="985" spans="2:5" x14ac:dyDescent="0.3">
      <c r="B985" s="1">
        <v>42193</v>
      </c>
      <c r="C985" s="5" t="s">
        <v>5</v>
      </c>
      <c r="D985" s="5" t="s">
        <v>6</v>
      </c>
      <c r="E985" s="5">
        <v>115.9</v>
      </c>
    </row>
    <row r="986" spans="2:5" x14ac:dyDescent="0.3">
      <c r="B986" s="1">
        <v>42192</v>
      </c>
      <c r="C986" s="5" t="s">
        <v>5</v>
      </c>
      <c r="D986" s="5" t="s">
        <v>6</v>
      </c>
      <c r="E986" s="5">
        <v>117.94</v>
      </c>
    </row>
    <row r="987" spans="2:5" x14ac:dyDescent="0.3">
      <c r="B987" s="1">
        <v>42191</v>
      </c>
      <c r="C987" s="5" t="s">
        <v>5</v>
      </c>
      <c r="D987" s="5" t="s">
        <v>6</v>
      </c>
      <c r="E987" s="5">
        <v>119.75</v>
      </c>
    </row>
    <row r="988" spans="2:5" x14ac:dyDescent="0.3">
      <c r="B988" s="1">
        <v>42188</v>
      </c>
      <c r="C988" s="5" t="s">
        <v>5</v>
      </c>
      <c r="D988" s="5" t="s">
        <v>6</v>
      </c>
      <c r="E988" s="5">
        <v>120</v>
      </c>
    </row>
    <row r="989" spans="2:5" x14ac:dyDescent="0.3">
      <c r="B989" s="1">
        <v>42187</v>
      </c>
      <c r="C989" s="5" t="s">
        <v>5</v>
      </c>
      <c r="D989" s="5" t="s">
        <v>6</v>
      </c>
      <c r="E989" s="5">
        <v>117.4</v>
      </c>
    </row>
    <row r="990" spans="2:5" x14ac:dyDescent="0.3">
      <c r="B990" s="1">
        <v>42186</v>
      </c>
      <c r="C990" s="5" t="s">
        <v>5</v>
      </c>
      <c r="D990" s="5" t="s">
        <v>6</v>
      </c>
      <c r="E990" s="5">
        <v>115.87</v>
      </c>
    </row>
    <row r="991" spans="2:5" x14ac:dyDescent="0.3">
      <c r="B991" s="1">
        <v>42185</v>
      </c>
      <c r="C991" s="5" t="s">
        <v>5</v>
      </c>
      <c r="D991" s="5" t="s">
        <v>6</v>
      </c>
      <c r="E991" s="5">
        <v>114.23</v>
      </c>
    </row>
    <row r="992" spans="2:5" x14ac:dyDescent="0.3">
      <c r="B992" s="1">
        <v>42184</v>
      </c>
      <c r="C992" s="5" t="s">
        <v>5</v>
      </c>
      <c r="D992" s="5" t="s">
        <v>6</v>
      </c>
      <c r="E992" s="5">
        <v>114.13</v>
      </c>
    </row>
    <row r="993" spans="2:5" x14ac:dyDescent="0.3">
      <c r="B993" s="1">
        <v>42181</v>
      </c>
      <c r="C993" s="5" t="s">
        <v>5</v>
      </c>
      <c r="D993" s="5" t="s">
        <v>6</v>
      </c>
      <c r="E993" s="5">
        <v>113.94</v>
      </c>
    </row>
    <row r="994" spans="2:5" x14ac:dyDescent="0.3">
      <c r="B994" s="1">
        <v>42180</v>
      </c>
      <c r="C994" s="5" t="s">
        <v>5</v>
      </c>
      <c r="D994" s="5" t="s">
        <v>6</v>
      </c>
      <c r="E994" s="5">
        <v>112.57</v>
      </c>
    </row>
    <row r="995" spans="2:5" x14ac:dyDescent="0.3">
      <c r="B995" s="1">
        <v>42179</v>
      </c>
      <c r="C995" s="5" t="s">
        <v>5</v>
      </c>
      <c r="D995" s="5" t="s">
        <v>6</v>
      </c>
      <c r="E995" s="5">
        <v>112.84</v>
      </c>
    </row>
    <row r="996" spans="2:5" x14ac:dyDescent="0.3">
      <c r="B996" s="1">
        <v>42178</v>
      </c>
      <c r="C996" s="5" t="s">
        <v>5</v>
      </c>
      <c r="D996" s="5" t="s">
        <v>6</v>
      </c>
      <c r="E996" s="5">
        <v>113.43</v>
      </c>
    </row>
    <row r="997" spans="2:5" x14ac:dyDescent="0.3">
      <c r="B997" s="1">
        <v>42177</v>
      </c>
      <c r="C997" s="5" t="s">
        <v>5</v>
      </c>
      <c r="D997" s="5" t="s">
        <v>6</v>
      </c>
      <c r="E997" s="5">
        <v>114</v>
      </c>
    </row>
    <row r="998" spans="2:5" x14ac:dyDescent="0.3">
      <c r="B998" s="1">
        <v>42174</v>
      </c>
      <c r="C998" s="5" t="s">
        <v>5</v>
      </c>
      <c r="D998" s="5" t="s">
        <v>6</v>
      </c>
      <c r="E998" s="5">
        <v>116.08</v>
      </c>
    </row>
    <row r="999" spans="2:5" x14ac:dyDescent="0.3">
      <c r="B999" s="1">
        <v>42173</v>
      </c>
      <c r="C999" s="5" t="s">
        <v>5</v>
      </c>
      <c r="D999" s="5" t="s">
        <v>6</v>
      </c>
      <c r="E999" s="5">
        <v>116.51</v>
      </c>
    </row>
    <row r="1000" spans="2:5" x14ac:dyDescent="0.3">
      <c r="B1000" s="1">
        <v>42172</v>
      </c>
      <c r="C1000" s="5" t="s">
        <v>5</v>
      </c>
      <c r="D1000" s="5" t="s">
        <v>6</v>
      </c>
      <c r="E1000" s="5">
        <v>117.34</v>
      </c>
    </row>
    <row r="1001" spans="2:5" x14ac:dyDescent="0.3">
      <c r="B1001" s="1">
        <v>42171</v>
      </c>
      <c r="C1001" s="5" t="s">
        <v>5</v>
      </c>
      <c r="D1001" s="5" t="s">
        <v>6</v>
      </c>
      <c r="E1001" s="5">
        <v>118.55</v>
      </c>
    </row>
    <row r="1002" spans="2:5" x14ac:dyDescent="0.3">
      <c r="B1002" s="1">
        <v>42170</v>
      </c>
      <c r="C1002" s="5" t="s">
        <v>5</v>
      </c>
      <c r="D1002" s="5" t="s">
        <v>6</v>
      </c>
      <c r="E1002" s="5">
        <v>120.11</v>
      </c>
    </row>
    <row r="1003" spans="2:5" x14ac:dyDescent="0.3">
      <c r="B1003" s="1">
        <v>42167</v>
      </c>
      <c r="C1003" s="5" t="s">
        <v>5</v>
      </c>
      <c r="D1003" s="5" t="s">
        <v>6</v>
      </c>
      <c r="E1003" s="5">
        <v>120.62</v>
      </c>
    </row>
    <row r="1004" spans="2:5" x14ac:dyDescent="0.3">
      <c r="B1004" s="1">
        <v>42166</v>
      </c>
      <c r="C1004" s="5" t="s">
        <v>5</v>
      </c>
      <c r="D1004" s="5" t="s">
        <v>6</v>
      </c>
      <c r="E1004" s="5">
        <v>116.68</v>
      </c>
    </row>
    <row r="1005" spans="2:5" x14ac:dyDescent="0.3">
      <c r="B1005" s="1">
        <v>42165</v>
      </c>
      <c r="C1005" s="5" t="s">
        <v>5</v>
      </c>
      <c r="D1005" s="5" t="s">
        <v>6</v>
      </c>
      <c r="E1005" s="5">
        <v>116.34</v>
      </c>
    </row>
    <row r="1006" spans="2:5" x14ac:dyDescent="0.3">
      <c r="B1006" s="1">
        <v>42164</v>
      </c>
      <c r="C1006" s="5" t="s">
        <v>5</v>
      </c>
      <c r="D1006" s="5" t="s">
        <v>6</v>
      </c>
      <c r="E1006" s="5">
        <v>116.11</v>
      </c>
    </row>
    <row r="1007" spans="2:5" x14ac:dyDescent="0.3">
      <c r="B1007" s="1">
        <v>42163</v>
      </c>
      <c r="C1007" s="5" t="s">
        <v>5</v>
      </c>
      <c r="D1007" s="5" t="s">
        <v>6</v>
      </c>
      <c r="E1007" s="5">
        <v>116.85</v>
      </c>
    </row>
    <row r="1008" spans="2:5" x14ac:dyDescent="0.3">
      <c r="B1008" s="1">
        <v>42160</v>
      </c>
      <c r="C1008" s="5" t="s">
        <v>5</v>
      </c>
      <c r="D1008" s="5" t="s">
        <v>6</v>
      </c>
      <c r="E1008" s="5">
        <v>113.93</v>
      </c>
    </row>
    <row r="1009" spans="2:5" x14ac:dyDescent="0.3">
      <c r="B1009" s="1">
        <v>42159</v>
      </c>
      <c r="C1009" s="5" t="s">
        <v>5</v>
      </c>
      <c r="D1009" s="5" t="s">
        <v>6</v>
      </c>
      <c r="E1009" s="5">
        <v>110.8</v>
      </c>
    </row>
    <row r="1010" spans="2:5" x14ac:dyDescent="0.3">
      <c r="B1010" s="1">
        <v>42158</v>
      </c>
      <c r="C1010" s="5" t="s">
        <v>5</v>
      </c>
      <c r="D1010" s="5" t="s">
        <v>6</v>
      </c>
      <c r="E1010" s="5">
        <v>109.05</v>
      </c>
    </row>
    <row r="1011" spans="2:5" x14ac:dyDescent="0.3">
      <c r="B1011" s="1">
        <v>42157</v>
      </c>
      <c r="C1011" s="5" t="s">
        <v>5</v>
      </c>
      <c r="D1011" s="5" t="s">
        <v>6</v>
      </c>
      <c r="E1011" s="5">
        <v>110.2</v>
      </c>
    </row>
    <row r="1012" spans="2:5" x14ac:dyDescent="0.3">
      <c r="B1012" s="1">
        <v>42156</v>
      </c>
      <c r="C1012" s="5" t="s">
        <v>5</v>
      </c>
      <c r="D1012" s="5" t="s">
        <v>6</v>
      </c>
      <c r="E1012" s="5">
        <v>111.02</v>
      </c>
    </row>
    <row r="1013" spans="2:5" x14ac:dyDescent="0.3">
      <c r="B1013" s="1">
        <v>42153</v>
      </c>
      <c r="C1013" s="5" t="s">
        <v>5</v>
      </c>
      <c r="D1013" s="5" t="s">
        <v>6</v>
      </c>
      <c r="E1013" s="5">
        <v>108.37</v>
      </c>
    </row>
    <row r="1014" spans="2:5" x14ac:dyDescent="0.3">
      <c r="B1014" s="1">
        <v>42152</v>
      </c>
      <c r="C1014" s="5" t="s">
        <v>5</v>
      </c>
      <c r="D1014" s="5" t="s">
        <v>6</v>
      </c>
      <c r="E1014" s="5">
        <v>107.63</v>
      </c>
    </row>
    <row r="1015" spans="2:5" x14ac:dyDescent="0.3">
      <c r="B1015" s="1">
        <v>42151</v>
      </c>
      <c r="C1015" s="5" t="s">
        <v>5</v>
      </c>
      <c r="D1015" s="5" t="s">
        <v>6</v>
      </c>
      <c r="E1015" s="5">
        <v>110.01</v>
      </c>
    </row>
    <row r="1016" spans="2:5" x14ac:dyDescent="0.3">
      <c r="B1016" s="1">
        <v>42150</v>
      </c>
      <c r="C1016" s="5" t="s">
        <v>5</v>
      </c>
      <c r="D1016" s="5" t="s">
        <v>6</v>
      </c>
      <c r="E1016" s="5">
        <v>104.91</v>
      </c>
    </row>
    <row r="1017" spans="2:5" x14ac:dyDescent="0.3">
      <c r="B1017" s="1">
        <v>42149</v>
      </c>
      <c r="C1017" s="5" t="s">
        <v>5</v>
      </c>
      <c r="D1017" s="5" t="s">
        <v>6</v>
      </c>
      <c r="E1017" s="5">
        <v>106.14</v>
      </c>
    </row>
    <row r="1018" spans="2:5" x14ac:dyDescent="0.3">
      <c r="B1018" s="1">
        <v>42146</v>
      </c>
      <c r="C1018" s="5" t="s">
        <v>5</v>
      </c>
      <c r="D1018" s="5" t="s">
        <v>6</v>
      </c>
      <c r="E1018" s="5">
        <v>104.82</v>
      </c>
    </row>
    <row r="1019" spans="2:5" x14ac:dyDescent="0.3">
      <c r="B1019" s="1">
        <v>42145</v>
      </c>
      <c r="C1019" s="5" t="s">
        <v>5</v>
      </c>
      <c r="D1019" s="5" t="s">
        <v>6</v>
      </c>
      <c r="E1019" s="5">
        <v>104.93</v>
      </c>
    </row>
    <row r="1020" spans="2:5" x14ac:dyDescent="0.3">
      <c r="B1020" s="1">
        <v>42144</v>
      </c>
      <c r="C1020" s="5" t="s">
        <v>5</v>
      </c>
      <c r="D1020" s="5" t="s">
        <v>6</v>
      </c>
      <c r="E1020" s="5">
        <v>104.03</v>
      </c>
    </row>
    <row r="1021" spans="2:5" x14ac:dyDescent="0.3">
      <c r="B1021" s="1">
        <v>42143</v>
      </c>
      <c r="C1021" s="5" t="s">
        <v>5</v>
      </c>
      <c r="D1021" s="5" t="s">
        <v>6</v>
      </c>
      <c r="E1021" s="5">
        <v>103.82</v>
      </c>
    </row>
    <row r="1022" spans="2:5" x14ac:dyDescent="0.3">
      <c r="B1022" s="1">
        <v>42142</v>
      </c>
      <c r="C1022" s="5" t="s">
        <v>5</v>
      </c>
      <c r="D1022" s="5" t="s">
        <v>6</v>
      </c>
      <c r="E1022" s="5">
        <v>106.04</v>
      </c>
    </row>
    <row r="1023" spans="2:5" x14ac:dyDescent="0.3">
      <c r="B1023" s="1">
        <v>42139</v>
      </c>
      <c r="C1023" s="5" t="s">
        <v>5</v>
      </c>
      <c r="D1023" s="5" t="s">
        <v>6</v>
      </c>
      <c r="E1023" s="5">
        <v>107.59</v>
      </c>
    </row>
    <row r="1024" spans="2:5" x14ac:dyDescent="0.3">
      <c r="B1024" s="1">
        <v>42138</v>
      </c>
      <c r="C1024" s="5" t="s">
        <v>5</v>
      </c>
      <c r="D1024" s="5" t="s">
        <v>6</v>
      </c>
      <c r="E1024" s="5">
        <v>108.36</v>
      </c>
    </row>
    <row r="1025" spans="2:5" x14ac:dyDescent="0.3">
      <c r="B1025" s="1">
        <v>42137</v>
      </c>
      <c r="C1025" s="5" t="s">
        <v>5</v>
      </c>
      <c r="D1025" s="5" t="s">
        <v>6</v>
      </c>
      <c r="E1025" s="5">
        <v>107.21</v>
      </c>
    </row>
    <row r="1026" spans="2:5" x14ac:dyDescent="0.3">
      <c r="B1026" s="1">
        <v>42136</v>
      </c>
      <c r="C1026" s="5" t="s">
        <v>5</v>
      </c>
      <c r="D1026" s="5" t="s">
        <v>6</v>
      </c>
      <c r="E1026" s="5">
        <v>108.03</v>
      </c>
    </row>
    <row r="1027" spans="2:5" x14ac:dyDescent="0.3">
      <c r="B1027" s="1">
        <v>42135</v>
      </c>
      <c r="C1027" s="5" t="s">
        <v>5</v>
      </c>
      <c r="D1027" s="5" t="s">
        <v>6</v>
      </c>
      <c r="E1027" s="5">
        <v>106.57</v>
      </c>
    </row>
    <row r="1028" spans="2:5" x14ac:dyDescent="0.3">
      <c r="B1028" s="1">
        <v>42132</v>
      </c>
      <c r="C1028" s="5" t="s">
        <v>5</v>
      </c>
      <c r="D1028" s="5" t="s">
        <v>6</v>
      </c>
      <c r="E1028" s="5">
        <v>110.57</v>
      </c>
    </row>
    <row r="1029" spans="2:5" x14ac:dyDescent="0.3">
      <c r="B1029" s="1">
        <v>42131</v>
      </c>
      <c r="C1029" s="5" t="s">
        <v>5</v>
      </c>
      <c r="D1029" s="5" t="s">
        <v>6</v>
      </c>
      <c r="E1029" s="5">
        <v>110.91</v>
      </c>
    </row>
    <row r="1030" spans="2:5" x14ac:dyDescent="0.3">
      <c r="B1030" s="1">
        <v>42130</v>
      </c>
      <c r="C1030" s="5" t="s">
        <v>5</v>
      </c>
      <c r="D1030" s="5" t="s">
        <v>6</v>
      </c>
      <c r="E1030" s="5">
        <v>112.95</v>
      </c>
    </row>
    <row r="1031" spans="2:5" x14ac:dyDescent="0.3">
      <c r="B1031" s="1">
        <v>42129</v>
      </c>
      <c r="C1031" s="5" t="s">
        <v>5</v>
      </c>
      <c r="D1031" s="5" t="s">
        <v>6</v>
      </c>
      <c r="E1031" s="5">
        <v>112.4</v>
      </c>
    </row>
    <row r="1032" spans="2:5" x14ac:dyDescent="0.3">
      <c r="B1032" s="1">
        <v>42128</v>
      </c>
      <c r="C1032" s="5" t="s">
        <v>5</v>
      </c>
      <c r="D1032" s="5" t="s">
        <v>6</v>
      </c>
      <c r="E1032" s="5">
        <v>112.97</v>
      </c>
    </row>
    <row r="1033" spans="2:5" x14ac:dyDescent="0.3">
      <c r="B1033" s="1">
        <v>42124</v>
      </c>
      <c r="C1033" s="5" t="s">
        <v>5</v>
      </c>
      <c r="D1033" s="5" t="s">
        <v>6</v>
      </c>
      <c r="E1033" s="5">
        <v>112.25</v>
      </c>
    </row>
    <row r="1034" spans="2:5" x14ac:dyDescent="0.3">
      <c r="B1034" s="1">
        <v>42123</v>
      </c>
      <c r="C1034" s="5" t="s">
        <v>5</v>
      </c>
      <c r="D1034" s="5" t="s">
        <v>6</v>
      </c>
      <c r="E1034" s="5">
        <v>111.06</v>
      </c>
    </row>
    <row r="1035" spans="2:5" x14ac:dyDescent="0.3">
      <c r="B1035" s="1">
        <v>42122</v>
      </c>
      <c r="C1035" s="5" t="s">
        <v>5</v>
      </c>
      <c r="D1035" s="5" t="s">
        <v>6</v>
      </c>
      <c r="E1035" s="5">
        <v>110.68</v>
      </c>
    </row>
    <row r="1036" spans="2:5" x14ac:dyDescent="0.3">
      <c r="B1036" s="1">
        <v>42121</v>
      </c>
      <c r="C1036" s="5" t="s">
        <v>5</v>
      </c>
      <c r="D1036" s="5" t="s">
        <v>6</v>
      </c>
      <c r="E1036" s="5">
        <v>110.15</v>
      </c>
    </row>
    <row r="1037" spans="2:5" x14ac:dyDescent="0.3">
      <c r="B1037" s="1">
        <v>42118</v>
      </c>
      <c r="C1037" s="5" t="s">
        <v>5</v>
      </c>
      <c r="D1037" s="5" t="s">
        <v>6</v>
      </c>
      <c r="E1037" s="5">
        <v>111.61</v>
      </c>
    </row>
    <row r="1038" spans="2:5" x14ac:dyDescent="0.3">
      <c r="B1038" s="1">
        <v>42117</v>
      </c>
      <c r="C1038" s="5" t="s">
        <v>5</v>
      </c>
      <c r="D1038" s="5" t="s">
        <v>6</v>
      </c>
      <c r="E1038" s="5">
        <v>110.17</v>
      </c>
    </row>
    <row r="1039" spans="2:5" x14ac:dyDescent="0.3">
      <c r="B1039" s="1">
        <v>42116</v>
      </c>
      <c r="C1039" s="5" t="s">
        <v>5</v>
      </c>
      <c r="D1039" s="5" t="s">
        <v>6</v>
      </c>
      <c r="E1039" s="5">
        <v>110.44</v>
      </c>
    </row>
    <row r="1040" spans="2:5" x14ac:dyDescent="0.3">
      <c r="B1040" s="1">
        <v>42115</v>
      </c>
      <c r="C1040" s="5" t="s">
        <v>5</v>
      </c>
      <c r="D1040" s="5" t="s">
        <v>6</v>
      </c>
      <c r="E1040" s="5">
        <v>107.17</v>
      </c>
    </row>
    <row r="1041" spans="2:5" x14ac:dyDescent="0.3">
      <c r="B1041" s="1">
        <v>42114</v>
      </c>
      <c r="C1041" s="5" t="s">
        <v>5</v>
      </c>
      <c r="D1041" s="5" t="s">
        <v>6</v>
      </c>
      <c r="E1041" s="5">
        <v>111.83</v>
      </c>
    </row>
    <row r="1042" spans="2:5" x14ac:dyDescent="0.3">
      <c r="B1042" s="1">
        <v>42111</v>
      </c>
      <c r="C1042" s="5" t="s">
        <v>5</v>
      </c>
      <c r="D1042" s="5" t="s">
        <v>6</v>
      </c>
      <c r="E1042" s="5">
        <v>115.97</v>
      </c>
    </row>
    <row r="1043" spans="2:5" x14ac:dyDescent="0.3">
      <c r="B1043" s="1">
        <v>42110</v>
      </c>
      <c r="C1043" s="5" t="s">
        <v>5</v>
      </c>
      <c r="D1043" s="5" t="s">
        <v>6</v>
      </c>
      <c r="E1043" s="5">
        <v>115.53</v>
      </c>
    </row>
    <row r="1044" spans="2:5" x14ac:dyDescent="0.3">
      <c r="B1044" s="1">
        <v>42109</v>
      </c>
      <c r="C1044" s="5" t="s">
        <v>5</v>
      </c>
      <c r="D1044" s="5" t="s">
        <v>6</v>
      </c>
      <c r="E1044" s="5">
        <v>113.37</v>
      </c>
    </row>
    <row r="1045" spans="2:5" x14ac:dyDescent="0.3">
      <c r="B1045" s="1">
        <v>42108</v>
      </c>
      <c r="C1045" s="5" t="s">
        <v>5</v>
      </c>
      <c r="D1045" s="5" t="s">
        <v>6</v>
      </c>
      <c r="E1045" s="5">
        <v>114.33</v>
      </c>
    </row>
    <row r="1046" spans="2:5" x14ac:dyDescent="0.3">
      <c r="B1046" s="1">
        <v>42107</v>
      </c>
      <c r="C1046" s="5" t="s">
        <v>5</v>
      </c>
      <c r="D1046" s="5" t="s">
        <v>6</v>
      </c>
      <c r="E1046" s="5">
        <v>112.45</v>
      </c>
    </row>
    <row r="1047" spans="2:5" x14ac:dyDescent="0.3">
      <c r="B1047" s="1">
        <v>42104</v>
      </c>
      <c r="C1047" s="5" t="s">
        <v>5</v>
      </c>
      <c r="D1047" s="5" t="s">
        <v>6</v>
      </c>
      <c r="E1047" s="5">
        <v>114.1</v>
      </c>
    </row>
    <row r="1048" spans="2:5" x14ac:dyDescent="0.3">
      <c r="B1048" s="1">
        <v>42103</v>
      </c>
      <c r="C1048" s="5" t="s">
        <v>5</v>
      </c>
      <c r="D1048" s="5" t="s">
        <v>6</v>
      </c>
      <c r="E1048" s="5">
        <v>113.51</v>
      </c>
    </row>
    <row r="1049" spans="2:5" x14ac:dyDescent="0.3">
      <c r="B1049" s="1">
        <v>42102</v>
      </c>
      <c r="C1049" s="5" t="s">
        <v>5</v>
      </c>
      <c r="D1049" s="5" t="s">
        <v>6</v>
      </c>
      <c r="E1049" s="5">
        <v>113.03</v>
      </c>
    </row>
    <row r="1050" spans="2:5" x14ac:dyDescent="0.3">
      <c r="B1050" s="1">
        <v>42101</v>
      </c>
      <c r="C1050" s="5" t="s">
        <v>5</v>
      </c>
      <c r="D1050" s="5" t="s">
        <v>6</v>
      </c>
      <c r="E1050" s="5">
        <v>110.06</v>
      </c>
    </row>
    <row r="1051" spans="2:5" x14ac:dyDescent="0.3">
      <c r="B1051" s="1">
        <v>42100</v>
      </c>
      <c r="C1051" s="5" t="s">
        <v>5</v>
      </c>
      <c r="D1051" s="5" t="s">
        <v>6</v>
      </c>
      <c r="E1051" s="5">
        <v>111.78</v>
      </c>
    </row>
    <row r="1052" spans="2:5" x14ac:dyDescent="0.3">
      <c r="B1052" s="1">
        <v>42097</v>
      </c>
      <c r="C1052" s="5" t="s">
        <v>5</v>
      </c>
      <c r="D1052" s="5" t="s">
        <v>6</v>
      </c>
      <c r="E1052" s="5">
        <v>110.97</v>
      </c>
    </row>
    <row r="1053" spans="2:5" x14ac:dyDescent="0.3">
      <c r="B1053" s="1">
        <v>42096</v>
      </c>
      <c r="C1053" s="5" t="s">
        <v>5</v>
      </c>
      <c r="D1053" s="5" t="s">
        <v>6</v>
      </c>
      <c r="E1053" s="5">
        <v>105.69</v>
      </c>
    </row>
    <row r="1054" spans="2:5" x14ac:dyDescent="0.3">
      <c r="B1054" s="1">
        <v>42095</v>
      </c>
      <c r="C1054" s="5" t="s">
        <v>5</v>
      </c>
      <c r="D1054" s="5" t="s">
        <v>6</v>
      </c>
      <c r="E1054" s="5">
        <v>101.43</v>
      </c>
    </row>
    <row r="1055" spans="2:5" x14ac:dyDescent="0.3">
      <c r="B1055" s="1">
        <v>42094</v>
      </c>
      <c r="C1055" s="5" t="s">
        <v>5</v>
      </c>
      <c r="D1055" s="5" t="s">
        <v>6</v>
      </c>
      <c r="E1055" s="5">
        <v>102.18</v>
      </c>
    </row>
    <row r="1056" spans="2:5" x14ac:dyDescent="0.3">
      <c r="B1056" s="1">
        <v>42093</v>
      </c>
      <c r="C1056" s="5" t="s">
        <v>5</v>
      </c>
      <c r="D1056" s="5" t="s">
        <v>6</v>
      </c>
      <c r="E1056" s="5">
        <v>97.75</v>
      </c>
    </row>
    <row r="1057" spans="2:5" x14ac:dyDescent="0.3">
      <c r="B1057" s="1">
        <v>42090</v>
      </c>
      <c r="C1057" s="5" t="s">
        <v>5</v>
      </c>
      <c r="D1057" s="5" t="s">
        <v>6</v>
      </c>
      <c r="E1057" s="5">
        <v>102.89</v>
      </c>
    </row>
    <row r="1058" spans="2:5" x14ac:dyDescent="0.3">
      <c r="B1058" s="1">
        <v>42089</v>
      </c>
      <c r="C1058" s="5" t="s">
        <v>5</v>
      </c>
      <c r="D1058" s="5" t="s">
        <v>6</v>
      </c>
      <c r="E1058" s="5">
        <v>105</v>
      </c>
    </row>
    <row r="1059" spans="2:5" x14ac:dyDescent="0.3">
      <c r="B1059" s="1">
        <v>42088</v>
      </c>
      <c r="C1059" s="5" t="s">
        <v>5</v>
      </c>
      <c r="D1059" s="5" t="s">
        <v>6</v>
      </c>
      <c r="E1059" s="5">
        <v>109.61</v>
      </c>
    </row>
    <row r="1060" spans="2:5" x14ac:dyDescent="0.3">
      <c r="B1060" s="1">
        <v>42087</v>
      </c>
      <c r="C1060" s="5" t="s">
        <v>5</v>
      </c>
      <c r="D1060" s="5" t="s">
        <v>6</v>
      </c>
      <c r="E1060" s="5">
        <v>110.36</v>
      </c>
    </row>
    <row r="1061" spans="2:5" x14ac:dyDescent="0.3">
      <c r="B1061" s="1">
        <v>42083</v>
      </c>
      <c r="C1061" s="5" t="s">
        <v>5</v>
      </c>
      <c r="D1061" s="5" t="s">
        <v>6</v>
      </c>
      <c r="E1061" s="5">
        <v>113.33</v>
      </c>
    </row>
    <row r="1062" spans="2:5" x14ac:dyDescent="0.3">
      <c r="B1062" s="1">
        <v>42082</v>
      </c>
      <c r="C1062" s="5" t="s">
        <v>5</v>
      </c>
      <c r="D1062" s="5" t="s">
        <v>6</v>
      </c>
      <c r="E1062" s="5">
        <v>109.5</v>
      </c>
    </row>
    <row r="1063" spans="2:5" x14ac:dyDescent="0.3">
      <c r="B1063" s="1">
        <v>42081</v>
      </c>
      <c r="C1063" s="5" t="s">
        <v>5</v>
      </c>
      <c r="D1063" s="5" t="s">
        <v>6</v>
      </c>
      <c r="E1063" s="5">
        <v>111.2</v>
      </c>
    </row>
    <row r="1064" spans="2:5" x14ac:dyDescent="0.3">
      <c r="B1064" s="1">
        <v>42080</v>
      </c>
      <c r="C1064" s="5" t="s">
        <v>5</v>
      </c>
      <c r="D1064" s="5" t="s">
        <v>6</v>
      </c>
      <c r="E1064" s="5">
        <v>113.89</v>
      </c>
    </row>
    <row r="1065" spans="2:5" x14ac:dyDescent="0.3">
      <c r="B1065" s="1">
        <v>42079</v>
      </c>
      <c r="C1065" s="5" t="s">
        <v>5</v>
      </c>
      <c r="D1065" s="5" t="s">
        <v>6</v>
      </c>
      <c r="E1065" s="5">
        <v>114.45</v>
      </c>
    </row>
    <row r="1066" spans="2:5" x14ac:dyDescent="0.3">
      <c r="B1066" s="1">
        <v>42076</v>
      </c>
      <c r="C1066" s="5" t="s">
        <v>5</v>
      </c>
      <c r="D1066" s="5" t="s">
        <v>6</v>
      </c>
      <c r="E1066" s="5">
        <v>118.78</v>
      </c>
    </row>
    <row r="1067" spans="2:5" x14ac:dyDescent="0.3">
      <c r="B1067" s="1">
        <v>42075</v>
      </c>
      <c r="C1067" s="5" t="s">
        <v>5</v>
      </c>
      <c r="D1067" s="5" t="s">
        <v>6</v>
      </c>
      <c r="E1067" s="5">
        <v>116.86</v>
      </c>
    </row>
    <row r="1068" spans="2:5" x14ac:dyDescent="0.3">
      <c r="B1068" s="1">
        <v>42074</v>
      </c>
      <c r="C1068" s="5" t="s">
        <v>5</v>
      </c>
      <c r="D1068" s="5" t="s">
        <v>6</v>
      </c>
      <c r="E1068" s="5">
        <v>116.91</v>
      </c>
    </row>
    <row r="1069" spans="2:5" x14ac:dyDescent="0.3">
      <c r="B1069" s="1">
        <v>42073</v>
      </c>
      <c r="C1069" s="5" t="s">
        <v>5</v>
      </c>
      <c r="D1069" s="5" t="s">
        <v>6</v>
      </c>
      <c r="E1069" s="5">
        <v>116.69</v>
      </c>
    </row>
    <row r="1070" spans="2:5" x14ac:dyDescent="0.3">
      <c r="B1070" s="1">
        <v>42072</v>
      </c>
      <c r="C1070" s="5" t="s">
        <v>5</v>
      </c>
      <c r="D1070" s="5" t="s">
        <v>6</v>
      </c>
      <c r="E1070" s="5">
        <v>119.34</v>
      </c>
    </row>
    <row r="1071" spans="2:5" x14ac:dyDescent="0.3">
      <c r="B1071" s="1">
        <v>42069</v>
      </c>
      <c r="C1071" s="5" t="s">
        <v>5</v>
      </c>
      <c r="D1071" s="5" t="s">
        <v>6</v>
      </c>
      <c r="E1071" s="5">
        <v>122.71</v>
      </c>
    </row>
    <row r="1072" spans="2:5" x14ac:dyDescent="0.3">
      <c r="B1072" s="1">
        <v>42068</v>
      </c>
      <c r="C1072" s="5" t="s">
        <v>5</v>
      </c>
      <c r="D1072" s="5" t="s">
        <v>6</v>
      </c>
      <c r="E1072" s="5">
        <v>122.96</v>
      </c>
    </row>
    <row r="1073" spans="2:5" x14ac:dyDescent="0.3">
      <c r="B1073" s="1">
        <v>42067</v>
      </c>
      <c r="C1073" s="5" t="s">
        <v>5</v>
      </c>
      <c r="D1073" s="5" t="s">
        <v>6</v>
      </c>
      <c r="E1073" s="5">
        <v>123.02</v>
      </c>
    </row>
    <row r="1074" spans="2:5" x14ac:dyDescent="0.3">
      <c r="B1074" s="1">
        <v>42066</v>
      </c>
      <c r="C1074" s="5" t="s">
        <v>5</v>
      </c>
      <c r="D1074" s="5" t="s">
        <v>6</v>
      </c>
      <c r="E1074" s="5">
        <v>123.82</v>
      </c>
    </row>
    <row r="1075" spans="2:5" x14ac:dyDescent="0.3">
      <c r="B1075" s="1">
        <v>42065</v>
      </c>
      <c r="C1075" s="5" t="s">
        <v>5</v>
      </c>
      <c r="D1075" s="5" t="s">
        <v>6</v>
      </c>
      <c r="E1075" s="5">
        <v>122.72</v>
      </c>
    </row>
    <row r="1076" spans="2:5" x14ac:dyDescent="0.3">
      <c r="B1076" s="1">
        <v>42062</v>
      </c>
      <c r="C1076" s="5" t="s">
        <v>5</v>
      </c>
      <c r="D1076" s="5" t="s">
        <v>6</v>
      </c>
      <c r="E1076" s="5">
        <v>124.02</v>
      </c>
    </row>
    <row r="1077" spans="2:5" x14ac:dyDescent="0.3">
      <c r="B1077" s="1">
        <v>42061</v>
      </c>
      <c r="C1077" s="5" t="s">
        <v>5</v>
      </c>
      <c r="D1077" s="5" t="s">
        <v>6</v>
      </c>
      <c r="E1077" s="5">
        <v>125.12</v>
      </c>
    </row>
    <row r="1078" spans="2:5" x14ac:dyDescent="0.3">
      <c r="B1078" s="1">
        <v>42060</v>
      </c>
      <c r="C1078" s="5" t="s">
        <v>5</v>
      </c>
      <c r="D1078" s="5" t="s">
        <v>6</v>
      </c>
      <c r="E1078" s="5">
        <v>125.53</v>
      </c>
    </row>
    <row r="1079" spans="2:5" x14ac:dyDescent="0.3">
      <c r="B1079" s="1">
        <v>42059</v>
      </c>
      <c r="C1079" s="5" t="s">
        <v>5</v>
      </c>
      <c r="D1079" s="5" t="s">
        <v>6</v>
      </c>
      <c r="E1079" s="5">
        <v>125.97</v>
      </c>
    </row>
    <row r="1080" spans="2:5" x14ac:dyDescent="0.3">
      <c r="B1080" s="1">
        <v>42058</v>
      </c>
      <c r="C1080" s="5" t="s">
        <v>5</v>
      </c>
      <c r="D1080" s="5" t="s">
        <v>6</v>
      </c>
      <c r="E1080" s="5">
        <v>127.56</v>
      </c>
    </row>
    <row r="1081" spans="2:5" x14ac:dyDescent="0.3">
      <c r="B1081" s="1">
        <v>42055</v>
      </c>
      <c r="C1081" s="5" t="s">
        <v>5</v>
      </c>
      <c r="D1081" s="5" t="s">
        <v>6</v>
      </c>
      <c r="E1081" s="5">
        <v>128.11000000000001</v>
      </c>
    </row>
    <row r="1082" spans="2:5" x14ac:dyDescent="0.3">
      <c r="B1082" s="1">
        <v>42054</v>
      </c>
      <c r="C1082" s="5" t="s">
        <v>5</v>
      </c>
      <c r="D1082" s="5" t="s">
        <v>6</v>
      </c>
      <c r="E1082" s="5">
        <v>128.91999999999999</v>
      </c>
    </row>
    <row r="1083" spans="2:5" x14ac:dyDescent="0.3">
      <c r="B1083" s="1">
        <v>42053</v>
      </c>
      <c r="C1083" s="5" t="s">
        <v>5</v>
      </c>
      <c r="D1083" s="5" t="s">
        <v>6</v>
      </c>
      <c r="E1083" s="5">
        <v>126.18</v>
      </c>
    </row>
    <row r="1084" spans="2:5" x14ac:dyDescent="0.3">
      <c r="B1084" s="1">
        <v>42052</v>
      </c>
      <c r="C1084" s="5" t="s">
        <v>5</v>
      </c>
      <c r="D1084" s="5" t="s">
        <v>6</v>
      </c>
      <c r="E1084" s="5">
        <v>127.44</v>
      </c>
    </row>
    <row r="1085" spans="2:5" x14ac:dyDescent="0.3">
      <c r="B1085" s="1">
        <v>42051</v>
      </c>
      <c r="C1085" s="5" t="s">
        <v>5</v>
      </c>
      <c r="D1085" s="5" t="s">
        <v>6</v>
      </c>
      <c r="E1085" s="5">
        <v>127.72</v>
      </c>
    </row>
    <row r="1086" spans="2:5" x14ac:dyDescent="0.3">
      <c r="B1086" s="1">
        <v>42048</v>
      </c>
      <c r="C1086" s="5" t="s">
        <v>5</v>
      </c>
      <c r="D1086" s="5" t="s">
        <v>6</v>
      </c>
      <c r="E1086" s="5">
        <v>128</v>
      </c>
    </row>
    <row r="1087" spans="2:5" x14ac:dyDescent="0.3">
      <c r="B1087" s="1">
        <v>42047</v>
      </c>
      <c r="C1087" s="5" t="s">
        <v>5</v>
      </c>
      <c r="D1087" s="5" t="s">
        <v>6</v>
      </c>
      <c r="E1087" s="5">
        <v>129.69999999999999</v>
      </c>
    </row>
    <row r="1088" spans="2:5" x14ac:dyDescent="0.3">
      <c r="B1088" s="1">
        <v>42046</v>
      </c>
      <c r="C1088" s="5" t="s">
        <v>5</v>
      </c>
      <c r="D1088" s="5" t="s">
        <v>6</v>
      </c>
      <c r="E1088" s="5">
        <v>132.58000000000001</v>
      </c>
    </row>
    <row r="1089" spans="2:5" x14ac:dyDescent="0.3">
      <c r="B1089" s="1">
        <v>42045</v>
      </c>
      <c r="C1089" s="5" t="s">
        <v>5</v>
      </c>
      <c r="D1089" s="5" t="s">
        <v>6</v>
      </c>
      <c r="E1089" s="5">
        <v>134.47999999999999</v>
      </c>
    </row>
    <row r="1090" spans="2:5" x14ac:dyDescent="0.3">
      <c r="B1090" s="1">
        <v>42044</v>
      </c>
      <c r="C1090" s="5" t="s">
        <v>5</v>
      </c>
      <c r="D1090" s="5" t="s">
        <v>6</v>
      </c>
      <c r="E1090" s="5">
        <v>133.24</v>
      </c>
    </row>
    <row r="1091" spans="2:5" x14ac:dyDescent="0.3">
      <c r="B1091" s="1">
        <v>42041</v>
      </c>
      <c r="C1091" s="5" t="s">
        <v>5</v>
      </c>
      <c r="D1091" s="5" t="s">
        <v>6</v>
      </c>
      <c r="E1091" s="5">
        <v>132.44999999999999</v>
      </c>
    </row>
    <row r="1092" spans="2:5" x14ac:dyDescent="0.3">
      <c r="B1092" s="1">
        <v>42039</v>
      </c>
      <c r="C1092" s="5" t="s">
        <v>5</v>
      </c>
      <c r="D1092" s="5" t="s">
        <v>6</v>
      </c>
      <c r="E1092" s="5">
        <v>130.44999999999999</v>
      </c>
    </row>
    <row r="1093" spans="2:5" x14ac:dyDescent="0.3">
      <c r="B1093" s="1">
        <v>42038</v>
      </c>
      <c r="C1093" s="5" t="s">
        <v>5</v>
      </c>
      <c r="D1093" s="5" t="s">
        <v>6</v>
      </c>
      <c r="E1093" s="5">
        <v>132.16999999999999</v>
      </c>
    </row>
    <row r="1094" spans="2:5" x14ac:dyDescent="0.3">
      <c r="B1094" s="1">
        <v>42037</v>
      </c>
      <c r="C1094" s="5" t="s">
        <v>5</v>
      </c>
      <c r="D1094" s="5" t="s">
        <v>6</v>
      </c>
      <c r="E1094" s="5">
        <v>134.66</v>
      </c>
    </row>
    <row r="1095" spans="2:5" x14ac:dyDescent="0.3">
      <c r="B1095" s="1">
        <v>42034</v>
      </c>
      <c r="C1095" s="5" t="s">
        <v>5</v>
      </c>
      <c r="D1095" s="5" t="s">
        <v>6</v>
      </c>
      <c r="E1095" s="5">
        <v>130.72999999999999</v>
      </c>
    </row>
    <row r="1096" spans="2:5" x14ac:dyDescent="0.3">
      <c r="B1096" s="1">
        <v>42033</v>
      </c>
      <c r="C1096" s="5" t="s">
        <v>5</v>
      </c>
      <c r="D1096" s="5" t="s">
        <v>6</v>
      </c>
      <c r="E1096" s="5">
        <v>131.63999999999999</v>
      </c>
    </row>
    <row r="1097" spans="2:5" x14ac:dyDescent="0.3">
      <c r="B1097" s="1">
        <v>42032</v>
      </c>
      <c r="C1097" s="5" t="s">
        <v>5</v>
      </c>
      <c r="D1097" s="5" t="s">
        <v>6</v>
      </c>
      <c r="E1097" s="5">
        <v>130.15</v>
      </c>
    </row>
    <row r="1098" spans="2:5" x14ac:dyDescent="0.3">
      <c r="B1098" s="1">
        <v>42031</v>
      </c>
      <c r="C1098" s="5" t="s">
        <v>5</v>
      </c>
      <c r="D1098" s="5" t="s">
        <v>6</v>
      </c>
      <c r="E1098" s="5">
        <v>133.69999999999999</v>
      </c>
    </row>
    <row r="1099" spans="2:5" x14ac:dyDescent="0.3">
      <c r="B1099" s="1">
        <v>42030</v>
      </c>
      <c r="C1099" s="5" t="s">
        <v>5</v>
      </c>
      <c r="D1099" s="5" t="s">
        <v>6</v>
      </c>
      <c r="E1099" s="5">
        <v>135.85</v>
      </c>
    </row>
    <row r="1100" spans="2:5" x14ac:dyDescent="0.3">
      <c r="B1100" s="1">
        <v>42027</v>
      </c>
      <c r="C1100" s="5" t="s">
        <v>5</v>
      </c>
      <c r="D1100" s="5" t="s">
        <v>6</v>
      </c>
      <c r="E1100" s="5">
        <v>133.86000000000001</v>
      </c>
    </row>
    <row r="1101" spans="2:5" x14ac:dyDescent="0.3">
      <c r="B1101" s="1">
        <v>42026</v>
      </c>
      <c r="C1101" s="5" t="s">
        <v>5</v>
      </c>
      <c r="D1101" s="5" t="s">
        <v>6</v>
      </c>
      <c r="E1101" s="5">
        <v>133.68</v>
      </c>
    </row>
    <row r="1102" spans="2:5" x14ac:dyDescent="0.3">
      <c r="B1102" s="1">
        <v>42025</v>
      </c>
      <c r="C1102" s="5" t="s">
        <v>5</v>
      </c>
      <c r="D1102" s="5" t="s">
        <v>6</v>
      </c>
      <c r="E1102" s="5">
        <v>134.33000000000001</v>
      </c>
    </row>
    <row r="1103" spans="2:5" x14ac:dyDescent="0.3">
      <c r="B1103" s="1">
        <v>42024</v>
      </c>
      <c r="C1103" s="5" t="s">
        <v>5</v>
      </c>
      <c r="D1103" s="5" t="s">
        <v>6</v>
      </c>
      <c r="E1103" s="5">
        <v>132.69</v>
      </c>
    </row>
    <row r="1104" spans="2:5" x14ac:dyDescent="0.3">
      <c r="B1104" s="1">
        <v>42023</v>
      </c>
      <c r="C1104" s="5" t="s">
        <v>5</v>
      </c>
      <c r="D1104" s="5" t="s">
        <v>6</v>
      </c>
      <c r="E1104" s="5">
        <v>131.49</v>
      </c>
    </row>
    <row r="1105" spans="2:5" x14ac:dyDescent="0.3">
      <c r="B1105" s="1">
        <v>42020</v>
      </c>
      <c r="C1105" s="5" t="s">
        <v>5</v>
      </c>
      <c r="D1105" s="5" t="s">
        <v>6</v>
      </c>
      <c r="E1105" s="5">
        <v>131.18</v>
      </c>
    </row>
    <row r="1106" spans="2:5" x14ac:dyDescent="0.3">
      <c r="B1106" s="1">
        <v>42019</v>
      </c>
      <c r="C1106" s="5" t="s">
        <v>5</v>
      </c>
      <c r="D1106" s="5" t="s">
        <v>6</v>
      </c>
      <c r="E1106" s="5">
        <v>132.19</v>
      </c>
    </row>
    <row r="1107" spans="2:5" x14ac:dyDescent="0.3">
      <c r="B1107" s="1">
        <v>42018</v>
      </c>
      <c r="C1107" s="5" t="s">
        <v>5</v>
      </c>
      <c r="D1107" s="5" t="s">
        <v>6</v>
      </c>
      <c r="E1107" s="5">
        <v>131.88999999999999</v>
      </c>
    </row>
    <row r="1108" spans="2:5" x14ac:dyDescent="0.3">
      <c r="B1108" s="1">
        <v>42017</v>
      </c>
      <c r="C1108" s="5" t="s">
        <v>5</v>
      </c>
      <c r="D1108" s="5" t="s">
        <v>6</v>
      </c>
      <c r="E1108" s="5">
        <v>131.63999999999999</v>
      </c>
    </row>
    <row r="1109" spans="2:5" x14ac:dyDescent="0.3">
      <c r="B1109" s="1">
        <v>42016</v>
      </c>
      <c r="C1109" s="5" t="s">
        <v>5</v>
      </c>
      <c r="D1109" s="5" t="s">
        <v>6</v>
      </c>
      <c r="E1109" s="5">
        <v>131.22</v>
      </c>
    </row>
    <row r="1110" spans="2:5" x14ac:dyDescent="0.3">
      <c r="B1110" s="1">
        <v>42013</v>
      </c>
      <c r="C1110" s="5" t="s">
        <v>5</v>
      </c>
      <c r="D1110" s="5" t="s">
        <v>6</v>
      </c>
      <c r="E1110" s="5">
        <v>130.84</v>
      </c>
    </row>
    <row r="1111" spans="2:5" x14ac:dyDescent="0.3">
      <c r="B1111" s="1">
        <v>42012</v>
      </c>
      <c r="C1111" s="5" t="s">
        <v>5</v>
      </c>
      <c r="D1111" s="5" t="s">
        <v>6</v>
      </c>
      <c r="E1111" s="5">
        <v>127.79</v>
      </c>
    </row>
    <row r="1112" spans="2:5" x14ac:dyDescent="0.3">
      <c r="B1112" s="1">
        <v>42011</v>
      </c>
      <c r="C1112" s="5" t="s">
        <v>5</v>
      </c>
      <c r="D1112" s="5" t="s">
        <v>6</v>
      </c>
      <c r="E1112" s="5">
        <v>126.79</v>
      </c>
    </row>
    <row r="1113" spans="2:5" x14ac:dyDescent="0.3">
      <c r="B1113" s="1">
        <v>42010</v>
      </c>
      <c r="C1113" s="5" t="s">
        <v>5</v>
      </c>
      <c r="D1113" s="5" t="s">
        <v>6</v>
      </c>
      <c r="E1113" s="5">
        <v>126.92</v>
      </c>
    </row>
    <row r="1114" spans="2:5" x14ac:dyDescent="0.3">
      <c r="B1114" s="1">
        <v>42009</v>
      </c>
      <c r="C1114" s="5" t="s">
        <v>5</v>
      </c>
      <c r="D1114" s="5" t="s">
        <v>6</v>
      </c>
      <c r="E1114" s="5">
        <v>128.78</v>
      </c>
    </row>
    <row r="1115" spans="2:5" x14ac:dyDescent="0.3">
      <c r="B1115" s="1">
        <v>42006</v>
      </c>
      <c r="C1115" s="5" t="s">
        <v>5</v>
      </c>
      <c r="D1115" s="5" t="s">
        <v>6</v>
      </c>
      <c r="E1115" s="5">
        <v>128.88</v>
      </c>
    </row>
    <row r="1116" spans="2:5" x14ac:dyDescent="0.3">
      <c r="B1116" s="1">
        <v>42005</v>
      </c>
      <c r="C1116" s="5" t="s">
        <v>5</v>
      </c>
      <c r="D1116" s="5" t="s">
        <v>6</v>
      </c>
      <c r="E1116" s="5">
        <v>124.3</v>
      </c>
    </row>
    <row r="1117" spans="2:5" x14ac:dyDescent="0.3">
      <c r="B1117" s="1">
        <v>42004</v>
      </c>
      <c r="C1117" s="5" t="s">
        <v>5</v>
      </c>
      <c r="D1117" s="5" t="s">
        <v>6</v>
      </c>
      <c r="E1117" s="5">
        <v>120.99</v>
      </c>
    </row>
    <row r="1118" spans="2:5" x14ac:dyDescent="0.3">
      <c r="B1118" s="1">
        <v>42003</v>
      </c>
      <c r="C1118" s="5" t="s">
        <v>5</v>
      </c>
      <c r="D1118" s="5" t="s">
        <v>6</v>
      </c>
      <c r="E1118" s="5">
        <v>119.95</v>
      </c>
    </row>
    <row r="1119" spans="2:5" x14ac:dyDescent="0.3">
      <c r="B1119" s="1">
        <v>42002</v>
      </c>
      <c r="C1119" s="5" t="s">
        <v>5</v>
      </c>
      <c r="D1119" s="5" t="s">
        <v>6</v>
      </c>
      <c r="E1119" s="5">
        <v>118.31</v>
      </c>
    </row>
    <row r="1120" spans="2:5" x14ac:dyDescent="0.3">
      <c r="B1120" s="1">
        <v>41999</v>
      </c>
      <c r="C1120" s="5" t="s">
        <v>5</v>
      </c>
      <c r="D1120" s="5" t="s">
        <v>6</v>
      </c>
      <c r="E1120" s="5">
        <v>118.4</v>
      </c>
    </row>
    <row r="1121" spans="2:5" x14ac:dyDescent="0.3">
      <c r="B1121" s="1">
        <v>41997</v>
      </c>
      <c r="C1121" s="5" t="s">
        <v>5</v>
      </c>
      <c r="D1121" s="5" t="s">
        <v>6</v>
      </c>
      <c r="E1121" s="5">
        <v>119.47</v>
      </c>
    </row>
    <row r="1122" spans="2:5" x14ac:dyDescent="0.3">
      <c r="B1122" s="1">
        <v>41996</v>
      </c>
      <c r="C1122" s="5" t="s">
        <v>5</v>
      </c>
      <c r="D1122" s="5" t="s">
        <v>6</v>
      </c>
      <c r="E1122" s="5">
        <v>123.93</v>
      </c>
    </row>
    <row r="1123" spans="2:5" x14ac:dyDescent="0.3">
      <c r="B1123" s="1">
        <v>41995</v>
      </c>
      <c r="C1123" s="5" t="s">
        <v>5</v>
      </c>
      <c r="D1123" s="5" t="s">
        <v>6</v>
      </c>
      <c r="E1123" s="5">
        <v>121.43</v>
      </c>
    </row>
    <row r="1124" spans="2:5" x14ac:dyDescent="0.3">
      <c r="B1124" s="1">
        <v>41992</v>
      </c>
      <c r="C1124" s="5" t="s">
        <v>5</v>
      </c>
      <c r="D1124" s="5" t="s">
        <v>6</v>
      </c>
      <c r="E1124" s="5">
        <v>118.1</v>
      </c>
    </row>
    <row r="1125" spans="2:5" x14ac:dyDescent="0.3">
      <c r="B1125" s="1">
        <v>41991</v>
      </c>
      <c r="C1125" s="5" t="s">
        <v>5</v>
      </c>
      <c r="D1125" s="5" t="s">
        <v>6</v>
      </c>
      <c r="E1125" s="5">
        <v>119.76</v>
      </c>
    </row>
    <row r="1126" spans="2:5" x14ac:dyDescent="0.3">
      <c r="B1126" s="1">
        <v>41990</v>
      </c>
      <c r="C1126" s="5" t="s">
        <v>5</v>
      </c>
      <c r="D1126" s="5" t="s">
        <v>6</v>
      </c>
      <c r="E1126" s="5">
        <v>118.54</v>
      </c>
    </row>
    <row r="1127" spans="2:5" x14ac:dyDescent="0.3">
      <c r="B1127" s="1">
        <v>41989</v>
      </c>
      <c r="C1127" s="5" t="s">
        <v>5</v>
      </c>
      <c r="D1127" s="5" t="s">
        <v>6</v>
      </c>
      <c r="E1127" s="5">
        <v>124.77</v>
      </c>
    </row>
    <row r="1128" spans="2:5" x14ac:dyDescent="0.3">
      <c r="B1128" s="1">
        <v>41988</v>
      </c>
      <c r="C1128" s="5" t="s">
        <v>5</v>
      </c>
      <c r="D1128" s="5" t="s">
        <v>6</v>
      </c>
      <c r="E1128" s="5">
        <v>131.33000000000001</v>
      </c>
    </row>
    <row r="1129" spans="2:5" x14ac:dyDescent="0.3">
      <c r="B1129" s="1">
        <v>41985</v>
      </c>
      <c r="C1129" s="5" t="s">
        <v>5</v>
      </c>
      <c r="D1129" s="5" t="s">
        <v>6</v>
      </c>
      <c r="E1129" s="5">
        <v>131.43</v>
      </c>
    </row>
    <row r="1130" spans="2:5" x14ac:dyDescent="0.3">
      <c r="B1130" s="1">
        <v>41984</v>
      </c>
      <c r="C1130" s="5" t="s">
        <v>5</v>
      </c>
      <c r="D1130" s="5" t="s">
        <v>6</v>
      </c>
      <c r="E1130" s="5">
        <v>131.22</v>
      </c>
    </row>
    <row r="1131" spans="2:5" x14ac:dyDescent="0.3">
      <c r="B1131" s="1">
        <v>41983</v>
      </c>
      <c r="C1131" s="5" t="s">
        <v>5</v>
      </c>
      <c r="D1131" s="5" t="s">
        <v>6</v>
      </c>
      <c r="E1131" s="5">
        <v>128.87</v>
      </c>
    </row>
    <row r="1132" spans="2:5" x14ac:dyDescent="0.3">
      <c r="B1132" s="1">
        <v>41982</v>
      </c>
      <c r="C1132" s="5" t="s">
        <v>5</v>
      </c>
      <c r="D1132" s="5" t="s">
        <v>6</v>
      </c>
      <c r="E1132" s="5">
        <v>131.12</v>
      </c>
    </row>
    <row r="1133" spans="2:5" x14ac:dyDescent="0.3">
      <c r="B1133" s="1">
        <v>41981</v>
      </c>
      <c r="C1133" s="5" t="s">
        <v>5</v>
      </c>
      <c r="D1133" s="5" t="s">
        <v>6</v>
      </c>
      <c r="E1133" s="5">
        <v>130.97</v>
      </c>
    </row>
    <row r="1134" spans="2:5" x14ac:dyDescent="0.3">
      <c r="B1134" s="1">
        <v>41978</v>
      </c>
      <c r="C1134" s="5" t="s">
        <v>5</v>
      </c>
      <c r="D1134" s="5" t="s">
        <v>6</v>
      </c>
      <c r="E1134" s="5">
        <v>133.68</v>
      </c>
    </row>
    <row r="1135" spans="2:5" x14ac:dyDescent="0.3">
      <c r="B1135" s="1">
        <v>41977</v>
      </c>
      <c r="C1135" s="5" t="s">
        <v>5</v>
      </c>
      <c r="D1135" s="5" t="s">
        <v>6</v>
      </c>
      <c r="E1135" s="5">
        <v>132.62</v>
      </c>
    </row>
    <row r="1136" spans="2:5" x14ac:dyDescent="0.3">
      <c r="B1136" s="1">
        <v>41976</v>
      </c>
      <c r="C1136" s="5" t="s">
        <v>5</v>
      </c>
      <c r="D1136" s="5" t="s">
        <v>6</v>
      </c>
      <c r="E1136" s="5">
        <v>136.52000000000001</v>
      </c>
    </row>
    <row r="1137" spans="2:5" x14ac:dyDescent="0.3">
      <c r="B1137" s="1">
        <v>41975</v>
      </c>
      <c r="C1137" s="5" t="s">
        <v>5</v>
      </c>
      <c r="D1137" s="5" t="s">
        <v>6</v>
      </c>
      <c r="E1137" s="5">
        <v>134.33000000000001</v>
      </c>
    </row>
    <row r="1138" spans="2:5" x14ac:dyDescent="0.3">
      <c r="B1138" s="1">
        <v>41974</v>
      </c>
      <c r="C1138" s="5" t="s">
        <v>5</v>
      </c>
      <c r="D1138" s="5" t="s">
        <v>6</v>
      </c>
      <c r="E1138" s="5">
        <v>128.24</v>
      </c>
    </row>
    <row r="1139" spans="2:5" x14ac:dyDescent="0.3">
      <c r="B1139" s="1">
        <v>41971</v>
      </c>
      <c r="C1139" s="5" t="s">
        <v>5</v>
      </c>
      <c r="D1139" s="5" t="s">
        <v>6</v>
      </c>
      <c r="E1139" s="5">
        <v>122.16</v>
      </c>
    </row>
    <row r="1140" spans="2:5" x14ac:dyDescent="0.3">
      <c r="B1140" s="1">
        <v>41970</v>
      </c>
      <c r="C1140" s="5" t="s">
        <v>5</v>
      </c>
      <c r="D1140" s="5" t="s">
        <v>6</v>
      </c>
      <c r="E1140" s="5">
        <v>120.09</v>
      </c>
    </row>
    <row r="1141" spans="2:5" x14ac:dyDescent="0.3">
      <c r="B1141" s="1">
        <v>41969</v>
      </c>
      <c r="C1141" s="5" t="s">
        <v>5</v>
      </c>
      <c r="D1141" s="5" t="s">
        <v>6</v>
      </c>
      <c r="E1141" s="5">
        <v>119.45</v>
      </c>
    </row>
    <row r="1142" spans="2:5" x14ac:dyDescent="0.3">
      <c r="B1142" s="1">
        <v>41968</v>
      </c>
      <c r="C1142" s="5" t="s">
        <v>5</v>
      </c>
      <c r="D1142" s="5" t="s">
        <v>6</v>
      </c>
      <c r="E1142" s="5">
        <v>116.75</v>
      </c>
    </row>
    <row r="1143" spans="2:5" x14ac:dyDescent="0.3">
      <c r="B1143" s="1">
        <v>41967</v>
      </c>
      <c r="C1143" s="5" t="s">
        <v>5</v>
      </c>
      <c r="D1143" s="5" t="s">
        <v>6</v>
      </c>
      <c r="E1143" s="5">
        <v>116.89</v>
      </c>
    </row>
    <row r="1144" spans="2:5" x14ac:dyDescent="0.3">
      <c r="B1144" s="1">
        <v>41964</v>
      </c>
      <c r="C1144" s="5" t="s">
        <v>5</v>
      </c>
      <c r="D1144" s="5" t="s">
        <v>6</v>
      </c>
      <c r="E1144" s="5">
        <v>116.58</v>
      </c>
    </row>
    <row r="1145" spans="2:5" x14ac:dyDescent="0.3">
      <c r="B1145" s="1">
        <v>41963</v>
      </c>
      <c r="C1145" s="5" t="s">
        <v>5</v>
      </c>
      <c r="D1145" s="5" t="s">
        <v>6</v>
      </c>
      <c r="E1145" s="5">
        <v>116.98</v>
      </c>
    </row>
    <row r="1146" spans="2:5" x14ac:dyDescent="0.3">
      <c r="B1146" s="1">
        <v>41962</v>
      </c>
      <c r="C1146" s="5" t="s">
        <v>5</v>
      </c>
      <c r="D1146" s="5" t="s">
        <v>6</v>
      </c>
      <c r="E1146" s="5">
        <v>122.15</v>
      </c>
    </row>
    <row r="1147" spans="2:5" x14ac:dyDescent="0.3">
      <c r="B1147" s="1">
        <v>41961</v>
      </c>
      <c r="C1147" s="5" t="s">
        <v>5</v>
      </c>
      <c r="D1147" s="5" t="s">
        <v>6</v>
      </c>
      <c r="E1147" s="5">
        <v>124.45</v>
      </c>
    </row>
    <row r="1148" spans="2:5" x14ac:dyDescent="0.3">
      <c r="B1148" s="1">
        <v>41960</v>
      </c>
      <c r="C1148" s="5" t="s">
        <v>5</v>
      </c>
      <c r="D1148" s="5" t="s">
        <v>6</v>
      </c>
      <c r="E1148" s="5">
        <v>122.17</v>
      </c>
    </row>
    <row r="1149" spans="2:5" x14ac:dyDescent="0.3">
      <c r="B1149" s="1">
        <v>41957</v>
      </c>
      <c r="C1149" s="5" t="s">
        <v>5</v>
      </c>
      <c r="D1149" s="5" t="s">
        <v>6</v>
      </c>
      <c r="E1149" s="5">
        <v>121.25</v>
      </c>
    </row>
    <row r="1150" spans="2:5" x14ac:dyDescent="0.3">
      <c r="B1150" s="1">
        <v>41956</v>
      </c>
      <c r="C1150" s="5" t="s">
        <v>5</v>
      </c>
      <c r="D1150" s="5" t="s">
        <v>6</v>
      </c>
      <c r="E1150" s="5">
        <v>117.9</v>
      </c>
    </row>
    <row r="1151" spans="2:5" x14ac:dyDescent="0.3">
      <c r="B1151" s="1">
        <v>41955</v>
      </c>
      <c r="C1151" s="5" t="s">
        <v>5</v>
      </c>
      <c r="D1151" s="5" t="s">
        <v>6</v>
      </c>
      <c r="E1151" s="5">
        <v>118.37</v>
      </c>
    </row>
    <row r="1152" spans="2:5" x14ac:dyDescent="0.3">
      <c r="B1152" s="1">
        <v>41954</v>
      </c>
      <c r="C1152" s="5" t="s">
        <v>5</v>
      </c>
      <c r="D1152" s="5" t="s">
        <v>6</v>
      </c>
      <c r="E1152" s="5">
        <v>116.84</v>
      </c>
    </row>
    <row r="1153" spans="2:5" x14ac:dyDescent="0.3">
      <c r="B1153" s="1">
        <v>41953</v>
      </c>
      <c r="C1153" s="5" t="s">
        <v>5</v>
      </c>
      <c r="D1153" s="5" t="s">
        <v>6</v>
      </c>
      <c r="E1153" s="5">
        <v>118.05</v>
      </c>
    </row>
    <row r="1154" spans="2:5" x14ac:dyDescent="0.3">
      <c r="B1154" s="1">
        <v>41950</v>
      </c>
      <c r="C1154" s="5" t="s">
        <v>5</v>
      </c>
      <c r="D1154" s="5" t="s">
        <v>6</v>
      </c>
      <c r="E1154" s="5">
        <v>119.49</v>
      </c>
    </row>
    <row r="1155" spans="2:5" x14ac:dyDescent="0.3">
      <c r="B1155" s="1">
        <v>41949</v>
      </c>
      <c r="C1155" s="5" t="s">
        <v>5</v>
      </c>
      <c r="D1155" s="5" t="s">
        <v>6</v>
      </c>
      <c r="E1155" s="5">
        <v>113.82</v>
      </c>
    </row>
    <row r="1156" spans="2:5" x14ac:dyDescent="0.3">
      <c r="B1156" s="1">
        <v>41948</v>
      </c>
      <c r="C1156" s="5" t="s">
        <v>5</v>
      </c>
      <c r="D1156" s="5" t="s">
        <v>6</v>
      </c>
      <c r="E1156" s="5">
        <v>111.55</v>
      </c>
    </row>
    <row r="1157" spans="2:5" x14ac:dyDescent="0.3">
      <c r="B1157" s="1">
        <v>41943</v>
      </c>
      <c r="C1157" s="5" t="s">
        <v>5</v>
      </c>
      <c r="D1157" s="5" t="s">
        <v>6</v>
      </c>
      <c r="E1157" s="5">
        <v>109.94</v>
      </c>
    </row>
    <row r="1158" spans="2:5" x14ac:dyDescent="0.3">
      <c r="B1158" s="1">
        <v>41942</v>
      </c>
      <c r="C1158" s="5" t="s">
        <v>5</v>
      </c>
      <c r="D1158" s="5" t="s">
        <v>6</v>
      </c>
      <c r="E1158" s="5">
        <v>111.97</v>
      </c>
    </row>
    <row r="1159" spans="2:5" x14ac:dyDescent="0.3">
      <c r="B1159" s="1">
        <v>41941</v>
      </c>
      <c r="C1159" s="5" t="s">
        <v>5</v>
      </c>
      <c r="D1159" s="5" t="s">
        <v>6</v>
      </c>
      <c r="E1159" s="5">
        <v>114.72</v>
      </c>
    </row>
    <row r="1160" spans="2:5" x14ac:dyDescent="0.3">
      <c r="B1160" s="1">
        <v>41940</v>
      </c>
      <c r="C1160" s="5" t="s">
        <v>5</v>
      </c>
      <c r="D1160" s="5" t="s">
        <v>6</v>
      </c>
      <c r="E1160" s="5">
        <v>120.7</v>
      </c>
    </row>
    <row r="1161" spans="2:5" x14ac:dyDescent="0.3">
      <c r="B1161" s="1">
        <v>41939</v>
      </c>
      <c r="C1161" s="5" t="s">
        <v>5</v>
      </c>
      <c r="D1161" s="5" t="s">
        <v>6</v>
      </c>
      <c r="E1161" s="5">
        <v>121.37</v>
      </c>
    </row>
    <row r="1162" spans="2:5" x14ac:dyDescent="0.3">
      <c r="B1162" s="1">
        <v>41936</v>
      </c>
      <c r="C1162" s="5" t="s">
        <v>5</v>
      </c>
      <c r="D1162" s="5" t="s">
        <v>6</v>
      </c>
      <c r="E1162" s="5">
        <v>120</v>
      </c>
    </row>
    <row r="1163" spans="2:5" x14ac:dyDescent="0.3">
      <c r="B1163" s="1">
        <v>41935</v>
      </c>
      <c r="C1163" s="5" t="s">
        <v>5</v>
      </c>
      <c r="D1163" s="5" t="s">
        <v>6</v>
      </c>
      <c r="E1163" s="5">
        <v>120.81</v>
      </c>
    </row>
    <row r="1164" spans="2:5" x14ac:dyDescent="0.3">
      <c r="B1164" s="1">
        <v>41934</v>
      </c>
      <c r="C1164" s="5" t="s">
        <v>5</v>
      </c>
      <c r="D1164" s="5" t="s">
        <v>6</v>
      </c>
      <c r="E1164" s="5">
        <v>119.29</v>
      </c>
    </row>
    <row r="1165" spans="2:5" x14ac:dyDescent="0.3">
      <c r="B1165" s="1">
        <v>41933</v>
      </c>
      <c r="C1165" s="5" t="s">
        <v>5</v>
      </c>
      <c r="D1165" s="5" t="s">
        <v>6</v>
      </c>
      <c r="E1165" s="5">
        <v>121.46</v>
      </c>
    </row>
    <row r="1166" spans="2:5" x14ac:dyDescent="0.3">
      <c r="B1166" s="1">
        <v>41932</v>
      </c>
      <c r="C1166" s="5" t="s">
        <v>5</v>
      </c>
      <c r="D1166" s="5" t="s">
        <v>6</v>
      </c>
      <c r="E1166" s="5">
        <v>120.82</v>
      </c>
    </row>
    <row r="1167" spans="2:5" x14ac:dyDescent="0.3">
      <c r="B1167" s="1">
        <v>41929</v>
      </c>
      <c r="C1167" s="5" t="s">
        <v>5</v>
      </c>
      <c r="D1167" s="5" t="s">
        <v>6</v>
      </c>
      <c r="E1167" s="5">
        <v>121.06</v>
      </c>
    </row>
    <row r="1168" spans="2:5" x14ac:dyDescent="0.3">
      <c r="B1168" s="1">
        <v>41928</v>
      </c>
      <c r="C1168" s="5" t="s">
        <v>5</v>
      </c>
      <c r="D1168" s="5" t="s">
        <v>6</v>
      </c>
      <c r="E1168" s="5">
        <v>122.61</v>
      </c>
    </row>
    <row r="1169" spans="2:5" x14ac:dyDescent="0.3">
      <c r="B1169" s="1">
        <v>41927</v>
      </c>
      <c r="C1169" s="5" t="s">
        <v>5</v>
      </c>
      <c r="D1169" s="5" t="s">
        <v>6</v>
      </c>
      <c r="E1169" s="5">
        <v>123.22</v>
      </c>
    </row>
    <row r="1170" spans="2:5" x14ac:dyDescent="0.3">
      <c r="B1170" s="1">
        <v>41926</v>
      </c>
      <c r="C1170" s="5" t="s">
        <v>5</v>
      </c>
      <c r="D1170" s="5" t="s">
        <v>6</v>
      </c>
      <c r="E1170" s="5">
        <v>124.55</v>
      </c>
    </row>
    <row r="1171" spans="2:5" x14ac:dyDescent="0.3">
      <c r="B1171" s="1">
        <v>41925</v>
      </c>
      <c r="C1171" s="5" t="s">
        <v>5</v>
      </c>
      <c r="D1171" s="5" t="s">
        <v>6</v>
      </c>
      <c r="E1171" s="5">
        <v>124.57</v>
      </c>
    </row>
    <row r="1172" spans="2:5" x14ac:dyDescent="0.3">
      <c r="B1172" s="1">
        <v>41922</v>
      </c>
      <c r="C1172" s="5" t="s">
        <v>5</v>
      </c>
      <c r="D1172" s="5" t="s">
        <v>6</v>
      </c>
      <c r="E1172" s="5">
        <v>121.77</v>
      </c>
    </row>
    <row r="1173" spans="2:5" x14ac:dyDescent="0.3">
      <c r="B1173" s="1">
        <v>41921</v>
      </c>
      <c r="C1173" s="5" t="s">
        <v>5</v>
      </c>
      <c r="D1173" s="5" t="s">
        <v>6</v>
      </c>
      <c r="E1173" s="5">
        <v>119.4</v>
      </c>
    </row>
    <row r="1174" spans="2:5" x14ac:dyDescent="0.3">
      <c r="B1174" s="1">
        <v>41915</v>
      </c>
      <c r="C1174" s="5" t="s">
        <v>5</v>
      </c>
      <c r="D1174" s="5" t="s">
        <v>6</v>
      </c>
      <c r="E1174" s="5">
        <v>119.78</v>
      </c>
    </row>
    <row r="1175" spans="2:5" x14ac:dyDescent="0.3">
      <c r="B1175" s="1">
        <v>41914</v>
      </c>
      <c r="C1175" s="5" t="s">
        <v>5</v>
      </c>
      <c r="D1175" s="5" t="s">
        <v>6</v>
      </c>
      <c r="E1175" s="5">
        <v>119.59</v>
      </c>
    </row>
    <row r="1176" spans="2:5" x14ac:dyDescent="0.3">
      <c r="B1176" s="1">
        <v>41913</v>
      </c>
      <c r="C1176" s="5" t="s">
        <v>5</v>
      </c>
      <c r="D1176" s="5" t="s">
        <v>6</v>
      </c>
      <c r="E1176" s="5">
        <v>118.41</v>
      </c>
    </row>
    <row r="1177" spans="2:5" x14ac:dyDescent="0.3">
      <c r="B1177" s="1">
        <v>41912</v>
      </c>
      <c r="C1177" s="5" t="s">
        <v>5</v>
      </c>
      <c r="D1177" s="5" t="s">
        <v>6</v>
      </c>
      <c r="E1177" s="5">
        <v>119</v>
      </c>
    </row>
    <row r="1178" spans="2:5" x14ac:dyDescent="0.3">
      <c r="B1178" s="1">
        <v>41911</v>
      </c>
      <c r="C1178" s="5" t="s">
        <v>5</v>
      </c>
      <c r="D1178" s="5" t="s">
        <v>6</v>
      </c>
      <c r="E1178" s="5">
        <v>117.47</v>
      </c>
    </row>
    <row r="1179" spans="2:5" x14ac:dyDescent="0.3">
      <c r="B1179" s="1">
        <v>41908</v>
      </c>
      <c r="C1179" s="5" t="s">
        <v>5</v>
      </c>
      <c r="D1179" s="5" t="s">
        <v>6</v>
      </c>
      <c r="E1179" s="5">
        <v>118.71</v>
      </c>
    </row>
    <row r="1180" spans="2:5" x14ac:dyDescent="0.3">
      <c r="B1180" s="1">
        <v>41907</v>
      </c>
      <c r="C1180" s="5" t="s">
        <v>5</v>
      </c>
      <c r="D1180" s="5" t="s">
        <v>6</v>
      </c>
      <c r="E1180" s="5">
        <v>120.01</v>
      </c>
    </row>
    <row r="1181" spans="2:5" x14ac:dyDescent="0.3">
      <c r="B1181" s="1">
        <v>41906</v>
      </c>
      <c r="C1181" s="5" t="s">
        <v>5</v>
      </c>
      <c r="D1181" s="5" t="s">
        <v>6</v>
      </c>
      <c r="E1181" s="5">
        <v>122.72</v>
      </c>
    </row>
    <row r="1182" spans="2:5" x14ac:dyDescent="0.3">
      <c r="B1182" s="1">
        <v>41905</v>
      </c>
      <c r="C1182" s="5" t="s">
        <v>5</v>
      </c>
      <c r="D1182" s="5" t="s">
        <v>6</v>
      </c>
      <c r="E1182" s="5">
        <v>118.31</v>
      </c>
    </row>
    <row r="1183" spans="2:5" x14ac:dyDescent="0.3">
      <c r="B1183" s="1">
        <v>41904</v>
      </c>
      <c r="C1183" s="5" t="s">
        <v>5</v>
      </c>
      <c r="D1183" s="5" t="s">
        <v>6</v>
      </c>
      <c r="E1183" s="5">
        <v>113.43</v>
      </c>
    </row>
    <row r="1184" spans="2:5" x14ac:dyDescent="0.3">
      <c r="B1184" s="1">
        <v>41901</v>
      </c>
      <c r="C1184" s="5" t="s">
        <v>5</v>
      </c>
      <c r="D1184" s="5" t="s">
        <v>6</v>
      </c>
      <c r="E1184" s="5">
        <v>114.14</v>
      </c>
    </row>
    <row r="1185" spans="2:5" x14ac:dyDescent="0.3">
      <c r="B1185" s="1">
        <v>41900</v>
      </c>
      <c r="C1185" s="5" t="s">
        <v>5</v>
      </c>
      <c r="D1185" s="5" t="s">
        <v>6</v>
      </c>
      <c r="E1185" s="5">
        <v>115.36</v>
      </c>
    </row>
    <row r="1186" spans="2:5" x14ac:dyDescent="0.3">
      <c r="B1186" s="1">
        <v>41899</v>
      </c>
      <c r="C1186" s="5" t="s">
        <v>5</v>
      </c>
      <c r="D1186" s="5" t="s">
        <v>6</v>
      </c>
      <c r="E1186" s="5">
        <v>116.7</v>
      </c>
    </row>
    <row r="1187" spans="2:5" x14ac:dyDescent="0.3">
      <c r="B1187" s="1">
        <v>41898</v>
      </c>
      <c r="C1187" s="5" t="s">
        <v>5</v>
      </c>
      <c r="D1187" s="5" t="s">
        <v>6</v>
      </c>
      <c r="E1187" s="5">
        <v>116.81</v>
      </c>
    </row>
    <row r="1188" spans="2:5" x14ac:dyDescent="0.3">
      <c r="B1188" s="1">
        <v>41897</v>
      </c>
      <c r="C1188" s="5" t="s">
        <v>5</v>
      </c>
      <c r="D1188" s="5" t="s">
        <v>6</v>
      </c>
      <c r="E1188" s="5">
        <v>114.58</v>
      </c>
    </row>
    <row r="1189" spans="2:5" x14ac:dyDescent="0.3">
      <c r="B1189" s="1">
        <v>41894</v>
      </c>
      <c r="C1189" s="5" t="s">
        <v>5</v>
      </c>
      <c r="D1189" s="5" t="s">
        <v>6</v>
      </c>
      <c r="E1189" s="5">
        <v>114.64</v>
      </c>
    </row>
    <row r="1190" spans="2:5" x14ac:dyDescent="0.3">
      <c r="B1190" s="1">
        <v>41893</v>
      </c>
      <c r="C1190" s="5" t="s">
        <v>5</v>
      </c>
      <c r="D1190" s="5" t="s">
        <v>6</v>
      </c>
      <c r="E1190" s="5">
        <v>113.66</v>
      </c>
    </row>
    <row r="1191" spans="2:5" x14ac:dyDescent="0.3">
      <c r="B1191" s="1">
        <v>41892</v>
      </c>
      <c r="C1191" s="5" t="s">
        <v>5</v>
      </c>
      <c r="D1191" s="5" t="s">
        <v>6</v>
      </c>
      <c r="E1191" s="5">
        <v>112.28</v>
      </c>
    </row>
    <row r="1192" spans="2:5" x14ac:dyDescent="0.3">
      <c r="B1192" s="1">
        <v>41891</v>
      </c>
      <c r="C1192" s="5" t="s">
        <v>5</v>
      </c>
      <c r="D1192" s="5" t="s">
        <v>6</v>
      </c>
      <c r="E1192" s="5">
        <v>112.93</v>
      </c>
    </row>
    <row r="1193" spans="2:5" x14ac:dyDescent="0.3">
      <c r="B1193" s="1">
        <v>41890</v>
      </c>
      <c r="C1193" s="5" t="s">
        <v>5</v>
      </c>
      <c r="D1193" s="5" t="s">
        <v>6</v>
      </c>
      <c r="E1193" s="5">
        <v>112.5</v>
      </c>
    </row>
    <row r="1194" spans="2:5" x14ac:dyDescent="0.3">
      <c r="B1194" s="1">
        <v>41887</v>
      </c>
      <c r="C1194" s="5" t="s">
        <v>5</v>
      </c>
      <c r="D1194" s="5" t="s">
        <v>6</v>
      </c>
      <c r="E1194" s="5">
        <v>113.11</v>
      </c>
    </row>
    <row r="1195" spans="2:5" x14ac:dyDescent="0.3">
      <c r="B1195" s="1">
        <v>41886</v>
      </c>
      <c r="C1195" s="5" t="s">
        <v>5</v>
      </c>
      <c r="D1195" s="5" t="s">
        <v>6</v>
      </c>
      <c r="E1195" s="5">
        <v>113.16</v>
      </c>
    </row>
    <row r="1196" spans="2:5" x14ac:dyDescent="0.3">
      <c r="B1196" s="1">
        <v>41885</v>
      </c>
      <c r="C1196" s="5" t="s">
        <v>5</v>
      </c>
      <c r="D1196" s="5" t="s">
        <v>6</v>
      </c>
      <c r="E1196" s="5">
        <v>111.76</v>
      </c>
    </row>
    <row r="1197" spans="2:5" x14ac:dyDescent="0.3">
      <c r="B1197" s="1">
        <v>41884</v>
      </c>
      <c r="C1197" s="5" t="s">
        <v>5</v>
      </c>
      <c r="D1197" s="5" t="s">
        <v>6</v>
      </c>
      <c r="E1197" s="5">
        <v>107.25</v>
      </c>
    </row>
    <row r="1198" spans="2:5" x14ac:dyDescent="0.3">
      <c r="B1198" s="1">
        <v>41883</v>
      </c>
      <c r="C1198" s="5" t="s">
        <v>5</v>
      </c>
      <c r="D1198" s="5" t="s">
        <v>6</v>
      </c>
      <c r="E1198" s="5">
        <v>103</v>
      </c>
    </row>
    <row r="1199" spans="2:5" x14ac:dyDescent="0.3">
      <c r="B1199" s="1">
        <v>41880</v>
      </c>
      <c r="C1199" s="5" t="s">
        <v>5</v>
      </c>
      <c r="D1199" s="5" t="s">
        <v>6</v>
      </c>
      <c r="E1199" s="5">
        <v>102.92</v>
      </c>
    </row>
    <row r="1200" spans="2:5" x14ac:dyDescent="0.3">
      <c r="B1200" s="1">
        <v>41879</v>
      </c>
      <c r="C1200" s="5" t="s">
        <v>5</v>
      </c>
      <c r="D1200" s="5" t="s">
        <v>6</v>
      </c>
      <c r="E1200" s="5">
        <v>98.57</v>
      </c>
    </row>
    <row r="1201" spans="2:5" x14ac:dyDescent="0.3">
      <c r="B1201" s="1">
        <v>41878</v>
      </c>
      <c r="C1201" s="5" t="s">
        <v>5</v>
      </c>
      <c r="D1201" s="5" t="s">
        <v>6</v>
      </c>
      <c r="E1201" s="5">
        <v>99.38</v>
      </c>
    </row>
    <row r="1202" spans="2:5" x14ac:dyDescent="0.3">
      <c r="B1202" s="1">
        <v>41877</v>
      </c>
      <c r="C1202" s="5" t="s">
        <v>5</v>
      </c>
      <c r="D1202" s="5" t="s">
        <v>6</v>
      </c>
      <c r="E1202" s="5">
        <v>102.48</v>
      </c>
    </row>
    <row r="1203" spans="2:5" x14ac:dyDescent="0.3">
      <c r="B1203" s="1">
        <v>41876</v>
      </c>
      <c r="C1203" s="5" t="s">
        <v>5</v>
      </c>
      <c r="D1203" s="5" t="s">
        <v>6</v>
      </c>
      <c r="E1203" s="5">
        <v>105.51</v>
      </c>
    </row>
    <row r="1204" spans="2:5" x14ac:dyDescent="0.3">
      <c r="B1204" s="1">
        <v>41873</v>
      </c>
      <c r="C1204" s="5" t="s">
        <v>5</v>
      </c>
      <c r="D1204" s="5" t="s">
        <v>6</v>
      </c>
      <c r="E1204" s="5">
        <v>107.59</v>
      </c>
    </row>
    <row r="1205" spans="2:5" x14ac:dyDescent="0.3">
      <c r="B1205" s="1">
        <v>41872</v>
      </c>
      <c r="C1205" s="5" t="s">
        <v>5</v>
      </c>
      <c r="D1205" s="5" t="s">
        <v>6</v>
      </c>
      <c r="E1205" s="5">
        <v>106.29</v>
      </c>
    </row>
    <row r="1206" spans="2:5" x14ac:dyDescent="0.3">
      <c r="B1206" s="1">
        <v>41871</v>
      </c>
      <c r="C1206" s="5" t="s">
        <v>5</v>
      </c>
      <c r="D1206" s="5" t="s">
        <v>6</v>
      </c>
      <c r="E1206" s="5">
        <v>105.48</v>
      </c>
    </row>
    <row r="1207" spans="2:5" x14ac:dyDescent="0.3">
      <c r="B1207" s="1">
        <v>41870</v>
      </c>
      <c r="C1207" s="5" t="s">
        <v>5</v>
      </c>
      <c r="D1207" s="5" t="s">
        <v>6</v>
      </c>
      <c r="E1207" s="5">
        <v>105.55</v>
      </c>
    </row>
    <row r="1208" spans="2:5" x14ac:dyDescent="0.3">
      <c r="B1208" s="1">
        <v>41869</v>
      </c>
      <c r="C1208" s="5" t="s">
        <v>5</v>
      </c>
      <c r="D1208" s="5" t="s">
        <v>6</v>
      </c>
      <c r="E1208" s="5">
        <v>104.92</v>
      </c>
    </row>
    <row r="1209" spans="2:5" x14ac:dyDescent="0.3">
      <c r="B1209" s="1">
        <v>41866</v>
      </c>
      <c r="C1209" s="5" t="s">
        <v>5</v>
      </c>
      <c r="D1209" s="5" t="s">
        <v>6</v>
      </c>
      <c r="E1209" s="5">
        <v>106.79</v>
      </c>
    </row>
    <row r="1210" spans="2:5" x14ac:dyDescent="0.3">
      <c r="B1210" s="1">
        <v>41864</v>
      </c>
      <c r="C1210" s="5" t="s">
        <v>5</v>
      </c>
      <c r="D1210" s="5" t="s">
        <v>6</v>
      </c>
      <c r="E1210" s="5">
        <v>104.24</v>
      </c>
    </row>
    <row r="1211" spans="2:5" x14ac:dyDescent="0.3">
      <c r="B1211" s="1">
        <v>41863</v>
      </c>
      <c r="C1211" s="5" t="s">
        <v>5</v>
      </c>
      <c r="D1211" s="5" t="s">
        <v>6</v>
      </c>
      <c r="E1211" s="5">
        <v>104.75</v>
      </c>
    </row>
    <row r="1212" spans="2:5" x14ac:dyDescent="0.3">
      <c r="B1212" s="1">
        <v>41862</v>
      </c>
      <c r="C1212" s="5" t="s">
        <v>5</v>
      </c>
      <c r="D1212" s="5" t="s">
        <v>6</v>
      </c>
      <c r="E1212" s="5">
        <v>108.25</v>
      </c>
    </row>
    <row r="1213" spans="2:5" x14ac:dyDescent="0.3">
      <c r="B1213" s="1">
        <v>41859</v>
      </c>
      <c r="C1213" s="5" t="s">
        <v>5</v>
      </c>
      <c r="D1213" s="5" t="s">
        <v>6</v>
      </c>
      <c r="E1213" s="5">
        <v>113.94</v>
      </c>
    </row>
    <row r="1214" spans="2:5" x14ac:dyDescent="0.3">
      <c r="B1214" s="1">
        <v>41858</v>
      </c>
      <c r="C1214" s="5" t="s">
        <v>5</v>
      </c>
      <c r="D1214" s="5" t="s">
        <v>6</v>
      </c>
      <c r="E1214" s="5">
        <v>112.79</v>
      </c>
    </row>
    <row r="1215" spans="2:5" x14ac:dyDescent="0.3">
      <c r="B1215" s="1">
        <v>41857</v>
      </c>
      <c r="C1215" s="5" t="s">
        <v>5</v>
      </c>
      <c r="D1215" s="5" t="s">
        <v>6</v>
      </c>
      <c r="E1215" s="5">
        <v>112.68</v>
      </c>
    </row>
    <row r="1216" spans="2:5" x14ac:dyDescent="0.3">
      <c r="B1216" s="1">
        <v>41856</v>
      </c>
      <c r="C1216" s="5" t="s">
        <v>5</v>
      </c>
      <c r="D1216" s="5" t="s">
        <v>6</v>
      </c>
      <c r="E1216" s="5">
        <v>113.87</v>
      </c>
    </row>
    <row r="1217" spans="2:5" x14ac:dyDescent="0.3">
      <c r="B1217" s="1">
        <v>41855</v>
      </c>
      <c r="C1217" s="5" t="s">
        <v>5</v>
      </c>
      <c r="D1217" s="5" t="s">
        <v>6</v>
      </c>
      <c r="E1217" s="5">
        <v>113.98</v>
      </c>
    </row>
    <row r="1218" spans="2:5" x14ac:dyDescent="0.3">
      <c r="B1218" s="1">
        <v>41848</v>
      </c>
      <c r="C1218" s="5" t="s">
        <v>5</v>
      </c>
      <c r="D1218" s="5" t="s">
        <v>6</v>
      </c>
      <c r="E1218" s="5">
        <v>119.85</v>
      </c>
    </row>
    <row r="1219" spans="2:5" x14ac:dyDescent="0.3">
      <c r="B1219" s="1">
        <v>41844</v>
      </c>
      <c r="C1219" s="5" t="s">
        <v>5</v>
      </c>
      <c r="D1219" s="5" t="s">
        <v>6</v>
      </c>
      <c r="E1219" s="5">
        <v>118.69</v>
      </c>
    </row>
    <row r="1220" spans="2:5" x14ac:dyDescent="0.3">
      <c r="B1220" s="1">
        <v>41843</v>
      </c>
      <c r="C1220" s="5" t="s">
        <v>5</v>
      </c>
      <c r="D1220" s="5" t="s">
        <v>6</v>
      </c>
      <c r="E1220" s="5">
        <v>118.56</v>
      </c>
    </row>
    <row r="1221" spans="2:5" x14ac:dyDescent="0.3">
      <c r="B1221" s="1">
        <v>41842</v>
      </c>
      <c r="C1221" s="5" t="s">
        <v>5</v>
      </c>
      <c r="D1221" s="5" t="s">
        <v>6</v>
      </c>
      <c r="E1221" s="5">
        <v>120</v>
      </c>
    </row>
    <row r="1222" spans="2:5" x14ac:dyDescent="0.3">
      <c r="B1222" s="1">
        <v>41841</v>
      </c>
      <c r="C1222" s="5" t="s">
        <v>5</v>
      </c>
      <c r="D1222" s="5" t="s">
        <v>6</v>
      </c>
      <c r="E1222" s="5">
        <v>119.03</v>
      </c>
    </row>
    <row r="1223" spans="2:5" x14ac:dyDescent="0.3">
      <c r="B1223" s="1">
        <v>41838</v>
      </c>
      <c r="C1223" s="5" t="s">
        <v>5</v>
      </c>
      <c r="D1223" s="5" t="s">
        <v>6</v>
      </c>
      <c r="E1223" s="5">
        <v>117.68</v>
      </c>
    </row>
    <row r="1224" spans="2:5" x14ac:dyDescent="0.3">
      <c r="B1224" s="1">
        <v>41837</v>
      </c>
      <c r="C1224" s="5" t="s">
        <v>5</v>
      </c>
      <c r="D1224" s="5" t="s">
        <v>6</v>
      </c>
      <c r="E1224" s="5">
        <v>117.03</v>
      </c>
    </row>
    <row r="1225" spans="2:5" x14ac:dyDescent="0.3">
      <c r="B1225" s="1">
        <v>41836</v>
      </c>
      <c r="C1225" s="5" t="s">
        <v>5</v>
      </c>
      <c r="D1225" s="5" t="s">
        <v>6</v>
      </c>
      <c r="E1225" s="5">
        <v>116.13</v>
      </c>
    </row>
    <row r="1226" spans="2:5" x14ac:dyDescent="0.3">
      <c r="B1226" s="1">
        <v>41835</v>
      </c>
      <c r="C1226" s="5" t="s">
        <v>5</v>
      </c>
      <c r="D1226" s="5" t="s">
        <v>6</v>
      </c>
      <c r="E1226" s="5">
        <v>116.22</v>
      </c>
    </row>
    <row r="1227" spans="2:5" x14ac:dyDescent="0.3">
      <c r="B1227" s="1">
        <v>41834</v>
      </c>
      <c r="C1227" s="5" t="s">
        <v>5</v>
      </c>
      <c r="D1227" s="5" t="s">
        <v>6</v>
      </c>
      <c r="E1227" s="5">
        <v>116.24</v>
      </c>
    </row>
    <row r="1228" spans="2:5" x14ac:dyDescent="0.3">
      <c r="B1228" s="1">
        <v>41831</v>
      </c>
      <c r="C1228" s="5" t="s">
        <v>5</v>
      </c>
      <c r="D1228" s="5" t="s">
        <v>6</v>
      </c>
      <c r="E1228" s="5">
        <v>114.51</v>
      </c>
    </row>
    <row r="1229" spans="2:5" x14ac:dyDescent="0.3">
      <c r="B1229" s="1">
        <v>41830</v>
      </c>
      <c r="C1229" s="5" t="s">
        <v>5</v>
      </c>
      <c r="D1229" s="5" t="s">
        <v>6</v>
      </c>
      <c r="E1229" s="5">
        <v>114.41</v>
      </c>
    </row>
    <row r="1230" spans="2:5" x14ac:dyDescent="0.3">
      <c r="B1230" s="1">
        <v>41829</v>
      </c>
      <c r="C1230" s="5" t="s">
        <v>5</v>
      </c>
      <c r="D1230" s="5" t="s">
        <v>6</v>
      </c>
      <c r="E1230" s="5">
        <v>114.39</v>
      </c>
    </row>
    <row r="1231" spans="2:5" x14ac:dyDescent="0.3">
      <c r="B1231" s="1">
        <v>41828</v>
      </c>
      <c r="C1231" s="5" t="s">
        <v>5</v>
      </c>
      <c r="D1231" s="5" t="s">
        <v>6</v>
      </c>
      <c r="E1231" s="5">
        <v>113.89</v>
      </c>
    </row>
    <row r="1232" spans="2:5" x14ac:dyDescent="0.3">
      <c r="B1232" s="1">
        <v>41827</v>
      </c>
      <c r="C1232" s="5" t="s">
        <v>5</v>
      </c>
      <c r="D1232" s="5" t="s">
        <v>6</v>
      </c>
      <c r="E1232" s="5">
        <v>112.67</v>
      </c>
    </row>
    <row r="1233" spans="2:5" x14ac:dyDescent="0.3">
      <c r="B1233" s="1">
        <v>41824</v>
      </c>
      <c r="C1233" s="5" t="s">
        <v>5</v>
      </c>
      <c r="D1233" s="5" t="s">
        <v>6</v>
      </c>
      <c r="E1233" s="5">
        <v>112.71</v>
      </c>
    </row>
    <row r="1234" spans="2:5" x14ac:dyDescent="0.3">
      <c r="B1234" s="1">
        <v>41823</v>
      </c>
      <c r="C1234" s="5" t="s">
        <v>5</v>
      </c>
      <c r="D1234" s="5" t="s">
        <v>6</v>
      </c>
      <c r="E1234" s="5">
        <v>114.77</v>
      </c>
    </row>
    <row r="1235" spans="2:5" x14ac:dyDescent="0.3">
      <c r="B1235" s="1">
        <v>41822</v>
      </c>
      <c r="C1235" s="5" t="s">
        <v>5</v>
      </c>
      <c r="D1235" s="5" t="s">
        <v>6</v>
      </c>
      <c r="E1235" s="5">
        <v>113.88</v>
      </c>
    </row>
    <row r="1236" spans="2:5" x14ac:dyDescent="0.3">
      <c r="B1236" s="1">
        <v>41821</v>
      </c>
      <c r="C1236" s="5" t="s">
        <v>5</v>
      </c>
      <c r="D1236" s="5" t="s">
        <v>6</v>
      </c>
      <c r="E1236" s="5">
        <v>112.64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6"/>
  <sheetViews>
    <sheetView workbookViewId="0">
      <selection activeCell="C11" sqref="C11"/>
    </sheetView>
  </sheetViews>
  <sheetFormatPr defaultRowHeight="14.4" x14ac:dyDescent="0.3"/>
  <cols>
    <col min="1" max="1" width="8.88671875" style="7"/>
    <col min="2" max="2" width="12.33203125" style="7" customWidth="1"/>
    <col min="3" max="3" width="9.33203125" style="7" customWidth="1"/>
    <col min="4" max="4" width="14.88671875" style="7" customWidth="1"/>
    <col min="5" max="16384" width="8.88671875" style="7"/>
  </cols>
  <sheetData>
    <row r="2" spans="2:4" x14ac:dyDescent="0.3">
      <c r="B2" s="3" t="s">
        <v>367</v>
      </c>
      <c r="C2" s="3" t="s">
        <v>368</v>
      </c>
      <c r="D2" s="3" t="s">
        <v>369</v>
      </c>
    </row>
    <row r="3" spans="2:4" x14ac:dyDescent="0.3">
      <c r="B3" s="100">
        <v>43283</v>
      </c>
      <c r="C3" s="100" t="s">
        <v>370</v>
      </c>
      <c r="D3" s="101">
        <v>41734.050000000003</v>
      </c>
    </row>
    <row r="4" spans="2:4" x14ac:dyDescent="0.3">
      <c r="B4" s="100">
        <v>43284</v>
      </c>
      <c r="C4" s="100" t="s">
        <v>370</v>
      </c>
      <c r="D4" s="101">
        <v>41564.42</v>
      </c>
    </row>
    <row r="5" spans="2:4" x14ac:dyDescent="0.3">
      <c r="B5" s="100">
        <v>43285</v>
      </c>
      <c r="C5" s="100" t="s">
        <v>370</v>
      </c>
      <c r="D5" s="101">
        <v>40345.68</v>
      </c>
    </row>
    <row r="6" spans="2:4" x14ac:dyDescent="0.3">
      <c r="B6" s="100">
        <v>43286</v>
      </c>
      <c r="C6" s="100" t="s">
        <v>370</v>
      </c>
      <c r="D6" s="101">
        <v>40238.81</v>
      </c>
    </row>
    <row r="7" spans="2:4" x14ac:dyDescent="0.3">
      <c r="B7" s="100">
        <v>43287</v>
      </c>
      <c r="C7" s="100" t="s">
        <v>370</v>
      </c>
      <c r="D7" s="101">
        <v>40284.14</v>
      </c>
    </row>
    <row r="8" spans="2:4" x14ac:dyDescent="0.3">
      <c r="B8" s="100">
        <v>43290</v>
      </c>
      <c r="C8" s="100" t="s">
        <v>370</v>
      </c>
      <c r="D8" s="101">
        <v>39288.480000000003</v>
      </c>
    </row>
    <row r="9" spans="2:4" x14ac:dyDescent="0.3">
      <c r="B9" s="100">
        <v>43291</v>
      </c>
      <c r="C9" s="100" t="s">
        <v>370</v>
      </c>
      <c r="D9" s="101">
        <v>39452.81</v>
      </c>
    </row>
    <row r="10" spans="2:4" x14ac:dyDescent="0.3">
      <c r="B10" s="100">
        <v>43292</v>
      </c>
      <c r="C10" s="100" t="s">
        <v>370</v>
      </c>
      <c r="D10" s="101">
        <v>39586.76</v>
      </c>
    </row>
    <row r="11" spans="2:4" x14ac:dyDescent="0.3">
      <c r="B11" s="100">
        <v>43293</v>
      </c>
      <c r="C11" s="100" t="s">
        <v>370</v>
      </c>
      <c r="D11" s="101">
        <v>39875.120000000003</v>
      </c>
    </row>
    <row r="12" spans="2:4" x14ac:dyDescent="0.3">
      <c r="B12" s="100">
        <v>43294</v>
      </c>
      <c r="C12" s="100" t="s">
        <v>370</v>
      </c>
      <c r="D12" s="101">
        <v>40271</v>
      </c>
    </row>
    <row r="13" spans="2:4" x14ac:dyDescent="0.3">
      <c r="B13" s="100">
        <v>43297</v>
      </c>
      <c r="C13" s="100" t="s">
        <v>370</v>
      </c>
      <c r="D13" s="101">
        <v>39665.769999999997</v>
      </c>
    </row>
    <row r="14" spans="2:4" x14ac:dyDescent="0.3">
      <c r="B14" s="100">
        <v>43298</v>
      </c>
      <c r="C14" s="100" t="s">
        <v>370</v>
      </c>
      <c r="D14" s="101">
        <v>39932.980000000003</v>
      </c>
    </row>
    <row r="15" spans="2:4" x14ac:dyDescent="0.3">
      <c r="B15" s="100">
        <v>43299</v>
      </c>
      <c r="C15" s="100" t="s">
        <v>370</v>
      </c>
      <c r="D15" s="101">
        <v>40897.9</v>
      </c>
    </row>
    <row r="16" spans="2:4" x14ac:dyDescent="0.3">
      <c r="B16" s="100">
        <v>43300</v>
      </c>
      <c r="C16" s="100" t="s">
        <v>370</v>
      </c>
      <c r="D16" s="101">
        <v>41795.589999999997</v>
      </c>
    </row>
    <row r="17" spans="2:4" x14ac:dyDescent="0.3">
      <c r="B17" s="100">
        <v>43301</v>
      </c>
      <c r="C17" s="100" t="s">
        <v>370</v>
      </c>
      <c r="D17" s="101">
        <v>41221.75</v>
      </c>
    </row>
    <row r="18" spans="2:4" x14ac:dyDescent="0.3">
      <c r="B18" s="100">
        <v>43304</v>
      </c>
      <c r="C18" s="100" t="s">
        <v>370</v>
      </c>
      <c r="D18" s="101">
        <v>40463.980000000003</v>
      </c>
    </row>
    <row r="19" spans="2:4" x14ac:dyDescent="0.3">
      <c r="B19" s="100">
        <v>43305</v>
      </c>
      <c r="C19" s="100" t="s">
        <v>370</v>
      </c>
      <c r="D19" s="101">
        <v>41339.22</v>
      </c>
    </row>
    <row r="20" spans="2:4" x14ac:dyDescent="0.3">
      <c r="B20" s="100">
        <v>43307</v>
      </c>
      <c r="C20" s="100" t="s">
        <v>370</v>
      </c>
      <c r="D20" s="101">
        <v>42089.16</v>
      </c>
    </row>
    <row r="21" spans="2:4" x14ac:dyDescent="0.3">
      <c r="B21" s="100">
        <v>43308</v>
      </c>
      <c r="C21" s="100" t="s">
        <v>370</v>
      </c>
      <c r="D21" s="101">
        <v>42786.45</v>
      </c>
    </row>
    <row r="22" spans="2:4" x14ac:dyDescent="0.3">
      <c r="B22" s="100">
        <v>43311</v>
      </c>
      <c r="C22" s="100" t="s">
        <v>370</v>
      </c>
      <c r="D22" s="101">
        <v>43556.63</v>
      </c>
    </row>
    <row r="23" spans="2:4" x14ac:dyDescent="0.3">
      <c r="B23" s="100">
        <v>43312</v>
      </c>
      <c r="C23" s="100" t="s">
        <v>370</v>
      </c>
      <c r="D23" s="101">
        <v>42712.43</v>
      </c>
    </row>
    <row r="24" spans="2:4" x14ac:dyDescent="0.3">
      <c r="B24" s="100">
        <v>43313</v>
      </c>
      <c r="C24" s="100" t="s">
        <v>370</v>
      </c>
      <c r="D24" s="101">
        <v>42810.04</v>
      </c>
    </row>
    <row r="25" spans="2:4" x14ac:dyDescent="0.3">
      <c r="B25" s="100">
        <v>43314</v>
      </c>
      <c r="C25" s="100" t="s">
        <v>370</v>
      </c>
      <c r="D25" s="101">
        <v>42330.32</v>
      </c>
    </row>
    <row r="26" spans="2:4" x14ac:dyDescent="0.3">
      <c r="B26" s="100">
        <v>43315</v>
      </c>
      <c r="C26" s="100" t="s">
        <v>370</v>
      </c>
      <c r="D26" s="101">
        <v>42505.05</v>
      </c>
    </row>
    <row r="27" spans="2:4" x14ac:dyDescent="0.3">
      <c r="B27" s="100">
        <v>43318</v>
      </c>
      <c r="C27" s="100" t="s">
        <v>370</v>
      </c>
      <c r="D27" s="101">
        <v>42808.66</v>
      </c>
    </row>
    <row r="28" spans="2:4" x14ac:dyDescent="0.3">
      <c r="B28" s="100">
        <v>43319</v>
      </c>
      <c r="C28" s="100" t="s">
        <v>370</v>
      </c>
      <c r="D28" s="101">
        <v>42760.13</v>
      </c>
    </row>
    <row r="29" spans="2:4" x14ac:dyDescent="0.3">
      <c r="B29" s="100">
        <v>43320</v>
      </c>
      <c r="C29" s="100" t="s">
        <v>370</v>
      </c>
      <c r="D29" s="101">
        <v>42731.86</v>
      </c>
    </row>
    <row r="30" spans="2:4" x14ac:dyDescent="0.3">
      <c r="B30" s="100">
        <v>43321</v>
      </c>
      <c r="C30" s="100" t="s">
        <v>370</v>
      </c>
      <c r="D30" s="101">
        <v>42923.95</v>
      </c>
    </row>
    <row r="31" spans="2:4" x14ac:dyDescent="0.3">
      <c r="B31" s="100">
        <v>43322</v>
      </c>
      <c r="C31" s="100" t="s">
        <v>370</v>
      </c>
      <c r="D31" s="101">
        <v>42842.18</v>
      </c>
    </row>
    <row r="32" spans="2:4" x14ac:dyDescent="0.3">
      <c r="B32" s="100">
        <v>43325</v>
      </c>
      <c r="C32" s="100" t="s">
        <v>370</v>
      </c>
      <c r="D32" s="101">
        <v>42637.58</v>
      </c>
    </row>
    <row r="33" spans="2:4" x14ac:dyDescent="0.3">
      <c r="B33" s="100">
        <v>43327</v>
      </c>
      <c r="C33" s="100" t="s">
        <v>370</v>
      </c>
      <c r="D33" s="101">
        <v>42446.559999999998</v>
      </c>
    </row>
    <row r="34" spans="2:4" x14ac:dyDescent="0.3">
      <c r="B34" s="100">
        <v>43328</v>
      </c>
      <c r="C34" s="100" t="s">
        <v>370</v>
      </c>
      <c r="D34" s="101">
        <v>41960.800000000003</v>
      </c>
    </row>
    <row r="35" spans="2:4" x14ac:dyDescent="0.3">
      <c r="B35" s="100">
        <v>43329</v>
      </c>
      <c r="C35" s="100" t="s">
        <v>370</v>
      </c>
      <c r="D35" s="101">
        <v>42446.62</v>
      </c>
    </row>
    <row r="36" spans="2:4" x14ac:dyDescent="0.3">
      <c r="B36" s="100">
        <v>43332</v>
      </c>
      <c r="C36" s="100" t="s">
        <v>370</v>
      </c>
      <c r="D36" s="101">
        <v>42425.1</v>
      </c>
    </row>
    <row r="37" spans="2:4" x14ac:dyDescent="0.3">
      <c r="B37" s="100">
        <v>43336</v>
      </c>
      <c r="C37" s="100" t="s">
        <v>370</v>
      </c>
      <c r="D37" s="101">
        <v>42588.29</v>
      </c>
    </row>
    <row r="38" spans="2:4" x14ac:dyDescent="0.3">
      <c r="B38" s="100">
        <v>43339</v>
      </c>
      <c r="C38" s="100" t="s">
        <v>370</v>
      </c>
      <c r="D38" s="101">
        <v>42745.78</v>
      </c>
    </row>
    <row r="39" spans="2:4" x14ac:dyDescent="0.3">
      <c r="B39" s="100">
        <v>43340</v>
      </c>
      <c r="C39" s="100" t="s">
        <v>370</v>
      </c>
      <c r="D39" s="101">
        <v>42544.47</v>
      </c>
    </row>
    <row r="40" spans="2:4" x14ac:dyDescent="0.3">
      <c r="B40" s="100">
        <v>43341</v>
      </c>
      <c r="C40" s="100" t="s">
        <v>370</v>
      </c>
      <c r="D40" s="101">
        <v>42249.440000000002</v>
      </c>
    </row>
    <row r="41" spans="2:4" x14ac:dyDescent="0.3">
      <c r="B41" s="100">
        <v>43342</v>
      </c>
      <c r="C41" s="100" t="s">
        <v>370</v>
      </c>
      <c r="D41" s="101">
        <v>41863.519999999997</v>
      </c>
    </row>
    <row r="42" spans="2:4" x14ac:dyDescent="0.3">
      <c r="B42" s="100">
        <v>43343</v>
      </c>
      <c r="C42" s="100" t="s">
        <v>370</v>
      </c>
      <c r="D42" s="101">
        <v>41742.239999999998</v>
      </c>
    </row>
    <row r="43" spans="2:4" x14ac:dyDescent="0.3">
      <c r="B43" s="100">
        <v>43346</v>
      </c>
      <c r="C43" s="100" t="s">
        <v>370</v>
      </c>
      <c r="D43" s="101">
        <v>41581.96</v>
      </c>
    </row>
    <row r="44" spans="2:4" x14ac:dyDescent="0.3">
      <c r="B44" s="100">
        <v>43347</v>
      </c>
      <c r="C44" s="100" t="s">
        <v>370</v>
      </c>
      <c r="D44" s="101">
        <v>41753.89</v>
      </c>
    </row>
    <row r="45" spans="2:4" x14ac:dyDescent="0.3">
      <c r="B45" s="100">
        <v>43348</v>
      </c>
      <c r="C45" s="100" t="s">
        <v>370</v>
      </c>
      <c r="D45" s="101">
        <v>41620.959999999999</v>
      </c>
    </row>
    <row r="46" spans="2:4" x14ac:dyDescent="0.3">
      <c r="B46" s="100">
        <v>43349</v>
      </c>
      <c r="C46" s="100" t="s">
        <v>370</v>
      </c>
      <c r="D46" s="101">
        <v>41266.39</v>
      </c>
    </row>
    <row r="47" spans="2:4" x14ac:dyDescent="0.3">
      <c r="B47" s="100">
        <v>43350</v>
      </c>
      <c r="C47" s="100" t="s">
        <v>370</v>
      </c>
      <c r="D47" s="101">
        <v>40854.769999999997</v>
      </c>
    </row>
    <row r="48" spans="2:4" x14ac:dyDescent="0.3">
      <c r="B48" s="100">
        <v>43353</v>
      </c>
      <c r="C48" s="100" t="s">
        <v>370</v>
      </c>
      <c r="D48" s="101">
        <v>40684.050000000003</v>
      </c>
    </row>
    <row r="49" spans="2:4" x14ac:dyDescent="0.3">
      <c r="B49" s="100">
        <v>43354</v>
      </c>
      <c r="C49" s="100" t="s">
        <v>370</v>
      </c>
      <c r="D49" s="101">
        <v>40759.53</v>
      </c>
    </row>
    <row r="50" spans="2:4" x14ac:dyDescent="0.3">
      <c r="B50" s="100">
        <v>43355</v>
      </c>
      <c r="C50" s="100" t="s">
        <v>370</v>
      </c>
      <c r="D50" s="101">
        <v>40522.04</v>
      </c>
    </row>
    <row r="51" spans="2:4" x14ac:dyDescent="0.3">
      <c r="B51" s="100">
        <v>43356</v>
      </c>
      <c r="C51" s="100" t="s">
        <v>370</v>
      </c>
      <c r="D51" s="101">
        <v>41049.910000000003</v>
      </c>
    </row>
    <row r="52" spans="2:4" x14ac:dyDescent="0.3">
      <c r="B52" s="100">
        <v>43357</v>
      </c>
      <c r="C52" s="100" t="s">
        <v>370</v>
      </c>
      <c r="D52" s="101">
        <v>40920.31</v>
      </c>
    </row>
    <row r="53" spans="2:4" x14ac:dyDescent="0.3">
      <c r="B53" s="100">
        <v>43360</v>
      </c>
      <c r="C53" s="100" t="s">
        <v>370</v>
      </c>
      <c r="D53" s="101">
        <v>40520.47</v>
      </c>
    </row>
    <row r="54" spans="2:4" x14ac:dyDescent="0.3">
      <c r="B54" s="100">
        <v>43361</v>
      </c>
      <c r="C54" s="100" t="s">
        <v>370</v>
      </c>
      <c r="D54" s="101">
        <v>41238.07</v>
      </c>
    </row>
    <row r="55" spans="2:4" x14ac:dyDescent="0.3">
      <c r="B55" s="100">
        <v>43362</v>
      </c>
      <c r="C55" s="100" t="s">
        <v>370</v>
      </c>
      <c r="D55" s="101">
        <v>41320.129999999997</v>
      </c>
    </row>
    <row r="56" spans="2:4" x14ac:dyDescent="0.3">
      <c r="B56" s="100">
        <v>43367</v>
      </c>
      <c r="C56" s="100" t="s">
        <v>370</v>
      </c>
      <c r="D56" s="101">
        <v>41004.550000000003</v>
      </c>
    </row>
    <row r="57" spans="2:4" x14ac:dyDescent="0.3">
      <c r="B57" s="100">
        <v>43368</v>
      </c>
      <c r="C57" s="100" t="s">
        <v>370</v>
      </c>
      <c r="D57" s="101">
        <v>41036.300000000003</v>
      </c>
    </row>
    <row r="58" spans="2:4" x14ac:dyDescent="0.3">
      <c r="B58" s="100">
        <v>43369</v>
      </c>
      <c r="C58" s="100" t="s">
        <v>370</v>
      </c>
      <c r="D58" s="101">
        <v>40909.910000000003</v>
      </c>
    </row>
    <row r="59" spans="2:4" x14ac:dyDescent="0.3">
      <c r="B59" s="100">
        <v>43370</v>
      </c>
      <c r="C59" s="100" t="s">
        <v>370</v>
      </c>
      <c r="D59" s="101">
        <v>40851.800000000003</v>
      </c>
    </row>
    <row r="60" spans="2:4" x14ac:dyDescent="0.3">
      <c r="B60" s="100">
        <v>43371</v>
      </c>
      <c r="C60" s="100" t="s">
        <v>370</v>
      </c>
      <c r="D60" s="101">
        <v>40998.589999999997</v>
      </c>
    </row>
    <row r="61" spans="2:4" x14ac:dyDescent="0.3">
      <c r="B61" s="100">
        <v>43374</v>
      </c>
      <c r="C61" s="100" t="s">
        <v>370</v>
      </c>
      <c r="D61" s="101">
        <v>40929.440000000002</v>
      </c>
    </row>
    <row r="62" spans="2:4" x14ac:dyDescent="0.3">
      <c r="B62" s="100">
        <v>43375</v>
      </c>
      <c r="C62" s="100" t="s">
        <v>370</v>
      </c>
      <c r="D62" s="101">
        <v>40800.25</v>
      </c>
    </row>
    <row r="63" spans="2:4" x14ac:dyDescent="0.3">
      <c r="B63" s="100">
        <v>43376</v>
      </c>
      <c r="C63" s="100" t="s">
        <v>370</v>
      </c>
      <c r="D63" s="101">
        <v>40560.19</v>
      </c>
    </row>
    <row r="64" spans="2:4" x14ac:dyDescent="0.3">
      <c r="B64" s="100">
        <v>43377</v>
      </c>
      <c r="C64" s="100" t="s">
        <v>370</v>
      </c>
      <c r="D64" s="101">
        <v>40087.120000000003</v>
      </c>
    </row>
    <row r="65" spans="2:4" x14ac:dyDescent="0.3">
      <c r="B65" s="100">
        <v>43378</v>
      </c>
      <c r="C65" s="100" t="s">
        <v>370</v>
      </c>
      <c r="D65" s="101">
        <v>39226.35</v>
      </c>
    </row>
    <row r="66" spans="2:4" x14ac:dyDescent="0.3">
      <c r="B66" s="100">
        <v>43381</v>
      </c>
      <c r="C66" s="100" t="s">
        <v>370</v>
      </c>
      <c r="D66" s="101">
        <v>37898.29</v>
      </c>
    </row>
    <row r="67" spans="2:4" x14ac:dyDescent="0.3">
      <c r="B67" s="100">
        <v>43382</v>
      </c>
      <c r="C67" s="100" t="s">
        <v>370</v>
      </c>
      <c r="D67" s="101">
        <v>38504.839999999997</v>
      </c>
    </row>
    <row r="68" spans="2:4" x14ac:dyDescent="0.3">
      <c r="B68" s="100">
        <v>43383</v>
      </c>
      <c r="C68" s="100" t="s">
        <v>370</v>
      </c>
      <c r="D68" s="101">
        <v>38792.089999999997</v>
      </c>
    </row>
    <row r="69" spans="2:4" x14ac:dyDescent="0.3">
      <c r="B69" s="100">
        <v>43384</v>
      </c>
      <c r="C69" s="100" t="s">
        <v>370</v>
      </c>
      <c r="D69" s="101">
        <v>38398.300000000003</v>
      </c>
    </row>
    <row r="70" spans="2:4" x14ac:dyDescent="0.3">
      <c r="B70" s="100">
        <v>43385</v>
      </c>
      <c r="C70" s="100" t="s">
        <v>370</v>
      </c>
      <c r="D70" s="101">
        <v>37517.93</v>
      </c>
    </row>
    <row r="71" spans="2:4" x14ac:dyDescent="0.3">
      <c r="B71" s="100">
        <v>43388</v>
      </c>
      <c r="C71" s="100" t="s">
        <v>370</v>
      </c>
      <c r="D71" s="101">
        <v>36767.57</v>
      </c>
    </row>
    <row r="72" spans="2:4" x14ac:dyDescent="0.3">
      <c r="B72" s="100">
        <v>43389</v>
      </c>
      <c r="C72" s="100" t="s">
        <v>370</v>
      </c>
      <c r="D72" s="101">
        <v>36663.379999999997</v>
      </c>
    </row>
    <row r="73" spans="2:4" x14ac:dyDescent="0.3">
      <c r="B73" s="100">
        <v>43390</v>
      </c>
      <c r="C73" s="100" t="s">
        <v>370</v>
      </c>
      <c r="D73" s="101">
        <v>37647.339999999997</v>
      </c>
    </row>
    <row r="74" spans="2:4" x14ac:dyDescent="0.3">
      <c r="B74" s="100">
        <v>43391</v>
      </c>
      <c r="C74" s="100" t="s">
        <v>370</v>
      </c>
      <c r="D74" s="101">
        <v>37982.25</v>
      </c>
    </row>
    <row r="75" spans="2:4" x14ac:dyDescent="0.3">
      <c r="B75" s="100">
        <v>43392</v>
      </c>
      <c r="C75" s="100" t="s">
        <v>370</v>
      </c>
      <c r="D75" s="101">
        <v>38430.269999999997</v>
      </c>
    </row>
    <row r="76" spans="2:4" x14ac:dyDescent="0.3">
      <c r="B76" s="100">
        <v>43395</v>
      </c>
      <c r="C76" s="100" t="s">
        <v>370</v>
      </c>
      <c r="D76" s="101">
        <v>38345.42</v>
      </c>
    </row>
    <row r="77" spans="2:4" x14ac:dyDescent="0.3">
      <c r="B77" s="100">
        <v>43396</v>
      </c>
      <c r="C77" s="100" t="s">
        <v>370</v>
      </c>
      <c r="D77" s="101">
        <v>37714.9</v>
      </c>
    </row>
    <row r="78" spans="2:4" x14ac:dyDescent="0.3">
      <c r="B78" s="100">
        <v>43397</v>
      </c>
      <c r="C78" s="100" t="s">
        <v>370</v>
      </c>
      <c r="D78" s="101">
        <v>39271.120000000003</v>
      </c>
    </row>
    <row r="79" spans="2:4" x14ac:dyDescent="0.3">
      <c r="B79" s="100">
        <v>43398</v>
      </c>
      <c r="C79" s="100" t="s">
        <v>370</v>
      </c>
      <c r="D79" s="101">
        <v>39631.910000000003</v>
      </c>
    </row>
    <row r="80" spans="2:4" x14ac:dyDescent="0.3">
      <c r="B80" s="100">
        <v>43399</v>
      </c>
      <c r="C80" s="100" t="s">
        <v>370</v>
      </c>
      <c r="D80" s="101">
        <v>40556.449999999997</v>
      </c>
    </row>
    <row r="81" spans="2:4" x14ac:dyDescent="0.3">
      <c r="B81" s="100">
        <v>43402</v>
      </c>
      <c r="C81" s="100" t="s">
        <v>370</v>
      </c>
      <c r="D81" s="101">
        <v>41453.760000000002</v>
      </c>
    </row>
    <row r="82" spans="2:4" x14ac:dyDescent="0.3">
      <c r="B82" s="100">
        <v>43403</v>
      </c>
      <c r="C82" s="100" t="s">
        <v>370</v>
      </c>
      <c r="D82" s="101">
        <v>41609.03</v>
      </c>
    </row>
    <row r="83" spans="2:4" x14ac:dyDescent="0.3">
      <c r="B83" s="100">
        <v>43404</v>
      </c>
      <c r="C83" s="100" t="s">
        <v>370</v>
      </c>
      <c r="D83" s="101">
        <v>41649.360000000001</v>
      </c>
    </row>
    <row r="84" spans="2:4" x14ac:dyDescent="0.3">
      <c r="B84" s="100">
        <v>43405</v>
      </c>
      <c r="C84" s="100" t="s">
        <v>370</v>
      </c>
      <c r="D84" s="101">
        <v>41716.1</v>
      </c>
    </row>
    <row r="85" spans="2:4" x14ac:dyDescent="0.3">
      <c r="B85" s="100">
        <v>43406</v>
      </c>
      <c r="C85" s="100" t="s">
        <v>370</v>
      </c>
      <c r="D85" s="101">
        <v>42004.09</v>
      </c>
    </row>
    <row r="86" spans="2:4" x14ac:dyDescent="0.3">
      <c r="B86" s="100">
        <v>43409</v>
      </c>
      <c r="C86" s="100" t="s">
        <v>370</v>
      </c>
      <c r="D86" s="101">
        <v>41493.96</v>
      </c>
    </row>
    <row r="87" spans="2:4" x14ac:dyDescent="0.3">
      <c r="B87" s="100">
        <v>43410</v>
      </c>
      <c r="C87" s="100" t="s">
        <v>370</v>
      </c>
      <c r="D87" s="101">
        <v>40958.53</v>
      </c>
    </row>
    <row r="88" spans="2:4" x14ac:dyDescent="0.3">
      <c r="B88" s="100">
        <v>43411</v>
      </c>
      <c r="C88" s="100" t="s">
        <v>370</v>
      </c>
      <c r="D88" s="101">
        <v>41543.980000000003</v>
      </c>
    </row>
    <row r="89" spans="2:4" x14ac:dyDescent="0.3">
      <c r="B89" s="100">
        <v>43412</v>
      </c>
      <c r="C89" s="100" t="s">
        <v>370</v>
      </c>
      <c r="D89" s="101">
        <v>41367.379999999997</v>
      </c>
    </row>
    <row r="90" spans="2:4" x14ac:dyDescent="0.3">
      <c r="B90" s="100">
        <v>43413</v>
      </c>
      <c r="C90" s="100" t="s">
        <v>370</v>
      </c>
      <c r="D90" s="101">
        <v>41388.879999999997</v>
      </c>
    </row>
    <row r="91" spans="2:4" x14ac:dyDescent="0.3">
      <c r="B91" s="100">
        <v>43416</v>
      </c>
      <c r="C91" s="100" t="s">
        <v>370</v>
      </c>
      <c r="D91" s="101">
        <v>41096.33</v>
      </c>
    </row>
    <row r="92" spans="2:4" x14ac:dyDescent="0.3">
      <c r="B92" s="100">
        <v>43417</v>
      </c>
      <c r="C92" s="100" t="s">
        <v>370</v>
      </c>
      <c r="D92" s="101">
        <v>41152.28</v>
      </c>
    </row>
    <row r="93" spans="2:4" x14ac:dyDescent="0.3">
      <c r="B93" s="100">
        <v>43418</v>
      </c>
      <c r="C93" s="100" t="s">
        <v>370</v>
      </c>
      <c r="D93" s="101">
        <v>40994.050000000003</v>
      </c>
    </row>
    <row r="94" spans="2:4" x14ac:dyDescent="0.3">
      <c r="B94" s="100">
        <v>43419</v>
      </c>
      <c r="C94" s="100" t="s">
        <v>370</v>
      </c>
      <c r="D94" s="101">
        <v>41428.629999999997</v>
      </c>
    </row>
    <row r="95" spans="2:4" x14ac:dyDescent="0.3">
      <c r="B95" s="100">
        <v>43420</v>
      </c>
      <c r="C95" s="100" t="s">
        <v>370</v>
      </c>
      <c r="D95" s="101">
        <v>41660.75</v>
      </c>
    </row>
    <row r="96" spans="2:4" x14ac:dyDescent="0.3">
      <c r="B96" s="100">
        <v>43423</v>
      </c>
      <c r="C96" s="100" t="s">
        <v>370</v>
      </c>
      <c r="D96" s="101">
        <v>41352.769999999997</v>
      </c>
    </row>
    <row r="97" spans="2:4" x14ac:dyDescent="0.3">
      <c r="B97" s="100">
        <v>43424</v>
      </c>
      <c r="C97" s="100" t="s">
        <v>370</v>
      </c>
      <c r="D97" s="101">
        <v>41419.24</v>
      </c>
    </row>
    <row r="98" spans="2:4" x14ac:dyDescent="0.3">
      <c r="B98" s="100">
        <v>43426</v>
      </c>
      <c r="C98" s="100" t="s">
        <v>370</v>
      </c>
      <c r="D98" s="101">
        <v>40874.03</v>
      </c>
    </row>
    <row r="99" spans="2:4" x14ac:dyDescent="0.3">
      <c r="B99" s="100">
        <v>43427</v>
      </c>
      <c r="C99" s="100" t="s">
        <v>370</v>
      </c>
      <c r="D99" s="101">
        <v>40869.279999999999</v>
      </c>
    </row>
    <row r="100" spans="2:4" x14ac:dyDescent="0.3">
      <c r="B100" s="100">
        <v>43430</v>
      </c>
      <c r="C100" s="100" t="s">
        <v>370</v>
      </c>
      <c r="D100" s="101">
        <v>40771.550000000003</v>
      </c>
    </row>
    <row r="101" spans="2:4" x14ac:dyDescent="0.3">
      <c r="B101" s="100">
        <v>43431</v>
      </c>
      <c r="C101" s="100" t="s">
        <v>370</v>
      </c>
      <c r="D101" s="101">
        <v>40894.22</v>
      </c>
    </row>
    <row r="102" spans="2:4" x14ac:dyDescent="0.3">
      <c r="B102" s="100">
        <v>43432</v>
      </c>
      <c r="C102" s="100" t="s">
        <v>370</v>
      </c>
      <c r="D102" s="101">
        <v>40704.800000000003</v>
      </c>
    </row>
    <row r="103" spans="2:4" x14ac:dyDescent="0.3">
      <c r="B103" s="100">
        <v>43433</v>
      </c>
      <c r="C103" s="100" t="s">
        <v>370</v>
      </c>
      <c r="D103" s="101">
        <v>40638.83</v>
      </c>
    </row>
    <row r="104" spans="2:4" x14ac:dyDescent="0.3">
      <c r="B104" s="100">
        <v>43434</v>
      </c>
      <c r="C104" s="100" t="s">
        <v>370</v>
      </c>
      <c r="D104" s="101">
        <v>40496.03</v>
      </c>
    </row>
    <row r="105" spans="2:4" x14ac:dyDescent="0.3">
      <c r="B105" s="100">
        <v>43437</v>
      </c>
      <c r="C105" s="100" t="s">
        <v>370</v>
      </c>
      <c r="D105" s="101">
        <v>39160.6</v>
      </c>
    </row>
    <row r="106" spans="2:4" x14ac:dyDescent="0.3">
      <c r="B106" s="100">
        <v>43438</v>
      </c>
      <c r="C106" s="100" t="s">
        <v>370</v>
      </c>
      <c r="D106" s="101">
        <v>39602.870000000003</v>
      </c>
    </row>
    <row r="107" spans="2:4" x14ac:dyDescent="0.3">
      <c r="B107" s="100">
        <v>43439</v>
      </c>
      <c r="C107" s="100" t="s">
        <v>370</v>
      </c>
      <c r="D107" s="101">
        <v>39303.11</v>
      </c>
    </row>
    <row r="108" spans="2:4" x14ac:dyDescent="0.3">
      <c r="B108" s="100">
        <v>43440</v>
      </c>
      <c r="C108" s="100" t="s">
        <v>370</v>
      </c>
      <c r="D108" s="101">
        <v>38300.620000000003</v>
      </c>
    </row>
    <row r="109" spans="2:4" x14ac:dyDescent="0.3">
      <c r="B109" s="100">
        <v>43441</v>
      </c>
      <c r="C109" s="100" t="s">
        <v>370</v>
      </c>
      <c r="D109" s="101">
        <v>38562.050000000003</v>
      </c>
    </row>
    <row r="110" spans="2:4" x14ac:dyDescent="0.3">
      <c r="B110" s="100">
        <v>43444</v>
      </c>
      <c r="C110" s="100" t="s">
        <v>370</v>
      </c>
      <c r="D110" s="101">
        <v>39299.620000000003</v>
      </c>
    </row>
    <row r="111" spans="2:4" x14ac:dyDescent="0.3">
      <c r="B111" s="100">
        <v>43445</v>
      </c>
      <c r="C111" s="100" t="s">
        <v>370</v>
      </c>
      <c r="D111" s="101">
        <v>38851.96</v>
      </c>
    </row>
    <row r="112" spans="2:4" x14ac:dyDescent="0.3">
      <c r="B112" s="100">
        <v>43446</v>
      </c>
      <c r="C112" s="100" t="s">
        <v>370</v>
      </c>
      <c r="D112" s="101">
        <v>38307.440000000002</v>
      </c>
    </row>
    <row r="113" spans="2:4" x14ac:dyDescent="0.3">
      <c r="B113" s="100">
        <v>43447</v>
      </c>
      <c r="C113" s="100" t="s">
        <v>370</v>
      </c>
      <c r="D113" s="101">
        <v>38011.629999999997</v>
      </c>
    </row>
    <row r="114" spans="2:4" x14ac:dyDescent="0.3">
      <c r="B114" s="100">
        <v>43448</v>
      </c>
      <c r="C114" s="100" t="s">
        <v>370</v>
      </c>
      <c r="D114" s="101">
        <v>38585.660000000003</v>
      </c>
    </row>
    <row r="115" spans="2:4" x14ac:dyDescent="0.3">
      <c r="B115" s="100">
        <v>43451</v>
      </c>
      <c r="C115" s="100" t="s">
        <v>370</v>
      </c>
      <c r="D115" s="101">
        <v>38309.17</v>
      </c>
    </row>
    <row r="116" spans="2:4" x14ac:dyDescent="0.3">
      <c r="B116" s="100">
        <v>43452</v>
      </c>
      <c r="C116" s="100" t="s">
        <v>370</v>
      </c>
      <c r="D116" s="101">
        <v>38115.81</v>
      </c>
    </row>
    <row r="117" spans="2:4" x14ac:dyDescent="0.3">
      <c r="B117" s="100">
        <v>43453</v>
      </c>
      <c r="C117" s="100" t="s">
        <v>370</v>
      </c>
      <c r="D117" s="101">
        <v>38063.15</v>
      </c>
    </row>
    <row r="118" spans="2:4" x14ac:dyDescent="0.3">
      <c r="B118" s="100">
        <v>43454</v>
      </c>
      <c r="C118" s="100" t="s">
        <v>370</v>
      </c>
      <c r="D118" s="101">
        <v>38236.519999999997</v>
      </c>
    </row>
    <row r="119" spans="2:4" x14ac:dyDescent="0.3">
      <c r="B119" s="100">
        <v>43455</v>
      </c>
      <c r="C119" s="100" t="s">
        <v>370</v>
      </c>
      <c r="D119" s="101">
        <v>38251.040000000001</v>
      </c>
    </row>
    <row r="120" spans="2:4" x14ac:dyDescent="0.3">
      <c r="B120" s="100">
        <v>43458</v>
      </c>
      <c r="C120" s="100" t="s">
        <v>370</v>
      </c>
      <c r="D120" s="101">
        <v>38308.92</v>
      </c>
    </row>
    <row r="121" spans="2:4" x14ac:dyDescent="0.3">
      <c r="B121" s="100">
        <v>43460</v>
      </c>
      <c r="C121" s="100" t="s">
        <v>370</v>
      </c>
      <c r="D121" s="101">
        <v>38218.07</v>
      </c>
    </row>
    <row r="122" spans="2:4" x14ac:dyDescent="0.3">
      <c r="B122" s="100">
        <v>43461</v>
      </c>
      <c r="C122" s="100" t="s">
        <v>370</v>
      </c>
      <c r="D122" s="101">
        <v>37853.57</v>
      </c>
    </row>
    <row r="123" spans="2:4" x14ac:dyDescent="0.3">
      <c r="B123" s="100">
        <v>43462</v>
      </c>
      <c r="C123" s="100" t="s">
        <v>370</v>
      </c>
      <c r="D123" s="101">
        <v>37167.019999999997</v>
      </c>
    </row>
    <row r="124" spans="2:4" x14ac:dyDescent="0.3">
      <c r="B124" s="100">
        <v>43465</v>
      </c>
      <c r="C124" s="100" t="s">
        <v>370</v>
      </c>
      <c r="D124" s="101">
        <v>37066.67</v>
      </c>
    </row>
    <row r="125" spans="2:4" x14ac:dyDescent="0.3">
      <c r="B125" s="100">
        <v>43466</v>
      </c>
      <c r="C125" s="100" t="s">
        <v>370</v>
      </c>
      <c r="D125" s="101">
        <v>37995.760000000002</v>
      </c>
    </row>
    <row r="126" spans="2:4" x14ac:dyDescent="0.3">
      <c r="B126" s="100">
        <v>43467</v>
      </c>
      <c r="C126" s="100" t="s">
        <v>370</v>
      </c>
      <c r="D126" s="101">
        <v>37795.25</v>
      </c>
    </row>
    <row r="127" spans="2:4" x14ac:dyDescent="0.3">
      <c r="B127" s="100">
        <v>43468</v>
      </c>
      <c r="C127" s="100" t="s">
        <v>370</v>
      </c>
      <c r="D127" s="101">
        <v>37542.01</v>
      </c>
    </row>
    <row r="128" spans="2:4" x14ac:dyDescent="0.3">
      <c r="B128" s="100">
        <v>43469</v>
      </c>
      <c r="C128" s="100" t="s">
        <v>370</v>
      </c>
      <c r="D128" s="101">
        <v>37547.49</v>
      </c>
    </row>
    <row r="129" spans="2:4" x14ac:dyDescent="0.3">
      <c r="B129" s="100">
        <v>43472</v>
      </c>
      <c r="C129" s="100" t="s">
        <v>370</v>
      </c>
      <c r="D129" s="101">
        <v>38562.400000000001</v>
      </c>
    </row>
    <row r="130" spans="2:4" x14ac:dyDescent="0.3">
      <c r="B130" s="100">
        <v>43473</v>
      </c>
      <c r="C130" s="100" t="s">
        <v>370</v>
      </c>
      <c r="D130" s="101">
        <v>39052.5</v>
      </c>
    </row>
    <row r="131" spans="2:4" x14ac:dyDescent="0.3">
      <c r="B131" s="100">
        <v>43474</v>
      </c>
      <c r="C131" s="100" t="s">
        <v>370</v>
      </c>
      <c r="D131" s="101">
        <v>38921.69</v>
      </c>
    </row>
    <row r="132" spans="2:4" x14ac:dyDescent="0.3">
      <c r="B132" s="100">
        <v>43475</v>
      </c>
      <c r="C132" s="100" t="s">
        <v>370</v>
      </c>
      <c r="D132" s="101">
        <v>39090.28</v>
      </c>
    </row>
    <row r="133" spans="2:4" x14ac:dyDescent="0.3">
      <c r="B133" s="100">
        <v>43476</v>
      </c>
      <c r="C133" s="100" t="s">
        <v>370</v>
      </c>
      <c r="D133" s="101">
        <v>39049.08</v>
      </c>
    </row>
    <row r="134" spans="2:4" x14ac:dyDescent="0.3">
      <c r="B134" s="100">
        <v>43479</v>
      </c>
      <c r="C134" s="100" t="s">
        <v>370</v>
      </c>
      <c r="D134" s="101">
        <v>39412.550000000003</v>
      </c>
    </row>
    <row r="135" spans="2:4" x14ac:dyDescent="0.3">
      <c r="B135" s="100">
        <v>43480</v>
      </c>
      <c r="C135" s="100" t="s">
        <v>370</v>
      </c>
      <c r="D135" s="101">
        <v>39614.17</v>
      </c>
    </row>
    <row r="136" spans="2:4" x14ac:dyDescent="0.3">
      <c r="B136" s="100">
        <v>43481</v>
      </c>
      <c r="C136" s="100" t="s">
        <v>370</v>
      </c>
      <c r="D136" s="101">
        <v>39271.94</v>
      </c>
    </row>
    <row r="137" spans="2:4" x14ac:dyDescent="0.3">
      <c r="B137" s="100">
        <v>43482</v>
      </c>
      <c r="C137" s="100" t="s">
        <v>370</v>
      </c>
      <c r="D137" s="101">
        <v>39243.89</v>
      </c>
    </row>
    <row r="138" spans="2:4" x14ac:dyDescent="0.3">
      <c r="B138" s="100">
        <v>43483</v>
      </c>
      <c r="C138" s="100" t="s">
        <v>370</v>
      </c>
      <c r="D138" s="101">
        <v>39306.5</v>
      </c>
    </row>
    <row r="139" spans="2:4" x14ac:dyDescent="0.3">
      <c r="B139" s="100">
        <v>43486</v>
      </c>
      <c r="C139" s="100" t="s">
        <v>370</v>
      </c>
      <c r="D139" s="101">
        <v>39543.769999999997</v>
      </c>
    </row>
    <row r="140" spans="2:4" x14ac:dyDescent="0.3">
      <c r="B140" s="100">
        <v>43487</v>
      </c>
      <c r="C140" s="100" t="s">
        <v>370</v>
      </c>
      <c r="D140" s="101">
        <v>39902.21</v>
      </c>
    </row>
    <row r="141" spans="2:4" x14ac:dyDescent="0.3">
      <c r="B141" s="100">
        <v>43488</v>
      </c>
      <c r="C141" s="100" t="s">
        <v>370</v>
      </c>
      <c r="D141" s="101">
        <v>40057.85</v>
      </c>
    </row>
    <row r="142" spans="2:4" x14ac:dyDescent="0.3">
      <c r="B142" s="100">
        <v>43489</v>
      </c>
      <c r="C142" s="100" t="s">
        <v>370</v>
      </c>
      <c r="D142" s="101">
        <v>40289.160000000003</v>
      </c>
    </row>
    <row r="143" spans="2:4" x14ac:dyDescent="0.3">
      <c r="B143" s="100">
        <v>43490</v>
      </c>
      <c r="C143" s="100" t="s">
        <v>370</v>
      </c>
      <c r="D143" s="101">
        <v>40264.78</v>
      </c>
    </row>
    <row r="144" spans="2:4" x14ac:dyDescent="0.3">
      <c r="B144" s="100">
        <v>43493</v>
      </c>
      <c r="C144" s="100" t="s">
        <v>370</v>
      </c>
      <c r="D144" s="101">
        <v>40420.089999999997</v>
      </c>
    </row>
    <row r="145" spans="2:4" x14ac:dyDescent="0.3">
      <c r="B145" s="100">
        <v>43494</v>
      </c>
      <c r="C145" s="100" t="s">
        <v>370</v>
      </c>
      <c r="D145" s="101">
        <v>40624.39</v>
      </c>
    </row>
    <row r="146" spans="2:4" x14ac:dyDescent="0.3">
      <c r="B146" s="100">
        <v>43495</v>
      </c>
      <c r="C146" s="100" t="s">
        <v>370</v>
      </c>
      <c r="D146" s="101">
        <v>40607.120000000003</v>
      </c>
    </row>
    <row r="147" spans="2:4" x14ac:dyDescent="0.3">
      <c r="B147" s="100">
        <v>43496</v>
      </c>
      <c r="C147" s="100" t="s">
        <v>370</v>
      </c>
      <c r="D147" s="101">
        <v>40799.519999999997</v>
      </c>
    </row>
    <row r="148" spans="2:4" x14ac:dyDescent="0.3">
      <c r="B148" s="100">
        <v>43497</v>
      </c>
      <c r="C148" s="100" t="s">
        <v>370</v>
      </c>
      <c r="D148" s="101">
        <v>41112.71</v>
      </c>
    </row>
    <row r="149" spans="2:4" x14ac:dyDescent="0.3">
      <c r="B149" s="100">
        <v>43500</v>
      </c>
      <c r="C149" s="100" t="s">
        <v>370</v>
      </c>
      <c r="D149" s="101">
        <v>41614.39</v>
      </c>
    </row>
    <row r="150" spans="2:4" x14ac:dyDescent="0.3">
      <c r="B150" s="100">
        <v>43502</v>
      </c>
      <c r="C150" s="100" t="s">
        <v>370</v>
      </c>
      <c r="D150" s="101">
        <v>41505.68</v>
      </c>
    </row>
    <row r="151" spans="2:4" x14ac:dyDescent="0.3">
      <c r="B151" s="100">
        <v>43503</v>
      </c>
      <c r="C151" s="100" t="s">
        <v>370</v>
      </c>
      <c r="D151" s="101">
        <v>41332.75</v>
      </c>
    </row>
    <row r="152" spans="2:4" x14ac:dyDescent="0.3">
      <c r="B152" s="100">
        <v>43504</v>
      </c>
      <c r="C152" s="100" t="s">
        <v>370</v>
      </c>
      <c r="D152" s="101">
        <v>40887.35</v>
      </c>
    </row>
    <row r="153" spans="2:4" x14ac:dyDescent="0.3">
      <c r="B153" s="100">
        <v>43507</v>
      </c>
      <c r="C153" s="100" t="s">
        <v>370</v>
      </c>
      <c r="D153" s="101">
        <v>40326.53</v>
      </c>
    </row>
    <row r="154" spans="2:4" x14ac:dyDescent="0.3">
      <c r="B154" s="100">
        <v>43508</v>
      </c>
      <c r="C154" s="100" t="s">
        <v>370</v>
      </c>
      <c r="D154" s="101">
        <v>40596.28</v>
      </c>
    </row>
    <row r="155" spans="2:4" x14ac:dyDescent="0.3">
      <c r="B155" s="100">
        <v>43509</v>
      </c>
      <c r="C155" s="100" t="s">
        <v>370</v>
      </c>
      <c r="D155" s="101">
        <v>40544.11</v>
      </c>
    </row>
    <row r="156" spans="2:4" x14ac:dyDescent="0.3">
      <c r="B156" s="100">
        <v>43510</v>
      </c>
      <c r="C156" s="100" t="s">
        <v>370</v>
      </c>
      <c r="D156" s="101">
        <v>40506.980000000003</v>
      </c>
    </row>
    <row r="157" spans="2:4" x14ac:dyDescent="0.3">
      <c r="B157" s="100">
        <v>43511</v>
      </c>
      <c r="C157" s="100" t="s">
        <v>370</v>
      </c>
      <c r="D157" s="101">
        <v>40486.67</v>
      </c>
    </row>
    <row r="158" spans="2:4" x14ac:dyDescent="0.3">
      <c r="B158" s="100">
        <v>43514</v>
      </c>
      <c r="C158" s="100" t="s">
        <v>370</v>
      </c>
      <c r="D158" s="101">
        <v>40219.47</v>
      </c>
    </row>
    <row r="159" spans="2:4" x14ac:dyDescent="0.3">
      <c r="B159" s="100">
        <v>43515</v>
      </c>
      <c r="C159" s="100" t="s">
        <v>370</v>
      </c>
      <c r="D159" s="101">
        <v>39957.07</v>
      </c>
    </row>
    <row r="160" spans="2:4" x14ac:dyDescent="0.3">
      <c r="B160" s="100">
        <v>43516</v>
      </c>
      <c r="C160" s="100" t="s">
        <v>370</v>
      </c>
      <c r="D160" s="101">
        <v>40279.379999999997</v>
      </c>
    </row>
    <row r="161" spans="2:4" x14ac:dyDescent="0.3">
      <c r="B161" s="100">
        <v>43517</v>
      </c>
      <c r="C161" s="100" t="s">
        <v>370</v>
      </c>
      <c r="D161" s="101">
        <v>40070.71</v>
      </c>
    </row>
    <row r="162" spans="2:4" x14ac:dyDescent="0.3">
      <c r="B162" s="100">
        <v>43518</v>
      </c>
      <c r="C162" s="100" t="s">
        <v>370</v>
      </c>
      <c r="D162" s="101">
        <v>40016.129999999997</v>
      </c>
    </row>
    <row r="163" spans="2:4" x14ac:dyDescent="0.3">
      <c r="B163" s="100">
        <v>43521</v>
      </c>
      <c r="C163" s="100" t="s">
        <v>370</v>
      </c>
      <c r="D163" s="101">
        <v>39606.79</v>
      </c>
    </row>
    <row r="164" spans="2:4" x14ac:dyDescent="0.3">
      <c r="B164" s="100">
        <v>43522</v>
      </c>
      <c r="C164" s="100" t="s">
        <v>370</v>
      </c>
      <c r="D164" s="101">
        <v>38821.67</v>
      </c>
    </row>
    <row r="165" spans="2:4" x14ac:dyDescent="0.3">
      <c r="B165" s="100">
        <v>43523</v>
      </c>
      <c r="C165" s="100" t="s">
        <v>370</v>
      </c>
      <c r="D165" s="101">
        <v>38692.69</v>
      </c>
    </row>
    <row r="166" spans="2:4" x14ac:dyDescent="0.3">
      <c r="B166" s="100">
        <v>43524</v>
      </c>
      <c r="C166" s="100" t="s">
        <v>370</v>
      </c>
      <c r="D166" s="101">
        <v>39054.6</v>
      </c>
    </row>
    <row r="167" spans="2:4" x14ac:dyDescent="0.3">
      <c r="B167" s="100">
        <v>43525</v>
      </c>
      <c r="C167" s="100" t="s">
        <v>370</v>
      </c>
      <c r="D167" s="101">
        <v>39539.01</v>
      </c>
    </row>
    <row r="168" spans="2:4" x14ac:dyDescent="0.3">
      <c r="B168" s="100">
        <v>43528</v>
      </c>
      <c r="C168" s="100" t="s">
        <v>370</v>
      </c>
      <c r="D168" s="101">
        <v>39749.74</v>
      </c>
    </row>
    <row r="169" spans="2:4" x14ac:dyDescent="0.3">
      <c r="B169" s="100">
        <v>43529</v>
      </c>
      <c r="C169" s="100" t="s">
        <v>370</v>
      </c>
      <c r="D169" s="101">
        <v>39688.51</v>
      </c>
    </row>
    <row r="170" spans="2:4" x14ac:dyDescent="0.3">
      <c r="B170" s="100">
        <v>43530</v>
      </c>
      <c r="C170" s="100" t="s">
        <v>370</v>
      </c>
      <c r="D170" s="101">
        <v>39568.1</v>
      </c>
    </row>
    <row r="171" spans="2:4" x14ac:dyDescent="0.3">
      <c r="B171" s="100">
        <v>43531</v>
      </c>
      <c r="C171" s="100" t="s">
        <v>370</v>
      </c>
      <c r="D171" s="101">
        <v>39294.1</v>
      </c>
    </row>
    <row r="172" spans="2:4" x14ac:dyDescent="0.3">
      <c r="B172" s="100">
        <v>43532</v>
      </c>
      <c r="C172" s="100" t="s">
        <v>370</v>
      </c>
      <c r="D172" s="101">
        <v>38950.230000000003</v>
      </c>
    </row>
    <row r="173" spans="2:4" x14ac:dyDescent="0.3">
      <c r="B173" s="100">
        <v>43535</v>
      </c>
      <c r="C173" s="100" t="s">
        <v>370</v>
      </c>
      <c r="D173" s="101">
        <v>38924.11</v>
      </c>
    </row>
    <row r="174" spans="2:4" x14ac:dyDescent="0.3">
      <c r="B174" s="100">
        <v>43536</v>
      </c>
      <c r="C174" s="100" t="s">
        <v>370</v>
      </c>
      <c r="D174" s="101">
        <v>38896.49</v>
      </c>
    </row>
    <row r="175" spans="2:4" x14ac:dyDescent="0.3">
      <c r="B175" s="100">
        <v>43537</v>
      </c>
      <c r="C175" s="100" t="s">
        <v>370</v>
      </c>
      <c r="D175" s="101">
        <v>38928.93</v>
      </c>
    </row>
    <row r="176" spans="2:4" x14ac:dyDescent="0.3">
      <c r="B176" s="100">
        <v>43538</v>
      </c>
      <c r="C176" s="100" t="s">
        <v>370</v>
      </c>
      <c r="D176" s="101">
        <v>38808.61</v>
      </c>
    </row>
    <row r="177" spans="2:4" x14ac:dyDescent="0.3">
      <c r="B177" s="100">
        <v>43539</v>
      </c>
      <c r="C177" s="100" t="s">
        <v>370</v>
      </c>
      <c r="D177" s="101">
        <v>38306.949999999997</v>
      </c>
    </row>
    <row r="178" spans="2:4" x14ac:dyDescent="0.3">
      <c r="B178" s="100">
        <v>43542</v>
      </c>
      <c r="C178" s="100" t="s">
        <v>370</v>
      </c>
      <c r="D178" s="101">
        <v>38851.949999999997</v>
      </c>
    </row>
    <row r="179" spans="2:4" x14ac:dyDescent="0.3">
      <c r="B179" s="100">
        <v>43543</v>
      </c>
      <c r="C179" s="100" t="s">
        <v>370</v>
      </c>
      <c r="D179" s="101">
        <v>38612.370000000003</v>
      </c>
    </row>
    <row r="180" spans="2:4" x14ac:dyDescent="0.3">
      <c r="B180" s="100">
        <v>43544</v>
      </c>
      <c r="C180" s="100" t="s">
        <v>370</v>
      </c>
      <c r="D180" s="101">
        <v>38547.760000000002</v>
      </c>
    </row>
    <row r="181" spans="2:4" x14ac:dyDescent="0.3">
      <c r="B181" s="100">
        <v>43545</v>
      </c>
      <c r="C181" s="100" t="s">
        <v>370</v>
      </c>
      <c r="D181" s="101">
        <v>38384.71</v>
      </c>
    </row>
    <row r="182" spans="2:4" x14ac:dyDescent="0.3">
      <c r="B182" s="100">
        <v>43546</v>
      </c>
      <c r="C182" s="100" t="s">
        <v>370</v>
      </c>
      <c r="D182" s="101">
        <v>38531.870000000003</v>
      </c>
    </row>
    <row r="183" spans="2:4" x14ac:dyDescent="0.3">
      <c r="B183" s="100">
        <v>43549</v>
      </c>
      <c r="C183" s="100" t="s">
        <v>370</v>
      </c>
      <c r="D183" s="101">
        <v>38128.660000000003</v>
      </c>
    </row>
    <row r="184" spans="2:4" x14ac:dyDescent="0.3">
      <c r="B184" s="100">
        <v>43550</v>
      </c>
      <c r="C184" s="100" t="s">
        <v>370</v>
      </c>
      <c r="D184" s="101">
        <v>38329.129999999997</v>
      </c>
    </row>
    <row r="185" spans="2:4" x14ac:dyDescent="0.3">
      <c r="B185" s="100">
        <v>43551</v>
      </c>
      <c r="C185" s="100" t="s">
        <v>370</v>
      </c>
      <c r="D185" s="101">
        <v>38965.01</v>
      </c>
    </row>
    <row r="186" spans="2:4" x14ac:dyDescent="0.3">
      <c r="B186" s="100">
        <v>43552</v>
      </c>
      <c r="C186" s="100" t="s">
        <v>370</v>
      </c>
      <c r="D186" s="101">
        <v>38552.949999999997</v>
      </c>
    </row>
    <row r="187" spans="2:4" x14ac:dyDescent="0.3">
      <c r="B187" s="100">
        <v>43553</v>
      </c>
      <c r="C187" s="100" t="s">
        <v>370</v>
      </c>
      <c r="D187" s="101">
        <v>38649.339999999997</v>
      </c>
    </row>
    <row r="188" spans="2:4" x14ac:dyDescent="0.3">
      <c r="B188" s="100">
        <v>43556</v>
      </c>
      <c r="C188" s="100" t="s">
        <v>370</v>
      </c>
      <c r="D188" s="101">
        <v>38354.85</v>
      </c>
    </row>
    <row r="189" spans="2:4" x14ac:dyDescent="0.3">
      <c r="B189" s="100">
        <v>43557</v>
      </c>
      <c r="C189" s="100" t="s">
        <v>370</v>
      </c>
      <c r="D189" s="101">
        <v>38036.03</v>
      </c>
    </row>
    <row r="190" spans="2:4" x14ac:dyDescent="0.3">
      <c r="B190" s="100">
        <v>43558</v>
      </c>
      <c r="C190" s="100" t="s">
        <v>370</v>
      </c>
      <c r="D190" s="101">
        <v>38022.800000000003</v>
      </c>
    </row>
    <row r="191" spans="2:4" x14ac:dyDescent="0.3">
      <c r="B191" s="100">
        <v>43559</v>
      </c>
      <c r="C191" s="100" t="s">
        <v>370</v>
      </c>
      <c r="D191" s="101">
        <v>37516.11</v>
      </c>
    </row>
    <row r="192" spans="2:4" x14ac:dyDescent="0.3">
      <c r="B192" s="100">
        <v>43560</v>
      </c>
      <c r="C192" s="100" t="s">
        <v>370</v>
      </c>
      <c r="D192" s="101">
        <v>37521.81</v>
      </c>
    </row>
    <row r="193" spans="2:4" x14ac:dyDescent="0.3">
      <c r="B193" s="100">
        <v>43563</v>
      </c>
      <c r="C193" s="100" t="s">
        <v>370</v>
      </c>
      <c r="D193" s="101">
        <v>36921.910000000003</v>
      </c>
    </row>
    <row r="194" spans="2:4" x14ac:dyDescent="0.3">
      <c r="B194" s="100">
        <v>43564</v>
      </c>
      <c r="C194" s="100" t="s">
        <v>370</v>
      </c>
      <c r="D194" s="101">
        <v>37129.97</v>
      </c>
    </row>
    <row r="195" spans="2:4" x14ac:dyDescent="0.3">
      <c r="B195" s="100">
        <v>43565</v>
      </c>
      <c r="C195" s="100" t="s">
        <v>370</v>
      </c>
      <c r="D195" s="101">
        <v>36579.32</v>
      </c>
    </row>
    <row r="196" spans="2:4" x14ac:dyDescent="0.3">
      <c r="B196" s="100">
        <v>43566</v>
      </c>
      <c r="C196" s="100" t="s">
        <v>370</v>
      </c>
      <c r="D196" s="101">
        <v>36787.64</v>
      </c>
    </row>
    <row r="197" spans="2:4" x14ac:dyDescent="0.3">
      <c r="B197" s="100">
        <v>43567</v>
      </c>
      <c r="C197" s="100" t="s">
        <v>370</v>
      </c>
      <c r="D197" s="101">
        <v>37337.870000000003</v>
      </c>
    </row>
    <row r="198" spans="2:4" x14ac:dyDescent="0.3">
      <c r="B198" s="100">
        <v>43570</v>
      </c>
      <c r="C198" s="100" t="s">
        <v>370</v>
      </c>
      <c r="D198" s="101">
        <v>37504.080000000002</v>
      </c>
    </row>
    <row r="199" spans="2:4" x14ac:dyDescent="0.3">
      <c r="B199" s="100">
        <v>43571</v>
      </c>
      <c r="C199" s="100" t="s">
        <v>370</v>
      </c>
      <c r="D199" s="101">
        <v>37381.949999999997</v>
      </c>
    </row>
    <row r="200" spans="2:4" x14ac:dyDescent="0.3">
      <c r="B200" s="100">
        <v>43572</v>
      </c>
      <c r="C200" s="100" t="s">
        <v>370</v>
      </c>
      <c r="D200" s="101">
        <v>36752.57</v>
      </c>
    </row>
    <row r="201" spans="2:4" x14ac:dyDescent="0.3">
      <c r="B201" s="100">
        <v>43573</v>
      </c>
      <c r="C201" s="100" t="s">
        <v>370</v>
      </c>
      <c r="D201" s="101">
        <v>36811.86</v>
      </c>
    </row>
    <row r="202" spans="2:4" x14ac:dyDescent="0.3">
      <c r="B202" s="100">
        <v>43574</v>
      </c>
      <c r="C202" s="100" t="s">
        <v>370</v>
      </c>
      <c r="D202" s="101">
        <v>37292.47</v>
      </c>
    </row>
    <row r="203" spans="2:4" x14ac:dyDescent="0.3">
      <c r="B203" s="100">
        <v>43577</v>
      </c>
      <c r="C203" s="100" t="s">
        <v>370</v>
      </c>
      <c r="D203" s="101">
        <v>36901.69</v>
      </c>
    </row>
    <row r="204" spans="2:4" x14ac:dyDescent="0.3">
      <c r="B204" s="100">
        <v>43578</v>
      </c>
      <c r="C204" s="100" t="s">
        <v>370</v>
      </c>
      <c r="D204" s="101">
        <v>36404.03</v>
      </c>
    </row>
    <row r="205" spans="2:4" x14ac:dyDescent="0.3">
      <c r="B205" s="100">
        <v>43579</v>
      </c>
      <c r="C205" s="100" t="s">
        <v>370</v>
      </c>
      <c r="D205" s="101">
        <v>36504.25</v>
      </c>
    </row>
    <row r="206" spans="2:4" x14ac:dyDescent="0.3">
      <c r="B206" s="100">
        <v>43580</v>
      </c>
      <c r="C206" s="100" t="s">
        <v>370</v>
      </c>
      <c r="D206" s="101">
        <v>36796.03</v>
      </c>
    </row>
    <row r="207" spans="2:4" x14ac:dyDescent="0.3">
      <c r="B207" s="100">
        <v>43581</v>
      </c>
      <c r="C207" s="100" t="s">
        <v>370</v>
      </c>
      <c r="D207" s="101">
        <v>37130.629999999997</v>
      </c>
    </row>
    <row r="208" spans="2:4" x14ac:dyDescent="0.3">
      <c r="B208" s="100">
        <v>43584</v>
      </c>
      <c r="C208" s="100" t="s">
        <v>370</v>
      </c>
      <c r="D208" s="101">
        <v>37026.269999999997</v>
      </c>
    </row>
    <row r="209" spans="2:4" x14ac:dyDescent="0.3">
      <c r="B209" s="100">
        <v>43585</v>
      </c>
      <c r="C209" s="100" t="s">
        <v>370</v>
      </c>
      <c r="D209" s="101">
        <v>36784.44</v>
      </c>
    </row>
    <row r="210" spans="2:4" x14ac:dyDescent="0.3">
      <c r="B210" s="100">
        <v>43587</v>
      </c>
      <c r="C210" s="100" t="s">
        <v>370</v>
      </c>
      <c r="D210" s="101">
        <v>36547.629999999997</v>
      </c>
    </row>
    <row r="211" spans="2:4" x14ac:dyDescent="0.3">
      <c r="B211" s="100">
        <v>43588</v>
      </c>
      <c r="C211" s="100" t="s">
        <v>370</v>
      </c>
      <c r="D211" s="101">
        <v>36122.949999999997</v>
      </c>
    </row>
    <row r="212" spans="2:4" x14ac:dyDescent="0.3">
      <c r="B212" s="100">
        <v>43591</v>
      </c>
      <c r="C212" s="100" t="s">
        <v>370</v>
      </c>
      <c r="D212" s="101">
        <v>35605.42</v>
      </c>
    </row>
    <row r="213" spans="2:4" x14ac:dyDescent="0.3">
      <c r="B213" s="100">
        <v>43592</v>
      </c>
      <c r="C213" s="100" t="s">
        <v>370</v>
      </c>
      <c r="D213" s="101">
        <v>35631.06</v>
      </c>
    </row>
    <row r="214" spans="2:4" x14ac:dyDescent="0.3">
      <c r="B214" s="100">
        <v>43593</v>
      </c>
      <c r="C214" s="100" t="s">
        <v>370</v>
      </c>
      <c r="D214" s="101">
        <v>35035.03</v>
      </c>
    </row>
    <row r="215" spans="2:4" x14ac:dyDescent="0.3">
      <c r="B215" s="100">
        <v>43594</v>
      </c>
      <c r="C215" s="100" t="s">
        <v>370</v>
      </c>
      <c r="D215" s="101">
        <v>34887.64</v>
      </c>
    </row>
    <row r="216" spans="2:4" x14ac:dyDescent="0.3">
      <c r="B216" s="100">
        <v>43595</v>
      </c>
      <c r="C216" s="100" t="s">
        <v>370</v>
      </c>
      <c r="D216" s="101">
        <v>34716.53</v>
      </c>
    </row>
    <row r="217" spans="2:4" x14ac:dyDescent="0.3">
      <c r="B217" s="100">
        <v>43598</v>
      </c>
      <c r="C217" s="100" t="s">
        <v>370</v>
      </c>
      <c r="D217" s="101">
        <v>33900.379999999997</v>
      </c>
    </row>
    <row r="218" spans="2:4" x14ac:dyDescent="0.3">
      <c r="B218" s="100">
        <v>43599</v>
      </c>
      <c r="C218" s="100" t="s">
        <v>370</v>
      </c>
      <c r="D218" s="101">
        <v>33885.089999999997</v>
      </c>
    </row>
    <row r="219" spans="2:4" x14ac:dyDescent="0.3">
      <c r="B219" s="100">
        <v>43600</v>
      </c>
      <c r="C219" s="100" t="s">
        <v>370</v>
      </c>
      <c r="D219" s="101">
        <v>34291.65</v>
      </c>
    </row>
    <row r="220" spans="2:4" x14ac:dyDescent="0.3">
      <c r="B220" s="100">
        <v>43601</v>
      </c>
      <c r="C220" s="100" t="s">
        <v>370</v>
      </c>
      <c r="D220" s="101">
        <v>33971.120000000003</v>
      </c>
    </row>
    <row r="221" spans="2:4" x14ac:dyDescent="0.3">
      <c r="B221" s="100">
        <v>43602</v>
      </c>
      <c r="C221" s="100" t="s">
        <v>370</v>
      </c>
      <c r="D221" s="101">
        <v>33166.620000000003</v>
      </c>
    </row>
    <row r="222" spans="2:4" x14ac:dyDescent="0.3">
      <c r="B222" s="100">
        <v>43605</v>
      </c>
      <c r="C222" s="100" t="s">
        <v>370</v>
      </c>
      <c r="D222" s="101">
        <v>33250.54</v>
      </c>
    </row>
    <row r="223" spans="2:4" x14ac:dyDescent="0.3">
      <c r="B223" s="100">
        <v>43606</v>
      </c>
      <c r="C223" s="100" t="s">
        <v>370</v>
      </c>
      <c r="D223" s="101">
        <v>33442.1</v>
      </c>
    </row>
    <row r="224" spans="2:4" x14ac:dyDescent="0.3">
      <c r="B224" s="100">
        <v>43607</v>
      </c>
      <c r="C224" s="100" t="s">
        <v>370</v>
      </c>
      <c r="D224" s="101">
        <v>34637.14</v>
      </c>
    </row>
    <row r="225" spans="2:4" x14ac:dyDescent="0.3">
      <c r="B225" s="100">
        <v>43608</v>
      </c>
      <c r="C225" s="100" t="s">
        <v>370</v>
      </c>
      <c r="D225" s="101">
        <v>35581.339999999997</v>
      </c>
    </row>
    <row r="226" spans="2:4" x14ac:dyDescent="0.3">
      <c r="B226" s="100">
        <v>43609</v>
      </c>
      <c r="C226" s="100" t="s">
        <v>370</v>
      </c>
      <c r="D226" s="101">
        <v>35703.81</v>
      </c>
    </row>
    <row r="227" spans="2:4" x14ac:dyDescent="0.3">
      <c r="B227" s="100">
        <v>43612</v>
      </c>
      <c r="C227" s="100" t="s">
        <v>370</v>
      </c>
      <c r="D227" s="101">
        <v>35697.370000000003</v>
      </c>
    </row>
    <row r="228" spans="2:4" x14ac:dyDescent="0.3">
      <c r="B228" s="100">
        <v>43613</v>
      </c>
      <c r="C228" s="100" t="s">
        <v>370</v>
      </c>
      <c r="D228" s="101">
        <v>34949.279999999999</v>
      </c>
    </row>
    <row r="229" spans="2:4" x14ac:dyDescent="0.3">
      <c r="B229" s="100">
        <v>43614</v>
      </c>
      <c r="C229" s="100" t="s">
        <v>370</v>
      </c>
      <c r="D229" s="101">
        <v>35959.43</v>
      </c>
    </row>
    <row r="230" spans="2:4" x14ac:dyDescent="0.3">
      <c r="B230" s="100">
        <v>43615</v>
      </c>
      <c r="C230" s="100" t="s">
        <v>370</v>
      </c>
      <c r="D230" s="101">
        <v>35974.79</v>
      </c>
    </row>
    <row r="231" spans="2:4" x14ac:dyDescent="0.3">
      <c r="B231" s="100">
        <v>43619</v>
      </c>
      <c r="C231" s="100" t="s">
        <v>370</v>
      </c>
      <c r="D231" s="101">
        <v>35505.29</v>
      </c>
    </row>
    <row r="232" spans="2:4" x14ac:dyDescent="0.3">
      <c r="B232" s="100">
        <v>43626</v>
      </c>
      <c r="C232" s="100" t="s">
        <v>370</v>
      </c>
      <c r="D232" s="101">
        <v>34567.550000000003</v>
      </c>
    </row>
    <row r="233" spans="2:4" x14ac:dyDescent="0.3">
      <c r="B233" s="100">
        <v>43627</v>
      </c>
      <c r="C233" s="100" t="s">
        <v>370</v>
      </c>
      <c r="D233" s="101">
        <v>34659.85</v>
      </c>
    </row>
    <row r="234" spans="2:4" x14ac:dyDescent="0.3">
      <c r="B234" s="100">
        <v>43628</v>
      </c>
      <c r="C234" s="100" t="s">
        <v>370</v>
      </c>
      <c r="D234" s="101">
        <v>34937.93</v>
      </c>
    </row>
    <row r="235" spans="2:4" x14ac:dyDescent="0.3">
      <c r="B235" s="100">
        <v>43629</v>
      </c>
      <c r="C235" s="100" t="s">
        <v>370</v>
      </c>
      <c r="D235" s="101">
        <v>35403.07</v>
      </c>
    </row>
    <row r="236" spans="2:4" x14ac:dyDescent="0.3">
      <c r="B236" s="100">
        <v>43630</v>
      </c>
      <c r="C236" s="100" t="s">
        <v>370</v>
      </c>
      <c r="D236" s="101">
        <v>35572.949999999997</v>
      </c>
    </row>
    <row r="237" spans="2:4" x14ac:dyDescent="0.3">
      <c r="B237" s="100">
        <v>43633</v>
      </c>
      <c r="C237" s="100" t="s">
        <v>370</v>
      </c>
      <c r="D237" s="101">
        <v>35168.82</v>
      </c>
    </row>
    <row r="238" spans="2:4" x14ac:dyDescent="0.3">
      <c r="B238" s="100">
        <v>43634</v>
      </c>
      <c r="C238" s="100" t="s">
        <v>370</v>
      </c>
      <c r="D238" s="101">
        <v>34681.72</v>
      </c>
    </row>
    <row r="239" spans="2:4" x14ac:dyDescent="0.3">
      <c r="B239" s="100">
        <v>43635</v>
      </c>
      <c r="C239" s="100" t="s">
        <v>370</v>
      </c>
      <c r="D239" s="101">
        <v>34656.120000000003</v>
      </c>
    </row>
    <row r="240" spans="2:4" x14ac:dyDescent="0.3">
      <c r="B240" s="100">
        <v>43636</v>
      </c>
      <c r="C240" s="100" t="s">
        <v>370</v>
      </c>
      <c r="D240" s="101">
        <v>34995.910000000003</v>
      </c>
    </row>
    <row r="241" spans="2:4" x14ac:dyDescent="0.3">
      <c r="B241" s="100">
        <v>43637</v>
      </c>
      <c r="C241" s="100" t="s">
        <v>370</v>
      </c>
      <c r="D241" s="101">
        <v>35125.25</v>
      </c>
    </row>
    <row r="242" spans="2:4" x14ac:dyDescent="0.3">
      <c r="B242" s="100">
        <v>43640</v>
      </c>
      <c r="C242" s="100" t="s">
        <v>370</v>
      </c>
      <c r="D242" s="101">
        <v>34471.949999999997</v>
      </c>
    </row>
    <row r="243" spans="2:4" x14ac:dyDescent="0.3">
      <c r="B243" s="100">
        <v>43641</v>
      </c>
      <c r="C243" s="100" t="s">
        <v>370</v>
      </c>
      <c r="D243" s="101">
        <v>34190.620000000003</v>
      </c>
    </row>
    <row r="244" spans="2:4" x14ac:dyDescent="0.3">
      <c r="B244" s="100">
        <v>43642</v>
      </c>
      <c r="C244" s="100" t="s">
        <v>370</v>
      </c>
      <c r="D244" s="101">
        <v>34088.559999999998</v>
      </c>
    </row>
    <row r="245" spans="2:4" x14ac:dyDescent="0.3">
      <c r="B245" s="100">
        <v>43643</v>
      </c>
      <c r="C245" s="100" t="s">
        <v>370</v>
      </c>
      <c r="D245" s="101">
        <v>33774.42</v>
      </c>
    </row>
    <row r="246" spans="2:4" x14ac:dyDescent="0.3">
      <c r="B246" s="100">
        <v>43644</v>
      </c>
      <c r="C246" s="100" t="s">
        <v>370</v>
      </c>
      <c r="D246" s="101">
        <v>33901.58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112" workbookViewId="0">
      <selection activeCell="D118" sqref="D118"/>
    </sheetView>
  </sheetViews>
  <sheetFormatPr defaultColWidth="9.109375" defaultRowHeight="14.4" x14ac:dyDescent="0.3"/>
  <cols>
    <col min="1" max="1" width="75.5546875" style="4" bestFit="1" customWidth="1"/>
    <col min="2" max="2" width="24.6640625" style="4" customWidth="1"/>
    <col min="3" max="3" width="18.5546875" style="4" customWidth="1"/>
    <col min="4" max="4" width="17.33203125" style="4" customWidth="1"/>
    <col min="5" max="5" width="17.6640625" style="4" bestFit="1" customWidth="1"/>
    <col min="6" max="6" width="17.6640625" style="4" customWidth="1"/>
    <col min="7" max="7" width="20.5546875" style="4" customWidth="1"/>
    <col min="8" max="8" width="17.33203125" style="4" customWidth="1"/>
    <col min="9" max="9" width="18.88671875" style="4" customWidth="1"/>
    <col min="10" max="10" width="19.109375" style="4" customWidth="1"/>
    <col min="11" max="11" width="20.109375" style="4" customWidth="1"/>
    <col min="12" max="12" width="19.6640625" style="4" customWidth="1"/>
    <col min="13" max="16384" width="9.109375" style="4"/>
  </cols>
  <sheetData>
    <row r="1" spans="1:12" ht="23.4" x14ac:dyDescent="0.45">
      <c r="B1" s="4" t="s">
        <v>7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  <c r="J1" s="2">
        <v>2022</v>
      </c>
      <c r="K1" s="2">
        <v>2023</v>
      </c>
      <c r="L1" s="2">
        <v>2024</v>
      </c>
    </row>
    <row r="2" spans="1:12" ht="18" x14ac:dyDescent="0.35">
      <c r="A2" s="6" t="s">
        <v>8</v>
      </c>
    </row>
    <row r="3" spans="1:12" x14ac:dyDescent="0.3"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">
      <c r="A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">
      <c r="A5" s="4" t="s">
        <v>10</v>
      </c>
      <c r="B5" s="4" t="s">
        <v>11</v>
      </c>
      <c r="C5" s="10">
        <v>39890160000</v>
      </c>
      <c r="D5" s="10">
        <v>35931078000</v>
      </c>
      <c r="E5" s="10">
        <v>36712413000</v>
      </c>
      <c r="F5" s="10">
        <v>38862094000</v>
      </c>
      <c r="G5" s="10">
        <v>47797787000</v>
      </c>
      <c r="H5" s="10">
        <f t="shared" ref="H5:L6" si="0">AVERAGE(C5:G5)</f>
        <v>39838706400</v>
      </c>
      <c r="I5" s="10">
        <f t="shared" si="0"/>
        <v>39828415680</v>
      </c>
      <c r="J5" s="10">
        <f t="shared" si="0"/>
        <v>40607883216</v>
      </c>
      <c r="K5" s="10">
        <f t="shared" si="0"/>
        <v>41386977259.199997</v>
      </c>
      <c r="L5" s="10">
        <f t="shared" si="0"/>
        <v>41891953911.040001</v>
      </c>
    </row>
    <row r="6" spans="1:12" x14ac:dyDescent="0.3">
      <c r="A6" s="4" t="s">
        <v>12</v>
      </c>
      <c r="B6" s="4" t="s">
        <v>11</v>
      </c>
      <c r="C6" s="10">
        <v>152030000</v>
      </c>
      <c r="D6" s="10">
        <v>158717000</v>
      </c>
      <c r="E6" s="10">
        <v>173000000</v>
      </c>
      <c r="F6" s="10">
        <v>174228000</v>
      </c>
      <c r="G6" s="10">
        <v>188326000</v>
      </c>
      <c r="H6" s="10">
        <f t="shared" si="0"/>
        <v>169260200</v>
      </c>
      <c r="I6" s="10">
        <f t="shared" si="0"/>
        <v>172706240</v>
      </c>
      <c r="J6" s="10">
        <f t="shared" si="0"/>
        <v>175504088</v>
      </c>
      <c r="K6" s="10">
        <f t="shared" si="0"/>
        <v>176004905.59999999</v>
      </c>
      <c r="L6" s="10">
        <f t="shared" si="0"/>
        <v>176360286.72</v>
      </c>
    </row>
    <row r="7" spans="1:12" x14ac:dyDescent="0.3"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">
      <c r="A8" s="4" t="s">
        <v>13</v>
      </c>
      <c r="B8" s="4" t="s">
        <v>14</v>
      </c>
      <c r="C8" s="10">
        <v>8849441000</v>
      </c>
      <c r="D8" s="10">
        <v>8857958000</v>
      </c>
      <c r="E8" s="10">
        <v>7441430000</v>
      </c>
      <c r="F8" s="10">
        <v>8834548000</v>
      </c>
      <c r="G8" s="10">
        <v>9662704000</v>
      </c>
      <c r="H8" s="10">
        <f>[1]Regression!F11</f>
        <v>3566999118.4337511</v>
      </c>
      <c r="I8" s="10">
        <f>[1]Regression!F12</f>
        <v>7497783915.6646318</v>
      </c>
      <c r="J8" s="10">
        <f>[1]Regression!F13</f>
        <v>7695887912.4209824</v>
      </c>
      <c r="K8" s="10">
        <f>[1]Regression!F14</f>
        <v>8168798285.858675</v>
      </c>
      <c r="L8" s="10">
        <f>[1]Regression!F15</f>
        <v>8272757606.3735809</v>
      </c>
    </row>
    <row r="9" spans="1:12" x14ac:dyDescent="0.3">
      <c r="A9" s="4" t="s">
        <v>15</v>
      </c>
      <c r="B9" s="4" t="s">
        <v>16</v>
      </c>
      <c r="C9" s="10">
        <v>299542000</v>
      </c>
      <c r="D9" s="10">
        <v>387920000</v>
      </c>
      <c r="E9" s="10">
        <v>107885000</v>
      </c>
      <c r="F9" s="10">
        <v>116037000</v>
      </c>
      <c r="G9" s="10">
        <v>108560000</v>
      </c>
      <c r="H9" s="10">
        <f>H8*AVERAGE(C10:G10)</f>
        <v>83117767.257988498</v>
      </c>
      <c r="I9" s="10">
        <f>I8*AVERAGE(D10:H10)</f>
        <v>158896872.25885758</v>
      </c>
      <c r="J9" s="10">
        <f>J8*AVERAGE(E10:I10)</f>
        <v>128308429.66529535</v>
      </c>
      <c r="K9" s="10">
        <f>K8*AVERAGE(F10:J10)</f>
        <v>139745479.99001151</v>
      </c>
      <c r="L9" s="10">
        <f>L8*AVERAGE(G10:K10)</f>
        <v>148097085.19131204</v>
      </c>
    </row>
    <row r="10" spans="1:12" x14ac:dyDescent="0.3">
      <c r="C10" s="12">
        <f t="shared" ref="C10:L10" si="1">C9/C8</f>
        <v>3.3848691685723423E-2</v>
      </c>
      <c r="D10" s="12">
        <f t="shared" si="1"/>
        <v>4.379338895036531E-2</v>
      </c>
      <c r="E10" s="12">
        <f t="shared" si="1"/>
        <v>1.4497885487063643E-2</v>
      </c>
      <c r="F10" s="12">
        <f t="shared" si="1"/>
        <v>1.3134458039053045E-2</v>
      </c>
      <c r="G10" s="12">
        <f t="shared" si="1"/>
        <v>1.1234950382418835E-2</v>
      </c>
      <c r="H10" s="12">
        <f t="shared" si="1"/>
        <v>2.3301874908924852E-2</v>
      </c>
      <c r="I10" s="12">
        <f t="shared" si="1"/>
        <v>2.1192511553565139E-2</v>
      </c>
      <c r="J10" s="12">
        <f t="shared" si="1"/>
        <v>1.6672336074205103E-2</v>
      </c>
      <c r="K10" s="12">
        <f t="shared" si="1"/>
        <v>1.7107226191633396E-2</v>
      </c>
      <c r="L10" s="12">
        <f t="shared" si="1"/>
        <v>1.7901779822149463E-2</v>
      </c>
    </row>
    <row r="11" spans="1:12" x14ac:dyDescent="0.3">
      <c r="A11" s="4" t="s">
        <v>17</v>
      </c>
      <c r="B11" s="4" t="s">
        <v>18</v>
      </c>
      <c r="C11" s="10">
        <v>2608004000</v>
      </c>
      <c r="D11" s="10">
        <v>3438951000</v>
      </c>
      <c r="E11" s="10">
        <v>4187169000</v>
      </c>
      <c r="F11" s="10">
        <v>4689728000</v>
      </c>
      <c r="G11" s="10">
        <v>5552601000</v>
      </c>
      <c r="H11" s="10">
        <f>AVERAGE(C11:G11)</f>
        <v>4095290600</v>
      </c>
      <c r="I11" s="10">
        <f>AVERAGE(D11:H11)</f>
        <v>4392747920</v>
      </c>
      <c r="J11" s="10">
        <f>AVERAGE(E11:I11)</f>
        <v>4583507304</v>
      </c>
      <c r="K11" s="10">
        <f>AVERAGE(F11:J11)</f>
        <v>4662774964.8000002</v>
      </c>
      <c r="L11" s="10">
        <f>AVERAGE(G11:K11)</f>
        <v>4657384357.7600002</v>
      </c>
    </row>
    <row r="12" spans="1:12" x14ac:dyDescent="0.3">
      <c r="C12" s="12">
        <f t="shared" ref="C12:L12" si="2">C11/C8</f>
        <v>0.29470833242461303</v>
      </c>
      <c r="D12" s="12">
        <f t="shared" si="2"/>
        <v>0.38823293133699666</v>
      </c>
      <c r="E12" s="12">
        <f t="shared" si="2"/>
        <v>0.56268338209188284</v>
      </c>
      <c r="F12" s="12">
        <f t="shared" si="2"/>
        <v>0.53083960831952015</v>
      </c>
      <c r="G12" s="12">
        <f t="shared" si="2"/>
        <v>0.57464256382064482</v>
      </c>
      <c r="H12" s="12">
        <f t="shared" si="2"/>
        <v>1.1481053019710918</v>
      </c>
      <c r="I12" s="12">
        <f t="shared" si="2"/>
        <v>0.58587283514833199</v>
      </c>
      <c r="J12" s="12">
        <f t="shared" si="2"/>
        <v>0.59557875012736694</v>
      </c>
      <c r="K12" s="12">
        <f t="shared" si="2"/>
        <v>0.57080304857960706</v>
      </c>
      <c r="L12" s="12">
        <f t="shared" si="2"/>
        <v>0.56297846248653671</v>
      </c>
    </row>
    <row r="13" spans="1:12" x14ac:dyDescent="0.3">
      <c r="A13" s="4" t="s">
        <v>19</v>
      </c>
      <c r="B13" s="4" t="s">
        <v>20</v>
      </c>
      <c r="C13" s="10">
        <v>130000</v>
      </c>
      <c r="D13" s="10">
        <v>395000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r="14" spans="1:12" x14ac:dyDescent="0.3">
      <c r="C14" s="13">
        <f t="shared" ref="C14:L14" si="3">C13/C8</f>
        <v>1.4690193425776837E-5</v>
      </c>
      <c r="D14" s="13">
        <f t="shared" si="3"/>
        <v>4.4592670229414051E-5</v>
      </c>
      <c r="E14" s="13">
        <f t="shared" si="3"/>
        <v>0</v>
      </c>
      <c r="F14" s="13">
        <f t="shared" si="3"/>
        <v>0</v>
      </c>
      <c r="G14" s="13">
        <f t="shared" si="3"/>
        <v>0</v>
      </c>
      <c r="H14" s="13">
        <f t="shared" si="3"/>
        <v>0</v>
      </c>
      <c r="I14" s="13">
        <f t="shared" si="3"/>
        <v>0</v>
      </c>
      <c r="J14" s="13">
        <f t="shared" si="3"/>
        <v>0</v>
      </c>
      <c r="K14" s="13">
        <f t="shared" si="3"/>
        <v>0</v>
      </c>
      <c r="L14" s="13">
        <f t="shared" si="3"/>
        <v>0</v>
      </c>
    </row>
    <row r="15" spans="1:12" x14ac:dyDescent="0.3">
      <c r="A15" s="4" t="s">
        <v>21</v>
      </c>
      <c r="B15" s="4" t="s">
        <v>18</v>
      </c>
      <c r="C15" s="14">
        <v>0</v>
      </c>
      <c r="D15" s="14">
        <v>0</v>
      </c>
      <c r="E15" s="14">
        <v>841530000</v>
      </c>
      <c r="F15" s="14">
        <v>1284563000</v>
      </c>
      <c r="G15" s="14">
        <v>406171000</v>
      </c>
      <c r="H15" s="14">
        <f>AVERAGE(C15:G15)</f>
        <v>506452800</v>
      </c>
      <c r="I15" s="14">
        <f>AVERAGE(D15:H15)</f>
        <v>607743360</v>
      </c>
      <c r="J15" s="14">
        <f>AVERAGE(E15:I15)</f>
        <v>729292032</v>
      </c>
      <c r="K15" s="14">
        <f>AVERAGE(F15:J15)</f>
        <v>706844438.39999998</v>
      </c>
      <c r="L15" s="14">
        <f>AVERAGE(G15:K15)</f>
        <v>591300726.08000004</v>
      </c>
    </row>
    <row r="16" spans="1:12" x14ac:dyDescent="0.3">
      <c r="C16" s="13">
        <f t="shared" ref="C16:L16" si="4">C15/C8</f>
        <v>0</v>
      </c>
      <c r="D16" s="13">
        <f t="shared" si="4"/>
        <v>0</v>
      </c>
      <c r="E16" s="13">
        <f t="shared" si="4"/>
        <v>0.11308713513397291</v>
      </c>
      <c r="F16" s="13">
        <f t="shared" si="4"/>
        <v>0.14540223223644266</v>
      </c>
      <c r="G16" s="13">
        <f t="shared" si="4"/>
        <v>4.2034921073852621E-2</v>
      </c>
      <c r="H16" s="13">
        <f t="shared" si="4"/>
        <v>0.14198287781533867</v>
      </c>
      <c r="I16" s="13">
        <f t="shared" si="4"/>
        <v>8.1056398375296115E-2</v>
      </c>
      <c r="J16" s="13">
        <f t="shared" si="4"/>
        <v>9.476385834868252E-2</v>
      </c>
      <c r="K16" s="13">
        <f t="shared" si="4"/>
        <v>8.6529794672938115E-2</v>
      </c>
      <c r="L16" s="13">
        <f t="shared" si="4"/>
        <v>7.1475649863649363E-2</v>
      </c>
    </row>
    <row r="17" spans="1:12" x14ac:dyDescent="0.3">
      <c r="A17" s="4" t="s">
        <v>22</v>
      </c>
      <c r="C17" s="10">
        <f t="shared" ref="C17:L17" si="5">C5+C6+C8-C9+C11+C13+C15</f>
        <v>51200223000</v>
      </c>
      <c r="D17" s="10">
        <f t="shared" si="5"/>
        <v>47999179000</v>
      </c>
      <c r="E17" s="10">
        <f t="shared" si="5"/>
        <v>49247657000</v>
      </c>
      <c r="F17" s="10">
        <f t="shared" si="5"/>
        <v>53729124000</v>
      </c>
      <c r="G17" s="10">
        <f t="shared" si="5"/>
        <v>63499029000</v>
      </c>
      <c r="H17" s="10">
        <f t="shared" si="5"/>
        <v>48093591351.175766</v>
      </c>
      <c r="I17" s="10">
        <f t="shared" si="5"/>
        <v>52340500243.405777</v>
      </c>
      <c r="J17" s="10">
        <f t="shared" si="5"/>
        <v>53663766122.755684</v>
      </c>
      <c r="K17" s="10">
        <f t="shared" si="5"/>
        <v>54961654373.86866</v>
      </c>
      <c r="L17" s="10">
        <f t="shared" si="5"/>
        <v>55441659802.782272</v>
      </c>
    </row>
    <row r="18" spans="1:12" x14ac:dyDescent="0.3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">
      <c r="A19" s="15" t="s">
        <v>23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3">
      <c r="A20" s="16" t="s">
        <v>24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3">
      <c r="A21" s="16" t="s">
        <v>25</v>
      </c>
      <c r="B21" s="16"/>
      <c r="C21" s="17">
        <v>7831707000</v>
      </c>
      <c r="D21" s="17">
        <f t="shared" ref="D21:L21" si="6">C23</f>
        <v>5936585000</v>
      </c>
      <c r="E21" s="17">
        <f t="shared" si="6"/>
        <v>5312509000</v>
      </c>
      <c r="F21" s="17">
        <f t="shared" si="6"/>
        <v>7433874000</v>
      </c>
      <c r="G21" s="17">
        <f t="shared" si="6"/>
        <v>6991589000</v>
      </c>
      <c r="H21" s="17">
        <f t="shared" si="6"/>
        <v>11135516000</v>
      </c>
      <c r="I21" s="17">
        <f t="shared" si="6"/>
        <v>7362014600</v>
      </c>
      <c r="J21" s="17">
        <f t="shared" si="6"/>
        <v>7647100520</v>
      </c>
      <c r="K21" s="17">
        <f t="shared" si="6"/>
        <v>8114018824</v>
      </c>
      <c r="L21" s="17">
        <f t="shared" si="6"/>
        <v>8250047788.8000002</v>
      </c>
    </row>
    <row r="22" spans="1:12" x14ac:dyDescent="0.3">
      <c r="A22" s="16" t="s">
        <v>26</v>
      </c>
      <c r="B22" s="16" t="s">
        <v>27</v>
      </c>
      <c r="C22" s="17">
        <v>25241745000</v>
      </c>
      <c r="D22" s="17">
        <v>24015476000</v>
      </c>
      <c r="E22" s="17">
        <v>27006996000</v>
      </c>
      <c r="F22" s="17">
        <v>27037936000</v>
      </c>
      <c r="G22" s="17">
        <v>36975206000</v>
      </c>
      <c r="H22" s="17">
        <f>H17*AVERAGE(C22/C17,D22/D17,E22/E17,F22/F17,G22/G17)</f>
        <v>25270735041.165321</v>
      </c>
      <c r="I22" s="17">
        <f>I17*AVERAGE(D22/D17,E22/E17,F22/F17,G22/G17,H22/H17)</f>
        <v>27841942982.741718</v>
      </c>
      <c r="J22" s="17">
        <f>J17*AVERAGE(E22/E17,F22/F17,G22/G17,H22/H17,I22/I17)</f>
        <v>28885078459.854958</v>
      </c>
      <c r="K22" s="17">
        <f>K17*AVERAGE(F22/F17,G22/G17,H22/H17,I22/I17,J22/J17)</f>
        <v>29472315613.104</v>
      </c>
      <c r="L22" s="17">
        <f>L17*AVERAGE(G22/G17,H22/H17,I22/I17,J22/J17,K22/K17)</f>
        <v>30095707107.424278</v>
      </c>
    </row>
    <row r="23" spans="1:12" x14ac:dyDescent="0.3">
      <c r="A23" s="16" t="s">
        <v>28</v>
      </c>
      <c r="B23" s="16" t="s">
        <v>29</v>
      </c>
      <c r="C23" s="17">
        <v>5936585000</v>
      </c>
      <c r="D23" s="17">
        <v>5312509000</v>
      </c>
      <c r="E23" s="17">
        <v>7433874000</v>
      </c>
      <c r="F23" s="17">
        <v>6991589000</v>
      </c>
      <c r="G23" s="17">
        <v>11135516000</v>
      </c>
      <c r="H23" s="17">
        <f>AVERAGE(C23:G23)</f>
        <v>7362014600</v>
      </c>
      <c r="I23" s="17">
        <f>AVERAGE(D23:H23)</f>
        <v>7647100520</v>
      </c>
      <c r="J23" s="17">
        <f>AVERAGE(E23:I23)</f>
        <v>8114018824</v>
      </c>
      <c r="K23" s="17">
        <f>AVERAGE(F23:J23)</f>
        <v>8250047788.8000002</v>
      </c>
      <c r="L23" s="17">
        <f>AVERAGE(G23:K23)</f>
        <v>8501739546.5600004</v>
      </c>
    </row>
    <row r="24" spans="1:12" x14ac:dyDescent="0.3">
      <c r="A24" s="18" t="s">
        <v>24</v>
      </c>
      <c r="B24" s="18"/>
      <c r="C24" s="19">
        <f t="shared" ref="C24:L24" si="7">C21+C22-C23</f>
        <v>27136867000</v>
      </c>
      <c r="D24" s="19">
        <f t="shared" si="7"/>
        <v>24639552000</v>
      </c>
      <c r="E24" s="19">
        <f t="shared" si="7"/>
        <v>24885631000</v>
      </c>
      <c r="F24" s="19">
        <f t="shared" si="7"/>
        <v>27480221000</v>
      </c>
      <c r="G24" s="19">
        <f t="shared" si="7"/>
        <v>32831279000</v>
      </c>
      <c r="H24" s="19">
        <f t="shared" si="7"/>
        <v>29044236441.165321</v>
      </c>
      <c r="I24" s="19">
        <f t="shared" si="7"/>
        <v>27556857062.741714</v>
      </c>
      <c r="J24" s="19">
        <f t="shared" si="7"/>
        <v>28418160155.854958</v>
      </c>
      <c r="K24" s="19">
        <f t="shared" si="7"/>
        <v>29336286648.304005</v>
      </c>
      <c r="L24" s="19">
        <f t="shared" si="7"/>
        <v>29844015349.66428</v>
      </c>
    </row>
    <row r="25" spans="1:12" x14ac:dyDescent="0.3">
      <c r="A25" s="16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3">
      <c r="A26" s="16" t="s">
        <v>30</v>
      </c>
      <c r="B26" s="16"/>
      <c r="C26" s="20">
        <f>C22/C17</f>
        <v>0.49300068478217368</v>
      </c>
      <c r="D26" s="20">
        <f>D22/D17</f>
        <v>0.50033097441104146</v>
      </c>
      <c r="E26" s="20">
        <f>E22/E17</f>
        <v>0.54839148997484288</v>
      </c>
      <c r="F26" s="20">
        <f>F22/F17</f>
        <v>0.50322681605603692</v>
      </c>
      <c r="G26" s="20">
        <f>G22/G17</f>
        <v>0.58229561274078689</v>
      </c>
      <c r="H26" s="17"/>
      <c r="I26" s="17"/>
      <c r="J26" s="17"/>
      <c r="K26" s="17"/>
      <c r="L26" s="17"/>
    </row>
    <row r="27" spans="1:12" x14ac:dyDescent="0.3">
      <c r="A27" s="16" t="s">
        <v>31</v>
      </c>
      <c r="B27" s="16"/>
      <c r="C27" s="20">
        <f>C29/C11</f>
        <v>0.153181513525286</v>
      </c>
      <c r="D27" s="20">
        <f>D29/D11</f>
        <v>8.0635635692395735E-2</v>
      </c>
      <c r="E27" s="20">
        <f>E29/E11</f>
        <v>7.687198677674581E-2</v>
      </c>
      <c r="F27" s="20">
        <f>F29/F11</f>
        <v>4.5862787777883919E-2</v>
      </c>
      <c r="G27" s="20">
        <f>G29/G11</f>
        <v>4.3543017047326112E-2</v>
      </c>
      <c r="H27" s="17"/>
      <c r="I27" s="17"/>
      <c r="J27" s="17"/>
      <c r="K27" s="17"/>
      <c r="L27" s="17"/>
    </row>
    <row r="28" spans="1:12" x14ac:dyDescent="0.3">
      <c r="A28" s="16"/>
      <c r="B28" s="16"/>
      <c r="C28" s="20"/>
      <c r="D28" s="20"/>
      <c r="E28" s="20"/>
      <c r="F28" s="20"/>
      <c r="G28" s="20"/>
      <c r="H28" s="17"/>
      <c r="I28" s="17"/>
      <c r="J28" s="17"/>
      <c r="K28" s="17"/>
      <c r="L28" s="17"/>
    </row>
    <row r="29" spans="1:12" x14ac:dyDescent="0.3">
      <c r="A29" s="4" t="s">
        <v>32</v>
      </c>
      <c r="B29" s="16" t="s">
        <v>33</v>
      </c>
      <c r="C29" s="10">
        <v>399498000</v>
      </c>
      <c r="D29" s="10">
        <v>277302000</v>
      </c>
      <c r="E29" s="10">
        <v>321876000</v>
      </c>
      <c r="F29" s="10">
        <v>215084000</v>
      </c>
      <c r="G29" s="10">
        <v>241777000</v>
      </c>
      <c r="H29" s="10">
        <f>G29*(1+AVERAGE(C27:G27))</f>
        <v>261123750.90130991</v>
      </c>
      <c r="I29" s="10">
        <f>H29*(1+AVERAGE(D27:H27))</f>
        <v>277242490.97205961</v>
      </c>
      <c r="J29" s="10">
        <f>I29*(1+AVERAGE(E27:I27))</f>
        <v>292608914.01774603</v>
      </c>
      <c r="K29" s="10">
        <f>J29*(1+AVERAGE(F27:J27))</f>
        <v>305689381.74613971</v>
      </c>
      <c r="L29" s="10">
        <f>K29*(1+AVERAGE(G27:K27))</f>
        <v>319000019.70669842</v>
      </c>
    </row>
    <row r="30" spans="1:12" x14ac:dyDescent="0.3">
      <c r="A30" s="4" t="s">
        <v>34</v>
      </c>
      <c r="B30" s="4" t="s">
        <v>35</v>
      </c>
      <c r="C30" s="10">
        <v>3949244000</v>
      </c>
      <c r="D30" s="10">
        <v>4466527000</v>
      </c>
      <c r="E30" s="10">
        <v>5283799000</v>
      </c>
      <c r="F30" s="10">
        <v>5625747000</v>
      </c>
      <c r="G30" s="10">
        <v>5683600000</v>
      </c>
      <c r="H30" s="10">
        <f>G30*(1+AVERAGE(C30/C17,D30/D17,E30/E17,F30/F17,G30/G17))</f>
        <v>6219780075.324337</v>
      </c>
      <c r="I30" s="10">
        <f>H30*(1+AVERAGE(D30/D17,E30/E17,F30/F17,G30/G17,H30/H17))</f>
        <v>6871468474.8431215</v>
      </c>
      <c r="J30" s="10">
        <f>I30*(1+AVERAGE(E30/E17,F30/F17,G30/G17,H30/H17,I30/I17))</f>
        <v>7643977548.3480616</v>
      </c>
      <c r="K30" s="10">
        <f>J30*(1+AVERAGE(F30/F17,G30/G17,H30/H17,I30/I17,J30/J17))</f>
        <v>8557073942.3810244</v>
      </c>
      <c r="L30" s="10">
        <f>K30*(1+AVERAGE(G30/G17,H30/H17,I30/I17,J30/J17,K30/K17))</f>
        <v>9666500645.6742477</v>
      </c>
    </row>
    <row r="31" spans="1:12" x14ac:dyDescent="0.3">
      <c r="A31" s="4" t="s">
        <v>36</v>
      </c>
      <c r="B31" s="4" t="s">
        <v>35</v>
      </c>
      <c r="C31" s="10">
        <v>4381843000</v>
      </c>
      <c r="D31" s="10">
        <v>4523950000</v>
      </c>
      <c r="E31" s="10">
        <v>4886261000</v>
      </c>
      <c r="F31" s="10">
        <v>4806005000</v>
      </c>
      <c r="G31" s="10">
        <v>6167441000</v>
      </c>
      <c r="H31" s="10">
        <f>G31*(1+AVERAGE(C31/C17,D31/D17,E31/E17,F31/F17,G31/G17))</f>
        <v>6741785840.4008083</v>
      </c>
      <c r="I31" s="10">
        <f>H31*(1+AVERAGE(D31/D17,E31/E17,F31/F17,G31/G17,H31/H17))</f>
        <v>7443234388.148798</v>
      </c>
      <c r="J31" s="10">
        <f>I31*(1+AVERAGE(E31/E17,F31/F17,G31/G17,H31/H17,I31/I17))</f>
        <v>8289056670.8919258</v>
      </c>
      <c r="K31" s="10">
        <f>J31*(1+AVERAGE(F31/F17,G31/G17,H31/H17,I31/I17,J31/J17))</f>
        <v>9322580399.0109158</v>
      </c>
      <c r="L31" s="10">
        <f>K31*(1+AVERAGE(G31/G17,H31/H17,I31/I17,J31/J17,K31/K17))</f>
        <v>10634449361.170914</v>
      </c>
    </row>
    <row r="32" spans="1:12" x14ac:dyDescent="0.3">
      <c r="A32" s="4" t="s">
        <v>37</v>
      </c>
      <c r="B32" s="4" t="s">
        <v>18</v>
      </c>
      <c r="C32" s="10">
        <v>985497000</v>
      </c>
      <c r="D32" s="10">
        <v>996473000</v>
      </c>
      <c r="E32" s="10">
        <v>1147088000</v>
      </c>
      <c r="F32" s="10">
        <v>1085240000</v>
      </c>
      <c r="G32" s="10">
        <v>1407808000</v>
      </c>
      <c r="H32" s="10">
        <f t="shared" ref="H32:L36" si="8">AVERAGE(C32:G32)</f>
        <v>1124421200</v>
      </c>
      <c r="I32" s="10">
        <f t="shared" si="8"/>
        <v>1152206040</v>
      </c>
      <c r="J32" s="10">
        <f t="shared" si="8"/>
        <v>1183352648</v>
      </c>
      <c r="K32" s="10">
        <f t="shared" si="8"/>
        <v>1190605577.5999999</v>
      </c>
      <c r="L32" s="10">
        <f t="shared" si="8"/>
        <v>1211678693.1200001</v>
      </c>
    </row>
    <row r="33" spans="1:12" x14ac:dyDescent="0.3">
      <c r="A33" s="4" t="s">
        <v>38</v>
      </c>
      <c r="B33" s="4" t="s">
        <v>18</v>
      </c>
      <c r="C33" s="10">
        <v>340236000</v>
      </c>
      <c r="D33" s="10">
        <v>304105000</v>
      </c>
      <c r="E33" s="10">
        <v>331861000</v>
      </c>
      <c r="F33" s="10">
        <v>390659000</v>
      </c>
      <c r="G33" s="10">
        <v>357846000</v>
      </c>
      <c r="H33" s="10">
        <f t="shared" si="8"/>
        <v>344941400</v>
      </c>
      <c r="I33" s="10">
        <f t="shared" si="8"/>
        <v>345882480</v>
      </c>
      <c r="J33" s="10">
        <f t="shared" si="8"/>
        <v>354237976</v>
      </c>
      <c r="K33" s="10">
        <f t="shared" si="8"/>
        <v>358713371.19999999</v>
      </c>
      <c r="L33" s="10">
        <f t="shared" si="8"/>
        <v>352324245.44</v>
      </c>
    </row>
    <row r="34" spans="1:12" x14ac:dyDescent="0.3">
      <c r="A34" s="4" t="s">
        <v>39</v>
      </c>
      <c r="B34" s="4" t="s">
        <v>18</v>
      </c>
      <c r="C34" s="10">
        <v>4938184000</v>
      </c>
      <c r="D34" s="10">
        <v>4192029000</v>
      </c>
      <c r="E34" s="10">
        <v>4921472000</v>
      </c>
      <c r="F34" s="10">
        <v>5640960000</v>
      </c>
      <c r="G34" s="10">
        <v>6309817000</v>
      </c>
      <c r="H34" s="10">
        <f t="shared" si="8"/>
        <v>5200492400</v>
      </c>
      <c r="I34" s="10">
        <f t="shared" si="8"/>
        <v>5252954080</v>
      </c>
      <c r="J34" s="10">
        <f t="shared" si="8"/>
        <v>5465139096</v>
      </c>
      <c r="K34" s="10">
        <f t="shared" si="8"/>
        <v>5573872515.1999998</v>
      </c>
      <c r="L34" s="10">
        <f t="shared" si="8"/>
        <v>5560455018.2399998</v>
      </c>
    </row>
    <row r="35" spans="1:12" x14ac:dyDescent="0.3">
      <c r="A35" s="4" t="s">
        <v>40</v>
      </c>
      <c r="B35" s="4" t="s">
        <v>18</v>
      </c>
      <c r="C35" s="10">
        <v>38356000</v>
      </c>
      <c r="D35" s="10">
        <v>39217000</v>
      </c>
      <c r="E35" s="10">
        <v>44315000</v>
      </c>
      <c r="F35" s="10">
        <v>46702000</v>
      </c>
      <c r="G35" s="10">
        <v>49362000</v>
      </c>
      <c r="H35" s="10">
        <f t="shared" si="8"/>
        <v>43590400</v>
      </c>
      <c r="I35" s="10">
        <f t="shared" si="8"/>
        <v>44637280</v>
      </c>
      <c r="J35" s="10">
        <f t="shared" si="8"/>
        <v>45721336</v>
      </c>
      <c r="K35" s="10">
        <f t="shared" si="8"/>
        <v>46002603.200000003</v>
      </c>
      <c r="L35" s="10">
        <f t="shared" si="8"/>
        <v>45862723.839999996</v>
      </c>
    </row>
    <row r="36" spans="1:12" x14ac:dyDescent="0.3">
      <c r="A36" s="4" t="s">
        <v>41</v>
      </c>
      <c r="B36" s="4" t="s">
        <v>18</v>
      </c>
      <c r="C36" s="10">
        <v>453515000</v>
      </c>
      <c r="D36" s="10">
        <v>437837000</v>
      </c>
      <c r="E36" s="10">
        <v>511219000</v>
      </c>
      <c r="F36" s="10">
        <v>500722000</v>
      </c>
      <c r="G36" s="10">
        <v>553513000</v>
      </c>
      <c r="H36" s="10">
        <f t="shared" si="8"/>
        <v>491361200</v>
      </c>
      <c r="I36" s="10">
        <f t="shared" si="8"/>
        <v>498930440</v>
      </c>
      <c r="J36" s="10">
        <f t="shared" si="8"/>
        <v>511149128</v>
      </c>
      <c r="K36" s="10">
        <f t="shared" si="8"/>
        <v>511135153.60000002</v>
      </c>
      <c r="L36" s="10">
        <f t="shared" si="8"/>
        <v>513217784.31999999</v>
      </c>
    </row>
    <row r="37" spans="1:12" x14ac:dyDescent="0.3">
      <c r="A37" s="4" t="s">
        <v>42</v>
      </c>
      <c r="B37" s="4" t="s">
        <v>43</v>
      </c>
      <c r="C37" s="10">
        <v>2023019000</v>
      </c>
      <c r="D37" s="10">
        <v>2065498000</v>
      </c>
      <c r="E37" s="10">
        <v>2201908000</v>
      </c>
      <c r="F37" s="10">
        <v>2350563000</v>
      </c>
      <c r="G37" s="10">
        <v>2548984000</v>
      </c>
      <c r="H37" s="10">
        <f>'[1]Depreciation schedule'!H251*AVERAGE('[1]Assumption Sheet'!C37/'[1]Depreciation schedule'!C251,'[1]Assumption Sheet'!D37/'[1]Depreciation schedule'!D251,'[1]Assumption Sheet'!E37/'[1]Depreciation schedule'!E251,'[1]Assumption Sheet'!F37/'[1]Depreciation schedule'!F251,'[1]Assumption Sheet'!G37/'[1]Depreciation schedule'!G251)</f>
        <v>2793090512.0878296</v>
      </c>
      <c r="I37" s="10">
        <f>'[1]Depreciation schedule'!I251*AVERAGE('[1]Assumption Sheet'!D37/'[1]Depreciation schedule'!D251,'[1]Assumption Sheet'!E37/'[1]Depreciation schedule'!E251,'[1]Assumption Sheet'!F37/'[1]Depreciation schedule'!F251,'[1]Assumption Sheet'!G37/'[1]Depreciation schedule'!G251,'[1]Assumption Sheet'!H37/'[1]Depreciation schedule'!H251)</f>
        <v>3001083479.1899085</v>
      </c>
      <c r="J37" s="10">
        <f>'[1]Depreciation schedule'!J251*AVERAGE('[1]Assumption Sheet'!E37/'[1]Depreciation schedule'!E251,'[1]Assumption Sheet'!F37/'[1]Depreciation schedule'!F251,'[1]Assumption Sheet'!G37/'[1]Depreciation schedule'!G251,'[1]Assumption Sheet'!H37/'[1]Depreciation schedule'!H251,'[1]Assumption Sheet'!I37/'[1]Depreciation schedule'!I251)</f>
        <v>3263037176.9250007</v>
      </c>
      <c r="K37" s="10">
        <f>'[1]Depreciation schedule'!K251*AVERAGE('[1]Assumption Sheet'!F37/'[1]Depreciation schedule'!F251,'[1]Assumption Sheet'!G37/'[1]Depreciation schedule'!G251,'[1]Assumption Sheet'!H37/'[1]Depreciation schedule'!H251,'[1]Assumption Sheet'!I37/'[1]Depreciation schedule'!I251,'[1]Assumption Sheet'!J37/'[1]Depreciation schedule'!J251)</f>
        <v>3547629955.1514845</v>
      </c>
      <c r="L37" s="10">
        <f>'[1]Depreciation schedule'!L251*AVERAGE('[1]Assumption Sheet'!G37/'[1]Depreciation schedule'!G251,'[1]Assumption Sheet'!H37/'[1]Depreciation schedule'!H251,'[1]Assumption Sheet'!I37/'[1]Depreciation schedule'!I251,'[1]Assumption Sheet'!J37/'[1]Depreciation schedule'!J251,'[1]Assumption Sheet'!K37/'[1]Depreciation schedule'!K251)</f>
        <v>3891447240.8384423</v>
      </c>
    </row>
    <row r="38" spans="1:12" x14ac:dyDescent="0.3">
      <c r="C38" s="21">
        <f t="shared" ref="C38:L38" si="9">SUM(C24,C29:C37)</f>
        <v>44646259000</v>
      </c>
      <c r="D38" s="21">
        <f t="shared" si="9"/>
        <v>41942490000</v>
      </c>
      <c r="E38" s="21">
        <f t="shared" si="9"/>
        <v>44535430000</v>
      </c>
      <c r="F38" s="21">
        <f t="shared" si="9"/>
        <v>48141903000</v>
      </c>
      <c r="G38" s="21">
        <f t="shared" si="9"/>
        <v>56151427000</v>
      </c>
      <c r="H38" s="21">
        <f t="shared" si="9"/>
        <v>52264823219.879608</v>
      </c>
      <c r="I38" s="21">
        <f t="shared" si="9"/>
        <v>52444496215.895607</v>
      </c>
      <c r="J38" s="21">
        <f t="shared" si="9"/>
        <v>55466440650.037689</v>
      </c>
      <c r="K38" s="21">
        <f t="shared" si="9"/>
        <v>58749589547.393555</v>
      </c>
      <c r="L38" s="21">
        <f t="shared" si="9"/>
        <v>62038951082.01458</v>
      </c>
    </row>
    <row r="39" spans="1:12" x14ac:dyDescent="0.3">
      <c r="A39" s="4" t="s">
        <v>44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3">
      <c r="A40" s="4" t="s">
        <v>45</v>
      </c>
      <c r="C40" s="10">
        <v>2013520000</v>
      </c>
      <c r="D40" s="10">
        <f t="shared" ref="D40:L40" si="10">C41</f>
        <v>1530684000</v>
      </c>
      <c r="E40" s="10">
        <f t="shared" si="10"/>
        <v>1746041000</v>
      </c>
      <c r="F40" s="10">
        <f t="shared" si="10"/>
        <v>1992931000</v>
      </c>
      <c r="G40" s="10">
        <f t="shared" si="10"/>
        <v>2022712000</v>
      </c>
      <c r="H40" s="10">
        <f t="shared" si="10"/>
        <v>2015512000</v>
      </c>
      <c r="I40" s="10">
        <f t="shared" si="10"/>
        <v>1694119376.5113721</v>
      </c>
      <c r="J40" s="10">
        <f t="shared" si="10"/>
        <v>1739896181.9026163</v>
      </c>
      <c r="K40" s="10">
        <f t="shared" si="10"/>
        <v>1740237475.9523268</v>
      </c>
      <c r="L40" s="10">
        <f t="shared" si="10"/>
        <v>1689863990.923528</v>
      </c>
    </row>
    <row r="41" spans="1:12" x14ac:dyDescent="0.3">
      <c r="A41" s="4" t="s">
        <v>46</v>
      </c>
      <c r="B41" s="4" t="s">
        <v>27</v>
      </c>
      <c r="C41" s="10">
        <v>1530684000</v>
      </c>
      <c r="D41" s="10">
        <v>1746041000</v>
      </c>
      <c r="E41" s="10">
        <v>1992931000</v>
      </c>
      <c r="F41" s="10">
        <v>2022712000</v>
      </c>
      <c r="G41" s="10">
        <v>2015512000</v>
      </c>
      <c r="H41" s="10">
        <f>$H$17*AVERAGE(C41/$C$17,D41/$D$17,E41/$E$17,F41/$F$17,G41/$G$17)</f>
        <v>1694119376.5113721</v>
      </c>
      <c r="I41" s="10">
        <f>$H$17*AVERAGE(D41/$C$17,E41/$D$17,F41/$E$17,G41/$F$17,H41/$G$17)</f>
        <v>1739896181.9026163</v>
      </c>
      <c r="J41" s="10">
        <f>$H$17*AVERAGE(E41/$C$17,F41/$D$17,G41/$E$17,H41/$F$17,I41/$G$17)</f>
        <v>1740237475.9523268</v>
      </c>
      <c r="K41" s="10">
        <f>$H$17*AVERAGE(F41/$C$17,G41/$D$17,H41/$E$17,I41/$F$17,J41/$G$17)</f>
        <v>1689863990.923528</v>
      </c>
      <c r="L41" s="10">
        <f>$H$17*AVERAGE(G41/$C$17,H41/$D$17,I41/$E$17,J41/$F$17,K41/$G$17)</f>
        <v>1625477836.5292494</v>
      </c>
    </row>
    <row r="42" spans="1:12" x14ac:dyDescent="0.3">
      <c r="C42" s="21">
        <f t="shared" ref="C42:L42" si="11">C40-C41</f>
        <v>482836000</v>
      </c>
      <c r="D42" s="21">
        <f t="shared" si="11"/>
        <v>-215357000</v>
      </c>
      <c r="E42" s="21">
        <f t="shared" si="11"/>
        <v>-246890000</v>
      </c>
      <c r="F42" s="21">
        <f t="shared" si="11"/>
        <v>-29781000</v>
      </c>
      <c r="G42" s="21">
        <f t="shared" si="11"/>
        <v>7200000</v>
      </c>
      <c r="H42" s="21">
        <f t="shared" si="11"/>
        <v>321392623.48862791</v>
      </c>
      <c r="I42" s="21">
        <f t="shared" si="11"/>
        <v>-45776805.391244173</v>
      </c>
      <c r="J42" s="21">
        <f t="shared" si="11"/>
        <v>-341294.04971051216</v>
      </c>
      <c r="K42" s="21">
        <f t="shared" si="11"/>
        <v>50373485.028798819</v>
      </c>
      <c r="L42" s="21">
        <f t="shared" si="11"/>
        <v>64386154.394278526</v>
      </c>
    </row>
    <row r="43" spans="1:12" x14ac:dyDescent="0.3">
      <c r="A43" s="4" t="s">
        <v>47</v>
      </c>
      <c r="C43" s="21">
        <f t="shared" ref="C43:L43" si="12">C38+C42</f>
        <v>45129095000</v>
      </c>
      <c r="D43" s="21">
        <f t="shared" si="12"/>
        <v>41727133000</v>
      </c>
      <c r="E43" s="21">
        <f t="shared" si="12"/>
        <v>44288540000</v>
      </c>
      <c r="F43" s="21">
        <f t="shared" si="12"/>
        <v>48112122000</v>
      </c>
      <c r="G43" s="21">
        <f t="shared" si="12"/>
        <v>56158627000</v>
      </c>
      <c r="H43" s="21">
        <f t="shared" si="12"/>
        <v>52586215843.368233</v>
      </c>
      <c r="I43" s="21">
        <f t="shared" si="12"/>
        <v>52398719410.504364</v>
      </c>
      <c r="J43" s="21">
        <f t="shared" si="12"/>
        <v>55466099355.987976</v>
      </c>
      <c r="K43" s="21">
        <f t="shared" si="12"/>
        <v>58799963032.422356</v>
      </c>
      <c r="L43" s="21">
        <f t="shared" si="12"/>
        <v>62103337236.408859</v>
      </c>
    </row>
    <row r="44" spans="1:12" x14ac:dyDescent="0.3"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3">
      <c r="A45" s="4" t="s">
        <v>48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3">
      <c r="A46" s="4" t="s">
        <v>25</v>
      </c>
      <c r="C46" s="10">
        <v>2907268000</v>
      </c>
      <c r="D46" s="10">
        <f>C47</f>
        <v>2882924000</v>
      </c>
      <c r="E46" s="10">
        <f>D47</f>
        <v>2875186000</v>
      </c>
      <c r="F46" s="10">
        <f>E47</f>
        <v>3295907000</v>
      </c>
      <c r="G46" s="10">
        <v>3541232000</v>
      </c>
      <c r="H46" s="10">
        <f>G47</f>
        <v>3857431000</v>
      </c>
      <c r="I46" s="10">
        <f>H47</f>
        <v>2923945275.1697903</v>
      </c>
      <c r="J46" s="10">
        <f>I47</f>
        <v>2967134467.4355836</v>
      </c>
      <c r="K46" s="10">
        <f>J47</f>
        <v>2936242421.0147934</v>
      </c>
      <c r="L46" s="10">
        <f>K47</f>
        <v>2818801675.285491</v>
      </c>
    </row>
    <row r="47" spans="1:12" x14ac:dyDescent="0.3">
      <c r="A47" s="4" t="s">
        <v>49</v>
      </c>
      <c r="B47" s="4" t="s">
        <v>27</v>
      </c>
      <c r="C47" s="10">
        <v>2882924000</v>
      </c>
      <c r="D47" s="10">
        <v>2875186000</v>
      </c>
      <c r="E47" s="10">
        <v>3295907000</v>
      </c>
      <c r="F47" s="10">
        <v>3229351000</v>
      </c>
      <c r="G47" s="10">
        <v>3857431000</v>
      </c>
      <c r="H47" s="10">
        <f>$H$17*AVERAGE(C47/C17,D47/D17,E47/E17,F47/F17,G47/G17)</f>
        <v>2923945275.1697903</v>
      </c>
      <c r="I47" s="10">
        <f>$H$17*AVERAGE(D47/D17,E47/E17,F47/F17,G47/G17,H47/H17)</f>
        <v>2967134467.4355836</v>
      </c>
      <c r="J47" s="10">
        <f>$H$17*AVERAGE(E47/E17,F47/F17,G47/G17,H47/H17,I47/I17)</f>
        <v>2936242421.0147934</v>
      </c>
      <c r="K47" s="10">
        <f>$H$17*AVERAGE(F47/F17,G47/G17,H47/H17,I47/I17,J47/J17)</f>
        <v>2818801675.285491</v>
      </c>
      <c r="L47" s="10">
        <f>$H$17*AVERAGE(G47/G17,H47/H17,I47/I17,J47/J17,K47/K17)</f>
        <v>2733987698.7434216</v>
      </c>
    </row>
    <row r="48" spans="1:12" x14ac:dyDescent="0.3">
      <c r="C48" s="10">
        <f t="shared" ref="C48:L48" si="13">C46-C47</f>
        <v>24344000</v>
      </c>
      <c r="D48" s="10">
        <f t="shared" si="13"/>
        <v>7738000</v>
      </c>
      <c r="E48" s="10">
        <f t="shared" si="13"/>
        <v>-420721000</v>
      </c>
      <c r="F48" s="10">
        <f t="shared" si="13"/>
        <v>66556000</v>
      </c>
      <c r="G48" s="10">
        <f t="shared" si="13"/>
        <v>-316199000</v>
      </c>
      <c r="H48" s="10">
        <f t="shared" si="13"/>
        <v>933485724.83020973</v>
      </c>
      <c r="I48" s="10">
        <f t="shared" si="13"/>
        <v>-43189192.265793324</v>
      </c>
      <c r="J48" s="10">
        <f t="shared" si="13"/>
        <v>30892046.420790195</v>
      </c>
      <c r="K48" s="10">
        <f t="shared" si="13"/>
        <v>117440745.72930241</v>
      </c>
      <c r="L48" s="10">
        <f t="shared" si="13"/>
        <v>84813976.542069435</v>
      </c>
    </row>
    <row r="49" spans="1:12" x14ac:dyDescent="0.3">
      <c r="A49" s="4" t="s">
        <v>50</v>
      </c>
      <c r="C49" s="10">
        <f t="shared" ref="C49:L49" si="14">C43+C48</f>
        <v>45153439000</v>
      </c>
      <c r="D49" s="10">
        <f t="shared" si="14"/>
        <v>41734871000</v>
      </c>
      <c r="E49" s="10">
        <f t="shared" si="14"/>
        <v>43867819000</v>
      </c>
      <c r="F49" s="10">
        <f t="shared" si="14"/>
        <v>48178678000</v>
      </c>
      <c r="G49" s="10">
        <f t="shared" si="14"/>
        <v>55842428000</v>
      </c>
      <c r="H49" s="10">
        <f t="shared" si="14"/>
        <v>53519701568.198441</v>
      </c>
      <c r="I49" s="10">
        <f t="shared" si="14"/>
        <v>52355530218.238571</v>
      </c>
      <c r="J49" s="10">
        <f t="shared" si="14"/>
        <v>55496991402.408768</v>
      </c>
      <c r="K49" s="10">
        <f t="shared" si="14"/>
        <v>58917403778.151657</v>
      </c>
      <c r="L49" s="10">
        <f t="shared" si="14"/>
        <v>62188151212.950928</v>
      </c>
    </row>
    <row r="50" spans="1:12" x14ac:dyDescent="0.3"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3">
      <c r="A51" s="11" t="s">
        <v>51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3">
      <c r="A52" s="4" t="s">
        <v>52</v>
      </c>
      <c r="B52" s="4" t="s">
        <v>35</v>
      </c>
      <c r="C52" s="10">
        <v>332516000</v>
      </c>
      <c r="D52" s="10">
        <v>349113000</v>
      </c>
      <c r="E52" s="10">
        <v>373511000</v>
      </c>
      <c r="F52" s="10">
        <v>413315000</v>
      </c>
      <c r="G52" s="10">
        <v>447236000</v>
      </c>
      <c r="H52" s="10">
        <f t="shared" ref="H52:L54" si="15">H$17*AVERAGE(C52/C$17,D52/D$17,E52/E$17,F52/F$17,G52/G$17)</f>
        <v>347118772.52241224</v>
      </c>
      <c r="I52" s="10">
        <f t="shared" si="15"/>
        <v>385341063.2171129</v>
      </c>
      <c r="J52" s="10">
        <f t="shared" si="15"/>
        <v>396037186.65174538</v>
      </c>
      <c r="K52" s="10">
        <f t="shared" si="15"/>
        <v>403369101.13819706</v>
      </c>
      <c r="L52" s="10">
        <f t="shared" si="15"/>
        <v>402972531.01850271</v>
      </c>
    </row>
    <row r="53" spans="1:12" x14ac:dyDescent="0.3">
      <c r="A53" s="4" t="s">
        <v>53</v>
      </c>
      <c r="B53" s="4" t="s">
        <v>35</v>
      </c>
      <c r="C53" s="10">
        <v>1067949000</v>
      </c>
      <c r="D53" s="10">
        <v>926083000</v>
      </c>
      <c r="E53" s="10">
        <v>1120211000</v>
      </c>
      <c r="F53" s="10">
        <v>1102366000</v>
      </c>
      <c r="G53" s="10">
        <v>1159821000</v>
      </c>
      <c r="H53" s="10">
        <f t="shared" si="15"/>
        <v>978038752.41671681</v>
      </c>
      <c r="I53" s="10">
        <f t="shared" si="15"/>
        <v>1058938816.2256404</v>
      </c>
      <c r="J53" s="10">
        <f t="shared" si="15"/>
        <v>1095778129.2724581</v>
      </c>
      <c r="K53" s="10">
        <f t="shared" si="15"/>
        <v>1096699295.7491016</v>
      </c>
      <c r="L53" s="10">
        <f t="shared" si="15"/>
        <v>1100032275.7944381</v>
      </c>
    </row>
    <row r="54" spans="1:12" x14ac:dyDescent="0.3">
      <c r="A54" s="4" t="s">
        <v>54</v>
      </c>
      <c r="B54" s="4" t="s">
        <v>35</v>
      </c>
      <c r="C54" s="10">
        <v>636694000</v>
      </c>
      <c r="D54" s="10">
        <v>495921000</v>
      </c>
      <c r="E54" s="10">
        <v>491017000</v>
      </c>
      <c r="F54" s="10">
        <v>504490000</v>
      </c>
      <c r="G54" s="10">
        <v>631707000</v>
      </c>
      <c r="H54" s="10">
        <f t="shared" si="15"/>
        <v>500898635.18980074</v>
      </c>
      <c r="I54" s="10">
        <f t="shared" si="15"/>
        <v>523981885.70062834</v>
      </c>
      <c r="J54" s="10">
        <f t="shared" si="15"/>
        <v>533785606.01973647</v>
      </c>
      <c r="K54" s="10">
        <f t="shared" si="15"/>
        <v>546437086.77239537</v>
      </c>
      <c r="L54" s="10">
        <f t="shared" si="15"/>
        <v>557337274.60877502</v>
      </c>
    </row>
    <row r="55" spans="1:12" x14ac:dyDescent="0.3">
      <c r="A55" s="4" t="s">
        <v>55</v>
      </c>
      <c r="B55" s="4" t="s">
        <v>18</v>
      </c>
      <c r="C55" s="10">
        <v>0</v>
      </c>
      <c r="D55" s="10">
        <v>0</v>
      </c>
      <c r="E55" s="10">
        <v>3146000</v>
      </c>
      <c r="F55" s="10">
        <v>5663000</v>
      </c>
      <c r="G55" s="10">
        <v>4788000</v>
      </c>
      <c r="H55" s="10">
        <f t="shared" ref="H55:L62" si="16">AVERAGE(C55:G55)</f>
        <v>2719400</v>
      </c>
      <c r="I55" s="10">
        <f t="shared" si="16"/>
        <v>3263280</v>
      </c>
      <c r="J55" s="10">
        <f t="shared" si="16"/>
        <v>3915936</v>
      </c>
      <c r="K55" s="10">
        <f t="shared" si="16"/>
        <v>4069923.2</v>
      </c>
      <c r="L55" s="10">
        <f t="shared" si="16"/>
        <v>3751307.84</v>
      </c>
    </row>
    <row r="56" spans="1:12" x14ac:dyDescent="0.3">
      <c r="A56" s="4" t="s">
        <v>56</v>
      </c>
      <c r="B56" s="4" t="s">
        <v>18</v>
      </c>
      <c r="C56" s="10">
        <v>133426000</v>
      </c>
      <c r="D56" s="10">
        <v>117456000</v>
      </c>
      <c r="E56" s="10">
        <v>133833000</v>
      </c>
      <c r="F56" s="10">
        <v>146906000</v>
      </c>
      <c r="G56" s="10">
        <v>192019000</v>
      </c>
      <c r="H56" s="10">
        <f t="shared" si="16"/>
        <v>144728000</v>
      </c>
      <c r="I56" s="10">
        <f t="shared" si="16"/>
        <v>146988400</v>
      </c>
      <c r="J56" s="10">
        <f t="shared" si="16"/>
        <v>152894880</v>
      </c>
      <c r="K56" s="10">
        <f t="shared" si="16"/>
        <v>156707256</v>
      </c>
      <c r="L56" s="10">
        <f t="shared" si="16"/>
        <v>158667507.19999999</v>
      </c>
    </row>
    <row r="57" spans="1:12" x14ac:dyDescent="0.3">
      <c r="A57" s="4" t="s">
        <v>57</v>
      </c>
      <c r="B57" s="4" t="s">
        <v>18</v>
      </c>
      <c r="C57" s="10">
        <v>110463000</v>
      </c>
      <c r="D57" s="10">
        <v>104838000</v>
      </c>
      <c r="E57" s="10">
        <v>103337000</v>
      </c>
      <c r="F57" s="10">
        <v>122403000</v>
      </c>
      <c r="G57" s="10">
        <v>168955000</v>
      </c>
      <c r="H57" s="10">
        <f t="shared" si="16"/>
        <v>121999200</v>
      </c>
      <c r="I57" s="10">
        <f t="shared" si="16"/>
        <v>124306440</v>
      </c>
      <c r="J57" s="10">
        <f t="shared" si="16"/>
        <v>128200128</v>
      </c>
      <c r="K57" s="10">
        <f t="shared" si="16"/>
        <v>133172753.59999999</v>
      </c>
      <c r="L57" s="10">
        <f t="shared" si="16"/>
        <v>135326704.31999999</v>
      </c>
    </row>
    <row r="58" spans="1:12" x14ac:dyDescent="0.3">
      <c r="A58" s="4" t="s">
        <v>58</v>
      </c>
      <c r="B58" s="4" t="s">
        <v>18</v>
      </c>
      <c r="C58" s="10">
        <v>16420000</v>
      </c>
      <c r="D58" s="10">
        <v>17499000</v>
      </c>
      <c r="E58" s="10">
        <v>14193000</v>
      </c>
      <c r="F58" s="10">
        <v>14209000</v>
      </c>
      <c r="G58" s="10">
        <v>15948000</v>
      </c>
      <c r="H58" s="10">
        <f t="shared" si="16"/>
        <v>15653800</v>
      </c>
      <c r="I58" s="10">
        <f t="shared" si="16"/>
        <v>15500560</v>
      </c>
      <c r="J58" s="10">
        <f t="shared" si="16"/>
        <v>15100872</v>
      </c>
      <c r="K58" s="10">
        <f t="shared" si="16"/>
        <v>15282446.4</v>
      </c>
      <c r="L58" s="10">
        <f t="shared" si="16"/>
        <v>15497135.680000002</v>
      </c>
    </row>
    <row r="59" spans="1:12" x14ac:dyDescent="0.3">
      <c r="A59" s="4" t="s">
        <v>59</v>
      </c>
      <c r="B59" s="4" t="s">
        <v>18</v>
      </c>
      <c r="C59" s="10">
        <v>71786000</v>
      </c>
      <c r="D59" s="10">
        <v>72149000</v>
      </c>
      <c r="E59" s="10">
        <v>77809000</v>
      </c>
      <c r="F59" s="10">
        <v>70877000</v>
      </c>
      <c r="G59" s="10">
        <v>87682000</v>
      </c>
      <c r="H59" s="10">
        <f t="shared" si="16"/>
        <v>76060600</v>
      </c>
      <c r="I59" s="10">
        <f t="shared" si="16"/>
        <v>76915520</v>
      </c>
      <c r="J59" s="10">
        <f t="shared" si="16"/>
        <v>77868824</v>
      </c>
      <c r="K59" s="10">
        <f t="shared" si="16"/>
        <v>77880788.799999997</v>
      </c>
      <c r="L59" s="10">
        <f t="shared" si="16"/>
        <v>79281546.560000002</v>
      </c>
    </row>
    <row r="60" spans="1:12" x14ac:dyDescent="0.3">
      <c r="A60" s="4" t="s">
        <v>40</v>
      </c>
      <c r="B60" s="4" t="s">
        <v>18</v>
      </c>
      <c r="C60" s="10">
        <v>20937000</v>
      </c>
      <c r="D60" s="10">
        <v>20092000</v>
      </c>
      <c r="E60" s="10">
        <v>20112000</v>
      </c>
      <c r="F60" s="10">
        <v>18050000</v>
      </c>
      <c r="G60" s="10">
        <v>20132000</v>
      </c>
      <c r="H60" s="10">
        <f t="shared" si="16"/>
        <v>19864600</v>
      </c>
      <c r="I60" s="10">
        <f t="shared" si="16"/>
        <v>19650120</v>
      </c>
      <c r="J60" s="10">
        <f t="shared" si="16"/>
        <v>19561744</v>
      </c>
      <c r="K60" s="10">
        <f t="shared" si="16"/>
        <v>19451692.800000001</v>
      </c>
      <c r="L60" s="10">
        <f t="shared" si="16"/>
        <v>19732031.359999999</v>
      </c>
    </row>
    <row r="61" spans="1:12" x14ac:dyDescent="0.3">
      <c r="A61" s="4" t="s">
        <v>60</v>
      </c>
      <c r="B61" s="4" t="s">
        <v>18</v>
      </c>
      <c r="C61" s="10">
        <v>11232000</v>
      </c>
      <c r="D61" s="10">
        <v>12977000</v>
      </c>
      <c r="E61" s="10">
        <v>9459000</v>
      </c>
      <c r="F61" s="10">
        <v>12476000</v>
      </c>
      <c r="G61" s="10">
        <v>15616000</v>
      </c>
      <c r="H61" s="10">
        <f t="shared" si="16"/>
        <v>12352000</v>
      </c>
      <c r="I61" s="10">
        <f t="shared" si="16"/>
        <v>12576000</v>
      </c>
      <c r="J61" s="10">
        <f t="shared" si="16"/>
        <v>12495800</v>
      </c>
      <c r="K61" s="10">
        <f t="shared" si="16"/>
        <v>13103160</v>
      </c>
      <c r="L61" s="10">
        <f t="shared" si="16"/>
        <v>13228592</v>
      </c>
    </row>
    <row r="62" spans="1:12" x14ac:dyDescent="0.3">
      <c r="A62" s="4" t="s">
        <v>61</v>
      </c>
      <c r="B62" s="4" t="s">
        <v>18</v>
      </c>
      <c r="C62" s="10">
        <v>6255000</v>
      </c>
      <c r="D62" s="10">
        <v>7065000</v>
      </c>
      <c r="E62" s="10">
        <v>7728000</v>
      </c>
      <c r="F62" s="10">
        <v>8167000</v>
      </c>
      <c r="G62" s="10">
        <v>7841000</v>
      </c>
      <c r="H62" s="10">
        <f t="shared" si="16"/>
        <v>7411200</v>
      </c>
      <c r="I62" s="10">
        <f t="shared" si="16"/>
        <v>7642440</v>
      </c>
      <c r="J62" s="10">
        <f t="shared" si="16"/>
        <v>7757928</v>
      </c>
      <c r="K62" s="10">
        <f t="shared" si="16"/>
        <v>7763913.5999999996</v>
      </c>
      <c r="L62" s="10">
        <f t="shared" si="16"/>
        <v>7683296.3200000003</v>
      </c>
    </row>
    <row r="63" spans="1:12" x14ac:dyDescent="0.3">
      <c r="A63" s="4" t="s">
        <v>62</v>
      </c>
      <c r="B63" s="4" t="s">
        <v>35</v>
      </c>
      <c r="C63" s="10">
        <v>1565000</v>
      </c>
      <c r="D63" s="10">
        <v>1220000</v>
      </c>
      <c r="E63" s="10">
        <v>13000</v>
      </c>
      <c r="F63" s="10">
        <v>205000</v>
      </c>
      <c r="G63" s="10">
        <v>7000</v>
      </c>
      <c r="H63" s="10">
        <f>H17*AVERAGE(C63/C17,D63/D17,E63/E17,F63/F17,G63/G17)</f>
        <v>578787.32442196109</v>
      </c>
      <c r="I63" s="10">
        <f>I17*AVERAGE(D63/D17,E63/E17,F63/F17,G63/G17,H63/H17)</f>
        <v>435905.82400883548</v>
      </c>
      <c r="J63" s="10">
        <f>J17*AVERAGE(E63/E17,F63/F17,G63/G17,H63/H17,I63/I17)</f>
        <v>263516.13056075096</v>
      </c>
      <c r="K63" s="10">
        <f>K17*AVERAGE(F63/F17,G63/G17,H63/H17,I63/I17,J63/J17)</f>
        <v>320965.63198491046</v>
      </c>
      <c r="L63" s="10">
        <f>L17*AVERAGE(G63/G17,H63/H17,I63/I17,J63/J17,K63/K17)</f>
        <v>346215.71319018421</v>
      </c>
    </row>
    <row r="64" spans="1:12" x14ac:dyDescent="0.3">
      <c r="A64" s="4" t="s">
        <v>63</v>
      </c>
      <c r="B64" s="4" t="s">
        <v>20</v>
      </c>
      <c r="C64" s="10">
        <v>4498000</v>
      </c>
      <c r="D64" s="10">
        <v>553000</v>
      </c>
      <c r="E64" s="10">
        <v>784000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</row>
    <row r="65" spans="1:12" x14ac:dyDescent="0.3">
      <c r="A65" s="4" t="s">
        <v>64</v>
      </c>
      <c r="B65" s="4" t="s">
        <v>18</v>
      </c>
      <c r="C65" s="10">
        <v>2608000</v>
      </c>
      <c r="D65" s="10">
        <v>3170000</v>
      </c>
      <c r="E65" s="10">
        <v>1461000</v>
      </c>
      <c r="F65" s="10">
        <v>2544000</v>
      </c>
      <c r="G65" s="10">
        <v>3203000</v>
      </c>
      <c r="H65" s="10">
        <f t="shared" ref="H65:L67" si="17">AVERAGE(C65:G65)</f>
        <v>2597200</v>
      </c>
      <c r="I65" s="10">
        <f t="shared" si="17"/>
        <v>2595040</v>
      </c>
      <c r="J65" s="10">
        <f t="shared" si="17"/>
        <v>2480048</v>
      </c>
      <c r="K65" s="10">
        <f t="shared" si="17"/>
        <v>2683857.6</v>
      </c>
      <c r="L65" s="10">
        <f t="shared" si="17"/>
        <v>2711829.12</v>
      </c>
    </row>
    <row r="66" spans="1:12" x14ac:dyDescent="0.3">
      <c r="A66" s="4" t="s">
        <v>65</v>
      </c>
      <c r="B66" s="4" t="s">
        <v>18</v>
      </c>
      <c r="C66" s="10">
        <v>3224000</v>
      </c>
      <c r="D66" s="10">
        <v>3218000</v>
      </c>
      <c r="E66" s="10">
        <v>3671000</v>
      </c>
      <c r="F66" s="10">
        <v>7484000</v>
      </c>
      <c r="G66" s="10">
        <v>5911000</v>
      </c>
      <c r="H66" s="10">
        <f t="shared" si="17"/>
        <v>4701600</v>
      </c>
      <c r="I66" s="10">
        <f t="shared" si="17"/>
        <v>4997120</v>
      </c>
      <c r="J66" s="10">
        <f t="shared" si="17"/>
        <v>5352944</v>
      </c>
      <c r="K66" s="10">
        <f t="shared" si="17"/>
        <v>5689332.7999999998</v>
      </c>
      <c r="L66" s="10">
        <f t="shared" si="17"/>
        <v>5330399.3600000003</v>
      </c>
    </row>
    <row r="67" spans="1:12" x14ac:dyDescent="0.3">
      <c r="A67" s="4" t="s">
        <v>66</v>
      </c>
      <c r="B67" s="4" t="s">
        <v>18</v>
      </c>
      <c r="C67" s="10">
        <v>23000</v>
      </c>
      <c r="D67" s="10">
        <v>442000</v>
      </c>
      <c r="E67" s="10">
        <v>1215000</v>
      </c>
      <c r="F67" s="10">
        <v>900000</v>
      </c>
      <c r="G67" s="10">
        <v>430000</v>
      </c>
      <c r="H67" s="10">
        <f t="shared" si="17"/>
        <v>602000</v>
      </c>
      <c r="I67" s="10">
        <f t="shared" si="17"/>
        <v>717800</v>
      </c>
      <c r="J67" s="10">
        <f t="shared" si="17"/>
        <v>772960</v>
      </c>
      <c r="K67" s="10">
        <f t="shared" si="17"/>
        <v>684552</v>
      </c>
      <c r="L67" s="10">
        <f t="shared" si="17"/>
        <v>641462.4</v>
      </c>
    </row>
    <row r="68" spans="1:12" x14ac:dyDescent="0.3">
      <c r="A68" s="4" t="s">
        <v>42</v>
      </c>
      <c r="B68" s="4" t="s">
        <v>67</v>
      </c>
      <c r="C68" s="10">
        <v>6699000</v>
      </c>
      <c r="D68" s="10">
        <v>6098000</v>
      </c>
      <c r="E68" s="10">
        <v>6362000</v>
      </c>
      <c r="F68" s="10">
        <v>8063000</v>
      </c>
      <c r="G68" s="10">
        <v>8448000</v>
      </c>
      <c r="H68" s="10">
        <f>'[1]Depreciation schedule'!H251*AVERAGE('[1]Assumption Sheet'!C68/'[1]Depreciation schedule'!C251,'[1]Assumption Sheet'!D68/'[1]Depreciation schedule'!D251,'[1]Assumption Sheet'!E68/'[1]Depreciation schedule'!E251,'[1]Assumption Sheet'!F68/'[1]Depreciation schedule'!F251,'[1]Assumption Sheet'!G68/'[1]Depreciation schedule'!G251)</f>
        <v>8885994.6021878105</v>
      </c>
      <c r="I68" s="10">
        <f>'[1]Depreciation schedule'!I251*AVERAGE('[1]Assumption Sheet'!D68/'[1]Depreciation schedule'!D251,'[1]Assumption Sheet'!E68/'[1]Depreciation schedule'!E251,'[1]Assumption Sheet'!F68/'[1]Depreciation schedule'!F251,'[1]Assumption Sheet'!G68/'[1]Depreciation schedule'!G251,'[1]Assumption Sheet'!H68/'[1]Depreciation schedule'!H251)</f>
        <v>9469370.1824697368</v>
      </c>
      <c r="J68" s="10">
        <f>'[1]Depreciation schedule'!J251*AVERAGE('[1]Assumption Sheet'!E68/'[1]Depreciation schedule'!E251,'[1]Assumption Sheet'!F68/'[1]Depreciation schedule'!F251,'[1]Assumption Sheet'!G68/'[1]Depreciation schedule'!G251,'[1]Assumption Sheet'!H68/'[1]Depreciation schedule'!H251,'[1]Assumption Sheet'!I68/'[1]Depreciation schedule'!I251)</f>
        <v>10429272.29322464</v>
      </c>
      <c r="K68" s="10">
        <f>'[1]Depreciation schedule'!K251*AVERAGE('[1]Assumption Sheet'!F68/'[1]Depreciation schedule'!F251,'[1]Assumption Sheet'!G68/'[1]Depreciation schedule'!G251,'[1]Assumption Sheet'!H68/'[1]Depreciation schedule'!H251,'[1]Assumption Sheet'!I68/'[1]Depreciation schedule'!I251,'[1]Assumption Sheet'!J68/'[1]Depreciation schedule'!J251)</f>
        <v>11550388.851961523</v>
      </c>
      <c r="L68" s="10">
        <f>'[1]Depreciation schedule'!L251*AVERAGE('[1]Assumption Sheet'!G68/'[1]Depreciation schedule'!G251,'[1]Assumption Sheet'!H68/'[1]Depreciation schedule'!H251,'[1]Assumption Sheet'!I68/'[1]Depreciation schedule'!I251,'[1]Assumption Sheet'!J68/'[1]Depreciation schedule'!J251,'[1]Assumption Sheet'!K68/'[1]Depreciation schedule'!K251)</f>
        <v>12533953.314781489</v>
      </c>
    </row>
    <row r="69" spans="1:12" x14ac:dyDescent="0.3">
      <c r="A69" s="4" t="s">
        <v>68</v>
      </c>
      <c r="C69" s="10">
        <f t="shared" ref="C69:L69" si="18">SUM(C52:C68)</f>
        <v>2426295000</v>
      </c>
      <c r="D69" s="10">
        <f t="shared" si="18"/>
        <v>2137894000</v>
      </c>
      <c r="E69" s="10">
        <f t="shared" si="18"/>
        <v>2367862000</v>
      </c>
      <c r="F69" s="10">
        <f t="shared" si="18"/>
        <v>2438118000</v>
      </c>
      <c r="G69" s="10">
        <f t="shared" si="18"/>
        <v>2769744000</v>
      </c>
      <c r="H69" s="10">
        <f t="shared" si="18"/>
        <v>2244210542.0555396</v>
      </c>
      <c r="I69" s="10">
        <f t="shared" si="18"/>
        <v>2393319761.1498604</v>
      </c>
      <c r="J69" s="10">
        <f t="shared" si="18"/>
        <v>2462695774.3677258</v>
      </c>
      <c r="K69" s="10">
        <f t="shared" si="18"/>
        <v>2494866514.9436407</v>
      </c>
      <c r="L69" s="10">
        <f t="shared" si="18"/>
        <v>2515074062.6096878</v>
      </c>
    </row>
    <row r="70" spans="1:12" x14ac:dyDescent="0.3"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3">
      <c r="A71" s="11" t="s">
        <v>69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x14ac:dyDescent="0.3">
      <c r="A72" s="4" t="s">
        <v>52</v>
      </c>
      <c r="B72" s="4" t="s">
        <v>70</v>
      </c>
      <c r="C72" s="10">
        <v>758953000</v>
      </c>
      <c r="D72" s="10">
        <v>767824000</v>
      </c>
      <c r="E72" s="10">
        <v>809856000</v>
      </c>
      <c r="F72" s="10">
        <v>767326000</v>
      </c>
      <c r="G72" s="10">
        <v>795422000</v>
      </c>
      <c r="H72" s="10">
        <f>H17*AVERAGE(C72/C17,D72/D17,E72/E17,F72/F17,G72/G17)</f>
        <v>712480620.98228765</v>
      </c>
      <c r="I72" s="10">
        <f>I17*AVERAGE(D72/D17,E72/E17,F72/F17,G72/G17,H72/H17)</f>
        <v>775304423.45910299</v>
      </c>
      <c r="J72" s="10">
        <f>J17*AVERAGE(E72/E17,F72/F17,G72/G17,H72/H17,I72/I17)</f>
        <v>782199050.96699357</v>
      </c>
      <c r="K72" s="10">
        <f>K17*AVERAGE(F72/F17,G72/G17,H72/H17,I72/I17,J72/J17)</f>
        <v>780576334.568928</v>
      </c>
      <c r="L72" s="10">
        <f>L17*AVERAGE(G72/G17,H72/H17,I72/I17,J72/J17,K72/K17)</f>
        <v>786515485.76146996</v>
      </c>
    </row>
    <row r="73" spans="1:12" x14ac:dyDescent="0.3">
      <c r="A73" s="4" t="s">
        <v>60</v>
      </c>
      <c r="B73" s="4" t="s">
        <v>18</v>
      </c>
      <c r="C73" s="10">
        <v>49451000</v>
      </c>
      <c r="D73" s="10">
        <v>41857000</v>
      </c>
      <c r="E73" s="10">
        <v>41259000</v>
      </c>
      <c r="F73" s="10">
        <v>43053000</v>
      </c>
      <c r="G73" s="10">
        <v>41361000</v>
      </c>
      <c r="H73" s="10">
        <f t="shared" ref="H73:L78" si="19">AVERAGE(C73:G73)</f>
        <v>43396200</v>
      </c>
      <c r="I73" s="10">
        <f t="shared" si="19"/>
        <v>42185240</v>
      </c>
      <c r="J73" s="10">
        <f t="shared" si="19"/>
        <v>42250888</v>
      </c>
      <c r="K73" s="10">
        <f t="shared" si="19"/>
        <v>42449265.600000001</v>
      </c>
      <c r="L73" s="10">
        <f t="shared" si="19"/>
        <v>42328518.719999999</v>
      </c>
    </row>
    <row r="74" spans="1:12" x14ac:dyDescent="0.3">
      <c r="A74" s="4" t="s">
        <v>57</v>
      </c>
      <c r="B74" s="4" t="s">
        <v>18</v>
      </c>
      <c r="C74" s="10">
        <v>30732000</v>
      </c>
      <c r="D74" s="10">
        <v>29934000</v>
      </c>
      <c r="E74" s="10">
        <v>35142000</v>
      </c>
      <c r="F74" s="10">
        <v>36003000</v>
      </c>
      <c r="G74" s="10">
        <v>37818000</v>
      </c>
      <c r="H74" s="10">
        <f t="shared" si="19"/>
        <v>33925800</v>
      </c>
      <c r="I74" s="10">
        <f t="shared" si="19"/>
        <v>34564560</v>
      </c>
      <c r="J74" s="10">
        <f t="shared" si="19"/>
        <v>35490672</v>
      </c>
      <c r="K74" s="10">
        <f t="shared" si="19"/>
        <v>35560406.399999999</v>
      </c>
      <c r="L74" s="10">
        <f t="shared" si="19"/>
        <v>35471887.68</v>
      </c>
    </row>
    <row r="75" spans="1:12" x14ac:dyDescent="0.3">
      <c r="A75" s="4" t="s">
        <v>71</v>
      </c>
      <c r="B75" s="4" t="s">
        <v>18</v>
      </c>
      <c r="C75" s="10">
        <v>5247000</v>
      </c>
      <c r="D75" s="10">
        <v>4512000</v>
      </c>
      <c r="E75" s="10">
        <v>989000</v>
      </c>
      <c r="F75" s="10">
        <v>2116000</v>
      </c>
      <c r="G75" s="10">
        <v>1473000</v>
      </c>
      <c r="H75" s="10">
        <f t="shared" si="19"/>
        <v>2867400</v>
      </c>
      <c r="I75" s="10">
        <f t="shared" si="19"/>
        <v>2391480</v>
      </c>
      <c r="J75" s="10">
        <f t="shared" si="19"/>
        <v>1967376</v>
      </c>
      <c r="K75" s="10">
        <f t="shared" si="19"/>
        <v>2163051.2000000002</v>
      </c>
      <c r="L75" s="10">
        <f t="shared" si="19"/>
        <v>2172461.44</v>
      </c>
    </row>
    <row r="76" spans="1:12" x14ac:dyDescent="0.3">
      <c r="A76" s="4" t="s">
        <v>40</v>
      </c>
      <c r="B76" s="4" t="s">
        <v>18</v>
      </c>
      <c r="C76" s="10">
        <v>7145000</v>
      </c>
      <c r="D76" s="10">
        <v>7062000</v>
      </c>
      <c r="E76" s="10">
        <v>7881000</v>
      </c>
      <c r="F76" s="10">
        <v>7001000</v>
      </c>
      <c r="G76" s="10">
        <v>7814000</v>
      </c>
      <c r="H76" s="10">
        <f t="shared" si="19"/>
        <v>7380600</v>
      </c>
      <c r="I76" s="10">
        <f t="shared" si="19"/>
        <v>7427720</v>
      </c>
      <c r="J76" s="10">
        <f t="shared" si="19"/>
        <v>7500864</v>
      </c>
      <c r="K76" s="10">
        <f t="shared" si="19"/>
        <v>7424836.7999999998</v>
      </c>
      <c r="L76" s="10">
        <f t="shared" si="19"/>
        <v>7509604.1599999992</v>
      </c>
    </row>
    <row r="77" spans="1:12" x14ac:dyDescent="0.3">
      <c r="A77" s="4" t="s">
        <v>61</v>
      </c>
      <c r="B77" s="4" t="s">
        <v>18</v>
      </c>
      <c r="C77" s="10">
        <v>27453000</v>
      </c>
      <c r="D77" s="10">
        <v>24807000</v>
      </c>
      <c r="E77" s="10">
        <v>22836000</v>
      </c>
      <c r="F77" s="10">
        <v>20324000</v>
      </c>
      <c r="G77" s="10">
        <v>21751000</v>
      </c>
      <c r="H77" s="10">
        <f t="shared" si="19"/>
        <v>23434200</v>
      </c>
      <c r="I77" s="10">
        <f t="shared" si="19"/>
        <v>22630440</v>
      </c>
      <c r="J77" s="10">
        <f t="shared" si="19"/>
        <v>22195128</v>
      </c>
      <c r="K77" s="10">
        <f t="shared" si="19"/>
        <v>22066953.600000001</v>
      </c>
      <c r="L77" s="10">
        <f t="shared" si="19"/>
        <v>22415544.32</v>
      </c>
    </row>
    <row r="78" spans="1:12" x14ac:dyDescent="0.3">
      <c r="A78" s="4" t="s">
        <v>72</v>
      </c>
      <c r="B78" s="4" t="s">
        <v>18</v>
      </c>
      <c r="C78" s="10">
        <v>19769000</v>
      </c>
      <c r="D78" s="10">
        <v>22024000</v>
      </c>
      <c r="E78" s="10">
        <v>27291000</v>
      </c>
      <c r="F78" s="10">
        <v>24640000</v>
      </c>
      <c r="G78" s="10">
        <v>18945000</v>
      </c>
      <c r="H78" s="10">
        <f t="shared" si="19"/>
        <v>22533800</v>
      </c>
      <c r="I78" s="10">
        <f t="shared" si="19"/>
        <v>23086760</v>
      </c>
      <c r="J78" s="10">
        <f t="shared" si="19"/>
        <v>23299312</v>
      </c>
      <c r="K78" s="10">
        <f t="shared" si="19"/>
        <v>22500974.399999999</v>
      </c>
      <c r="L78" s="10">
        <f t="shared" si="19"/>
        <v>22073169.280000001</v>
      </c>
    </row>
    <row r="79" spans="1:12" x14ac:dyDescent="0.3">
      <c r="A79" s="4" t="s">
        <v>73</v>
      </c>
      <c r="B79" s="4" t="s">
        <v>74</v>
      </c>
      <c r="C79" s="10">
        <f t="shared" ref="C79:L79" si="20">C95</f>
        <v>3669000</v>
      </c>
      <c r="D79" s="10">
        <f t="shared" si="20"/>
        <v>4061000</v>
      </c>
      <c r="E79" s="10">
        <f t="shared" si="20"/>
        <v>4597000</v>
      </c>
      <c r="F79" s="10">
        <f t="shared" si="20"/>
        <v>5421000</v>
      </c>
      <c r="G79" s="10">
        <f t="shared" si="20"/>
        <v>5478000</v>
      </c>
      <c r="H79" s="10">
        <f t="shared" si="20"/>
        <v>5973523.9418185866</v>
      </c>
      <c r="I79" s="10">
        <f t="shared" si="20"/>
        <v>6489344.7428155644</v>
      </c>
      <c r="J79" s="10">
        <f t="shared" si="20"/>
        <v>7019015.5034032371</v>
      </c>
      <c r="K79" s="10">
        <f t="shared" si="20"/>
        <v>7535536.2660212601</v>
      </c>
      <c r="L79" s="10">
        <f t="shared" si="20"/>
        <v>7991180.3634749781</v>
      </c>
    </row>
    <row r="80" spans="1:12" x14ac:dyDescent="0.3">
      <c r="A80" s="4" t="s">
        <v>62</v>
      </c>
      <c r="B80" s="4" t="s">
        <v>70</v>
      </c>
      <c r="C80" s="10">
        <v>1074000</v>
      </c>
      <c r="D80" s="10">
        <v>717000</v>
      </c>
      <c r="E80" s="10">
        <v>388000</v>
      </c>
      <c r="F80" s="10">
        <v>703000</v>
      </c>
      <c r="G80" s="10">
        <v>633000</v>
      </c>
      <c r="H80" s="10">
        <f>H17*AVERAGE(C80/C17,D80/D17,E80/E17,F80/F17,G80/G17)</f>
        <v>642968.82025723858</v>
      </c>
      <c r="I80" s="10">
        <f>I17*AVERAGE(D80/D17,E80/E17,F80/F17,G80/G17,H80/H17)</f>
        <v>620111.68889143749</v>
      </c>
      <c r="J80" s="10">
        <f>J17*AVERAGE(E80/E17,F80/F17,G80/G17,H80/H17,I80/I17)</f>
        <v>602623.88513179123</v>
      </c>
      <c r="K80" s="10">
        <f>K17*AVERAGE(F80/F17,G80/G17,H80/H17,I80/I17,J80/J17)</f>
        <v>654034.81789721153</v>
      </c>
      <c r="L80" s="10">
        <f>L17*AVERAGE(G80/G17,H80/H17,I80/I17,J80/J17,K80/K17)</f>
        <v>646614.75046258396</v>
      </c>
    </row>
    <row r="81" spans="1:12" x14ac:dyDescent="0.3">
      <c r="A81" s="4" t="s">
        <v>59</v>
      </c>
      <c r="B81" s="4" t="s">
        <v>18</v>
      </c>
      <c r="C81" s="10">
        <v>7259000</v>
      </c>
      <c r="D81" s="10">
        <v>7487000</v>
      </c>
      <c r="E81" s="10">
        <v>5948000</v>
      </c>
      <c r="F81" s="10">
        <v>6632000</v>
      </c>
      <c r="G81" s="10">
        <v>6698000</v>
      </c>
      <c r="H81" s="10">
        <f t="shared" ref="H81:L85" si="21">AVERAGE(C81:G81)</f>
        <v>6804800</v>
      </c>
      <c r="I81" s="10">
        <f t="shared" si="21"/>
        <v>6713960</v>
      </c>
      <c r="J81" s="10">
        <f t="shared" si="21"/>
        <v>6559352</v>
      </c>
      <c r="K81" s="10">
        <f t="shared" si="21"/>
        <v>6681622.4000000004</v>
      </c>
      <c r="L81" s="10">
        <f t="shared" si="21"/>
        <v>6691546.8799999999</v>
      </c>
    </row>
    <row r="82" spans="1:12" x14ac:dyDescent="0.3">
      <c r="A82" s="4" t="s">
        <v>63</v>
      </c>
      <c r="B82" s="4" t="s">
        <v>18</v>
      </c>
      <c r="C82" s="10">
        <v>22591000</v>
      </c>
      <c r="D82" s="10">
        <v>26360000</v>
      </c>
      <c r="E82" s="10">
        <v>3821000</v>
      </c>
      <c r="F82" s="10">
        <v>4368000</v>
      </c>
      <c r="G82" s="10">
        <v>9342000</v>
      </c>
      <c r="H82" s="10">
        <f t="shared" si="21"/>
        <v>13296400</v>
      </c>
      <c r="I82" s="10">
        <f t="shared" si="21"/>
        <v>11437480</v>
      </c>
      <c r="J82" s="10">
        <f t="shared" si="21"/>
        <v>8452976</v>
      </c>
      <c r="K82" s="10">
        <f t="shared" si="21"/>
        <v>9379371.1999999993</v>
      </c>
      <c r="L82" s="10">
        <f t="shared" si="21"/>
        <v>10381645.440000001</v>
      </c>
    </row>
    <row r="83" spans="1:12" x14ac:dyDescent="0.3">
      <c r="A83" s="4" t="s">
        <v>64</v>
      </c>
      <c r="B83" s="4" t="s">
        <v>18</v>
      </c>
      <c r="C83" s="10">
        <v>19863000</v>
      </c>
      <c r="D83" s="10">
        <v>20606000</v>
      </c>
      <c r="E83" s="10">
        <v>21141000</v>
      </c>
      <c r="F83" s="10">
        <v>17205000</v>
      </c>
      <c r="G83" s="10">
        <v>17801000</v>
      </c>
      <c r="H83" s="10">
        <f t="shared" si="21"/>
        <v>19323200</v>
      </c>
      <c r="I83" s="10">
        <f t="shared" si="21"/>
        <v>19215240</v>
      </c>
      <c r="J83" s="10">
        <f t="shared" si="21"/>
        <v>18937088</v>
      </c>
      <c r="K83" s="10">
        <f t="shared" si="21"/>
        <v>18496305.600000001</v>
      </c>
      <c r="L83" s="10">
        <f t="shared" si="21"/>
        <v>18754566.719999999</v>
      </c>
    </row>
    <row r="84" spans="1:12" x14ac:dyDescent="0.3">
      <c r="A84" s="4" t="s">
        <v>65</v>
      </c>
      <c r="B84" s="4" t="s">
        <v>18</v>
      </c>
      <c r="C84" s="10">
        <v>22010000</v>
      </c>
      <c r="D84" s="10">
        <v>21561000</v>
      </c>
      <c r="E84" s="10">
        <v>16393000</v>
      </c>
      <c r="F84" s="10">
        <v>21082000</v>
      </c>
      <c r="G84" s="10">
        <v>21920000</v>
      </c>
      <c r="H84" s="10">
        <f t="shared" si="21"/>
        <v>20593200</v>
      </c>
      <c r="I84" s="10">
        <f t="shared" si="21"/>
        <v>20309840</v>
      </c>
      <c r="J84" s="10">
        <f t="shared" si="21"/>
        <v>20059608</v>
      </c>
      <c r="K84" s="10">
        <f t="shared" si="21"/>
        <v>20792929.600000001</v>
      </c>
      <c r="L84" s="10">
        <f t="shared" si="21"/>
        <v>20735115.52</v>
      </c>
    </row>
    <row r="85" spans="1:12" x14ac:dyDescent="0.3">
      <c r="A85" s="4" t="s">
        <v>66</v>
      </c>
      <c r="B85" s="4" t="s">
        <v>18</v>
      </c>
      <c r="C85" s="10">
        <v>3399000</v>
      </c>
      <c r="D85" s="10">
        <v>4242000</v>
      </c>
      <c r="E85" s="10">
        <v>3553000</v>
      </c>
      <c r="F85" s="10">
        <v>3853000</v>
      </c>
      <c r="G85" s="10">
        <v>5294000</v>
      </c>
      <c r="H85" s="10">
        <f t="shared" si="21"/>
        <v>4068200</v>
      </c>
      <c r="I85" s="10">
        <f t="shared" si="21"/>
        <v>4202040</v>
      </c>
      <c r="J85" s="10">
        <f t="shared" si="21"/>
        <v>4194048</v>
      </c>
      <c r="K85" s="10">
        <f t="shared" si="21"/>
        <v>4322257.5999999996</v>
      </c>
      <c r="L85" s="10">
        <f t="shared" si="21"/>
        <v>4416109.12</v>
      </c>
    </row>
    <row r="86" spans="1:12" x14ac:dyDescent="0.3">
      <c r="A86" s="4" t="s">
        <v>42</v>
      </c>
      <c r="B86" s="4" t="s">
        <v>75</v>
      </c>
      <c r="C86" s="10">
        <v>88053000</v>
      </c>
      <c r="D86" s="10">
        <v>86860000</v>
      </c>
      <c r="E86" s="10">
        <v>83586000</v>
      </c>
      <c r="F86" s="10">
        <v>80887000</v>
      </c>
      <c r="G86" s="10">
        <v>83873000</v>
      </c>
      <c r="H86" s="10">
        <f>'[1]Depreciation schedule'!H251*AVERAGE('[1]Assumption Sheet'!C86/'[1]Depreciation schedule'!C251,'[1]Assumption Sheet'!D86/'[1]Depreciation schedule'!D251,'[1]Assumption Sheet'!E86/'[1]Depreciation schedule'!E251,'[1]Assumption Sheet'!F86/'[1]Depreciation schedule'!F251,'[1]Assumption Sheet'!G86/'[1]Depreciation schedule'!G251)</f>
        <v>106590792.82470027</v>
      </c>
      <c r="I86" s="10">
        <f>'[1]Depreciation schedule'!I251*AVERAGE('[1]Assumption Sheet'!D86/'[1]Depreciation schedule'!D251,'[1]Assumption Sheet'!E86/'[1]Depreciation schedule'!E251,'[1]Assumption Sheet'!F86/'[1]Depreciation schedule'!F251,'[1]Assumption Sheet'!G86/'[1]Depreciation schedule'!G251,'[1]Assumption Sheet'!H86/'[1]Depreciation schedule'!H251)</f>
        <v>111295614.30491468</v>
      </c>
      <c r="J86" s="10">
        <f>'[1]Depreciation schedule'!J251*AVERAGE('[1]Assumption Sheet'!E86/'[1]Depreciation schedule'!E251,'[1]Assumption Sheet'!F86/'[1]Depreciation schedule'!F251,'[1]Assumption Sheet'!G86/'[1]Depreciation schedule'!G251,'[1]Assumption Sheet'!H86/'[1]Depreciation schedule'!H251,'[1]Assumption Sheet'!I86/'[1]Depreciation schedule'!I251)</f>
        <v>117746876.16749103</v>
      </c>
      <c r="K86" s="10">
        <f>'[1]Depreciation schedule'!K251*AVERAGE('[1]Assumption Sheet'!F86/'[1]Depreciation schedule'!F251,'[1]Assumption Sheet'!G86/'[1]Depreciation schedule'!G251,'[1]Assumption Sheet'!H86/'[1]Depreciation schedule'!H251,'[1]Assumption Sheet'!I86/'[1]Depreciation schedule'!I251,'[1]Assumption Sheet'!J86/'[1]Depreciation schedule'!J251)</f>
        <v>126723667.76842447</v>
      </c>
      <c r="L86" s="10">
        <f>'[1]Depreciation schedule'!L251*AVERAGE('[1]Assumption Sheet'!G86/'[1]Depreciation schedule'!G251,'[1]Assumption Sheet'!H86/'[1]Depreciation schedule'!H251,'[1]Assumption Sheet'!I86/'[1]Depreciation schedule'!I251,'[1]Assumption Sheet'!J86/'[1]Depreciation schedule'!J251,'[1]Assumption Sheet'!K86/'[1]Depreciation schedule'!K251)</f>
        <v>140024306.88989618</v>
      </c>
    </row>
    <row r="87" spans="1:12" x14ac:dyDescent="0.3">
      <c r="A87" s="4" t="s">
        <v>76</v>
      </c>
      <c r="B87" s="4" t="s">
        <v>18</v>
      </c>
      <c r="C87" s="10">
        <v>34990000</v>
      </c>
      <c r="D87" s="10">
        <v>47409000</v>
      </c>
      <c r="E87" s="10">
        <v>44040000</v>
      </c>
      <c r="F87" s="10">
        <v>33672000</v>
      </c>
      <c r="G87" s="10">
        <v>43268000</v>
      </c>
      <c r="H87" s="10">
        <f>AVERAGE(C87:G87)</f>
        <v>40675800</v>
      </c>
      <c r="I87" s="10">
        <f>AVERAGE(D87:H87)</f>
        <v>41812960</v>
      </c>
      <c r="J87" s="10">
        <f>AVERAGE(E87:I87)</f>
        <v>40693752</v>
      </c>
      <c r="K87" s="10">
        <f>AVERAGE(F87:J87)</f>
        <v>40024502.399999999</v>
      </c>
      <c r="L87" s="10">
        <f>AVERAGE(G87:K87)</f>
        <v>41295002.880000003</v>
      </c>
    </row>
    <row r="88" spans="1:12" x14ac:dyDescent="0.3">
      <c r="A88" s="4" t="s">
        <v>77</v>
      </c>
      <c r="C88" s="10">
        <f t="shared" ref="C88:L88" si="22">SUM(C72:C87)</f>
        <v>1101658000</v>
      </c>
      <c r="D88" s="10">
        <f t="shared" si="22"/>
        <v>1117323000</v>
      </c>
      <c r="E88" s="10">
        <f t="shared" si="22"/>
        <v>1128721000</v>
      </c>
      <c r="F88" s="10">
        <f t="shared" si="22"/>
        <v>1074286000</v>
      </c>
      <c r="G88" s="10">
        <f t="shared" si="22"/>
        <v>1118891000</v>
      </c>
      <c r="H88" s="10">
        <f t="shared" si="22"/>
        <v>1063987506.5690637</v>
      </c>
      <c r="I88" s="10">
        <f t="shared" si="22"/>
        <v>1129687214.1957247</v>
      </c>
      <c r="J88" s="10">
        <f t="shared" si="22"/>
        <v>1139168630.5230196</v>
      </c>
      <c r="K88" s="10">
        <f t="shared" si="22"/>
        <v>1147352050.221271</v>
      </c>
      <c r="L88" s="10">
        <f t="shared" si="22"/>
        <v>1169422759.9253039</v>
      </c>
    </row>
    <row r="89" spans="1:12" x14ac:dyDescent="0.3"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x14ac:dyDescent="0.3">
      <c r="A90" s="4" t="s">
        <v>73</v>
      </c>
      <c r="C90" s="22">
        <v>1</v>
      </c>
      <c r="D90" s="22">
        <v>2</v>
      </c>
      <c r="E90" s="22">
        <v>3</v>
      </c>
      <c r="F90" s="22">
        <v>4</v>
      </c>
      <c r="G90" s="22">
        <v>5</v>
      </c>
      <c r="H90" s="23">
        <v>6</v>
      </c>
      <c r="I90" s="23">
        <v>7</v>
      </c>
      <c r="J90" s="23">
        <v>8</v>
      </c>
      <c r="K90" s="23">
        <v>9</v>
      </c>
      <c r="L90" s="23">
        <v>10</v>
      </c>
    </row>
    <row r="91" spans="1:12" x14ac:dyDescent="0.3">
      <c r="A91" s="4" t="s">
        <v>78</v>
      </c>
      <c r="C91" s="10">
        <v>2933000</v>
      </c>
      <c r="D91" s="10">
        <v>3226000</v>
      </c>
      <c r="E91" s="10">
        <v>3549000</v>
      </c>
      <c r="F91" s="10">
        <v>3903000</v>
      </c>
      <c r="G91" s="10">
        <v>4293000</v>
      </c>
      <c r="H91" s="10">
        <f>FORECAST(H90,C91:G91,C90:G90)</f>
        <v>4599900</v>
      </c>
      <c r="I91" s="10">
        <f>FORECAST(I90,D91:H91,D90:H90)</f>
        <v>4961720</v>
      </c>
      <c r="J91" s="10">
        <f>FORECAST(J90,E91:I91,E90:I90)</f>
        <v>5318026</v>
      </c>
      <c r="K91" s="10">
        <f>FORECAST(K90,F91:J91,F90:J90)</f>
        <v>5664760.8000000007</v>
      </c>
      <c r="L91" s="10">
        <f>FORECAST(L90,G91:K91,G90:K90)</f>
        <v>6005975.6400000006</v>
      </c>
    </row>
    <row r="92" spans="1:12" x14ac:dyDescent="0.3">
      <c r="A92" s="4" t="s">
        <v>79</v>
      </c>
      <c r="C92" s="10">
        <v>614000</v>
      </c>
      <c r="D92" s="10">
        <v>710000</v>
      </c>
      <c r="E92" s="10">
        <v>781000</v>
      </c>
      <c r="F92" s="10">
        <v>859000</v>
      </c>
      <c r="G92" s="10">
        <v>945000</v>
      </c>
      <c r="H92" s="10">
        <f>G92*AVERAGE(G92/F92,F92/E92,E92/D92,D92/C92)</f>
        <v>1052810.363979649</v>
      </c>
      <c r="I92" s="10">
        <f>H92*AVERAGE(H92/G92,G92/F92,F92/E92,E92/D92)</f>
        <v>1161795.5595935856</v>
      </c>
      <c r="J92" s="10">
        <f>I92*AVERAGE(I92/H92,H92/G92,G92/F92,F92/E92)</f>
        <v>1283084.6251526552</v>
      </c>
      <c r="K92" s="10">
        <f>J92*AVERAGE(J92/I92,I92/H92,H92/G92,G92/F92)</f>
        <v>1418487.8243777258</v>
      </c>
      <c r="L92" s="10">
        <f>K92*AVERAGE(K92/J92,J92/I92,I92/H92,H92/G92)</f>
        <v>1570099.6240589379</v>
      </c>
    </row>
    <row r="93" spans="1:12" x14ac:dyDescent="0.3">
      <c r="A93" s="4" t="s">
        <v>80</v>
      </c>
      <c r="B93" s="4" t="s">
        <v>18</v>
      </c>
      <c r="C93" s="10">
        <v>0</v>
      </c>
      <c r="D93" s="10">
        <v>0</v>
      </c>
      <c r="E93" s="10">
        <v>130000</v>
      </c>
      <c r="F93" s="10">
        <v>509000</v>
      </c>
      <c r="G93" s="10">
        <v>75000</v>
      </c>
      <c r="H93" s="10">
        <f>AVERAGE(C93:G93)</f>
        <v>142800</v>
      </c>
      <c r="I93" s="10">
        <f>AVERAGE(D93:H93)</f>
        <v>171360</v>
      </c>
      <c r="J93" s="10">
        <f>AVERAGE(E93:I93)</f>
        <v>205632</v>
      </c>
      <c r="K93" s="10">
        <f>AVERAGE(F93:J93)</f>
        <v>220758.39999999999</v>
      </c>
      <c r="L93" s="10">
        <f>AVERAGE(G93:K93)</f>
        <v>163110.08000000002</v>
      </c>
    </row>
    <row r="94" spans="1:12" x14ac:dyDescent="0.3">
      <c r="A94" s="4" t="s">
        <v>81</v>
      </c>
      <c r="B94" s="4" t="s">
        <v>74</v>
      </c>
      <c r="C94" s="10">
        <v>122000</v>
      </c>
      <c r="D94" s="10">
        <v>125000</v>
      </c>
      <c r="E94" s="10">
        <v>137000</v>
      </c>
      <c r="F94" s="10">
        <v>150000</v>
      </c>
      <c r="G94" s="10">
        <v>165000</v>
      </c>
      <c r="H94" s="10">
        <f>G94*AVERAGE(G94/F94,F94/E94,E94/D94,D94/C94)</f>
        <v>178013.57783893743</v>
      </c>
      <c r="I94" s="10">
        <f>H94*AVERAGE(H94/G94,G94/F94,F94/E94,E94/D94)</f>
        <v>194469.18322197924</v>
      </c>
      <c r="J94" s="10">
        <f>I94*AVERAGE(I94/H94,H94/G94,G94/F94,F94/E94)</f>
        <v>212272.87825058232</v>
      </c>
      <c r="K94" s="10">
        <f>J94*AVERAGE(J94/I94,I94/H94,H94/G94,G94/F94)</f>
        <v>231529.24164353349</v>
      </c>
      <c r="L94" s="10">
        <f>K94*AVERAGE(K94/J94,J94/I94,I94/H94,H94/G94)</f>
        <v>251995.01941603961</v>
      </c>
    </row>
    <row r="95" spans="1:12" x14ac:dyDescent="0.3">
      <c r="A95" s="24" t="s">
        <v>73</v>
      </c>
      <c r="B95" s="24"/>
      <c r="C95" s="21">
        <f t="shared" ref="C95:L95" si="23">SUM(C91:C94)</f>
        <v>3669000</v>
      </c>
      <c r="D95" s="21">
        <f t="shared" si="23"/>
        <v>4061000</v>
      </c>
      <c r="E95" s="21">
        <f t="shared" si="23"/>
        <v>4597000</v>
      </c>
      <c r="F95" s="21">
        <f t="shared" si="23"/>
        <v>5421000</v>
      </c>
      <c r="G95" s="21">
        <f t="shared" si="23"/>
        <v>5478000</v>
      </c>
      <c r="H95" s="21">
        <f t="shared" si="23"/>
        <v>5973523.9418185866</v>
      </c>
      <c r="I95" s="21">
        <f t="shared" si="23"/>
        <v>6489344.7428155644</v>
      </c>
      <c r="J95" s="21">
        <f t="shared" si="23"/>
        <v>7019015.5034032371</v>
      </c>
      <c r="K95" s="21">
        <f t="shared" si="23"/>
        <v>7535536.2660212601</v>
      </c>
      <c r="L95" s="21">
        <f t="shared" si="23"/>
        <v>7991180.3634749781</v>
      </c>
    </row>
    <row r="96" spans="1:12" x14ac:dyDescent="0.3">
      <c r="A96" s="4" t="s">
        <v>82</v>
      </c>
      <c r="C96" s="10"/>
      <c r="D96" s="12"/>
      <c r="E96" s="12"/>
      <c r="F96" s="12"/>
      <c r="G96" s="12"/>
      <c r="H96" s="10"/>
      <c r="I96" s="10"/>
      <c r="J96" s="10"/>
      <c r="K96" s="10"/>
      <c r="L96" s="10"/>
    </row>
    <row r="97" spans="1:12" x14ac:dyDescent="0.3"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3">
      <c r="A98" s="11" t="s">
        <v>83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3">
      <c r="A99" s="4" t="s">
        <v>84</v>
      </c>
      <c r="B99" s="4" t="s">
        <v>18</v>
      </c>
      <c r="C99" s="10">
        <v>230465000</v>
      </c>
      <c r="D99" s="10">
        <v>301483000</v>
      </c>
      <c r="E99" s="10">
        <v>192734000</v>
      </c>
      <c r="F99" s="10">
        <v>184164000</v>
      </c>
      <c r="G99" s="10">
        <v>331747000</v>
      </c>
      <c r="H99" s="10">
        <f t="shared" ref="H99:L100" si="24">AVERAGE(C99:G99)</f>
        <v>248118600</v>
      </c>
      <c r="I99" s="10">
        <f t="shared" si="24"/>
        <v>251649320</v>
      </c>
      <c r="J99" s="10">
        <f t="shared" si="24"/>
        <v>241682584</v>
      </c>
      <c r="K99" s="10">
        <f t="shared" si="24"/>
        <v>251472300.80000001</v>
      </c>
      <c r="L99" s="10">
        <f t="shared" si="24"/>
        <v>264933960.95999998</v>
      </c>
    </row>
    <row r="100" spans="1:12" x14ac:dyDescent="0.3">
      <c r="A100" s="4" t="s">
        <v>85</v>
      </c>
      <c r="B100" s="4" t="s">
        <v>18</v>
      </c>
      <c r="C100" s="10">
        <v>127600000</v>
      </c>
      <c r="D100" s="10">
        <v>4004000</v>
      </c>
      <c r="E100" s="10">
        <v>5504000</v>
      </c>
      <c r="F100" s="10">
        <v>0</v>
      </c>
      <c r="G100" s="10">
        <v>0</v>
      </c>
      <c r="H100" s="10">
        <f t="shared" si="24"/>
        <v>27421600</v>
      </c>
      <c r="I100" s="10">
        <f t="shared" si="24"/>
        <v>7385920</v>
      </c>
      <c r="J100" s="10">
        <f t="shared" si="24"/>
        <v>8062304</v>
      </c>
      <c r="K100" s="10">
        <f t="shared" si="24"/>
        <v>8573964.8000000007</v>
      </c>
      <c r="L100" s="10">
        <f t="shared" si="24"/>
        <v>10288757.76</v>
      </c>
    </row>
    <row r="101" spans="1:12" x14ac:dyDescent="0.3">
      <c r="A101" s="4" t="s">
        <v>86</v>
      </c>
      <c r="C101" s="10">
        <v>7198000</v>
      </c>
      <c r="D101" s="10">
        <v>6477000</v>
      </c>
      <c r="E101" s="10">
        <v>5830000</v>
      </c>
      <c r="F101" s="10">
        <v>5311000</v>
      </c>
      <c r="G101" s="10">
        <v>4922000</v>
      </c>
      <c r="H101" s="10">
        <f>'[1]Depreciation schedule'!H274</f>
        <v>6712290.3253481761</v>
      </c>
      <c r="I101" s="10">
        <f>'[1]Depreciation schedule'!I274</f>
        <v>5426512.061133489</v>
      </c>
      <c r="J101" s="10">
        <f>'[1]Depreciation schedule'!J274</f>
        <v>5131215.4220230328</v>
      </c>
      <c r="K101" s="10">
        <f>'[1]Depreciation schedule'!K274</f>
        <v>4878986.1622343548</v>
      </c>
      <c r="L101" s="10">
        <f>'[1]Depreciation schedule'!L274</f>
        <v>4635390.7765522227</v>
      </c>
    </row>
    <row r="102" spans="1:12" x14ac:dyDescent="0.3">
      <c r="A102" s="4" t="s">
        <v>87</v>
      </c>
      <c r="B102" s="4" t="s">
        <v>18</v>
      </c>
      <c r="C102" s="10">
        <v>0</v>
      </c>
      <c r="D102" s="10">
        <v>4753000</v>
      </c>
      <c r="E102" s="10">
        <v>2224000</v>
      </c>
      <c r="F102" s="10">
        <v>0</v>
      </c>
      <c r="G102" s="10">
        <v>14513000</v>
      </c>
      <c r="H102" s="10">
        <f>AVERAGE(C102:G102)</f>
        <v>4298000</v>
      </c>
      <c r="I102" s="10">
        <f>AVERAGE(D102:H102)</f>
        <v>5157600</v>
      </c>
      <c r="J102" s="10">
        <f>AVERAGE(E102:I102)</f>
        <v>5238520</v>
      </c>
      <c r="K102" s="10">
        <f>AVERAGE(F102:J102)</f>
        <v>5841424</v>
      </c>
      <c r="L102" s="10">
        <f>AVERAGE(G102:K102)</f>
        <v>7009708.7999999998</v>
      </c>
    </row>
    <row r="103" spans="1:12" x14ac:dyDescent="0.3">
      <c r="A103" s="4" t="s">
        <v>88</v>
      </c>
      <c r="B103" s="4" t="s">
        <v>20</v>
      </c>
      <c r="C103" s="10">
        <v>0</v>
      </c>
      <c r="D103" s="10">
        <v>0</v>
      </c>
      <c r="E103" s="10">
        <v>0</v>
      </c>
      <c r="F103" s="10">
        <v>0</v>
      </c>
      <c r="G103" s="10">
        <v>9950000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</row>
    <row r="104" spans="1:12" x14ac:dyDescent="0.3">
      <c r="A104" s="4" t="s">
        <v>89</v>
      </c>
      <c r="B104" s="4" t="s">
        <v>18</v>
      </c>
      <c r="C104" s="10">
        <v>879000</v>
      </c>
      <c r="D104" s="10">
        <v>169000</v>
      </c>
      <c r="E104" s="10">
        <v>1215000</v>
      </c>
      <c r="F104" s="10">
        <v>255000</v>
      </c>
      <c r="G104" s="10">
        <v>0</v>
      </c>
      <c r="H104" s="10">
        <f>AVERAGE(C104:G104)</f>
        <v>503600</v>
      </c>
      <c r="I104" s="10">
        <f>AVERAGE(D104:H104)</f>
        <v>428520</v>
      </c>
      <c r="J104" s="10">
        <f>AVERAGE(E104:I104)</f>
        <v>480424</v>
      </c>
      <c r="K104" s="10">
        <f>AVERAGE(F104:J104)</f>
        <v>333508.8</v>
      </c>
      <c r="L104" s="10">
        <f>AVERAGE(G104:K104)</f>
        <v>349210.56</v>
      </c>
    </row>
    <row r="105" spans="1:12" x14ac:dyDescent="0.3">
      <c r="A105" s="4" t="s">
        <v>90</v>
      </c>
      <c r="C105" s="10">
        <f t="shared" ref="C105:L105" si="25">SUM(C99:C104)</f>
        <v>366142000</v>
      </c>
      <c r="D105" s="10">
        <f t="shared" si="25"/>
        <v>316886000</v>
      </c>
      <c r="E105" s="10">
        <f t="shared" si="25"/>
        <v>207507000</v>
      </c>
      <c r="F105" s="10">
        <f t="shared" si="25"/>
        <v>189730000</v>
      </c>
      <c r="G105" s="10">
        <f t="shared" si="25"/>
        <v>361132000</v>
      </c>
      <c r="H105" s="10">
        <f t="shared" si="25"/>
        <v>287054090.3253482</v>
      </c>
      <c r="I105" s="10">
        <f t="shared" si="25"/>
        <v>270047872.0611335</v>
      </c>
      <c r="J105" s="10">
        <f t="shared" si="25"/>
        <v>260595047.42202303</v>
      </c>
      <c r="K105" s="10">
        <f t="shared" si="25"/>
        <v>271100184.5622344</v>
      </c>
      <c r="L105" s="10">
        <f t="shared" si="25"/>
        <v>287217028.85655218</v>
      </c>
    </row>
    <row r="107" spans="1:12" x14ac:dyDescent="0.3">
      <c r="A107" s="11" t="s">
        <v>91</v>
      </c>
    </row>
    <row r="108" spans="1:12" x14ac:dyDescent="0.3">
      <c r="A108" s="4" t="s">
        <v>92</v>
      </c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2" x14ac:dyDescent="0.3">
      <c r="A109" s="4" t="s">
        <v>93</v>
      </c>
      <c r="B109" s="4" t="s">
        <v>18</v>
      </c>
      <c r="C109" s="10">
        <v>2947006000</v>
      </c>
      <c r="D109" s="10">
        <v>3700227000</v>
      </c>
      <c r="E109" s="10">
        <v>3403733000</v>
      </c>
      <c r="F109" s="10">
        <v>3391397000</v>
      </c>
      <c r="G109" s="10">
        <v>3029845000</v>
      </c>
      <c r="H109" s="10">
        <f t="shared" ref="H109:L110" si="26">AVERAGE(C109:G109)</f>
        <v>3294441600</v>
      </c>
      <c r="I109" s="10">
        <f t="shared" si="26"/>
        <v>3363928720</v>
      </c>
      <c r="J109" s="10">
        <f t="shared" si="26"/>
        <v>3296669064</v>
      </c>
      <c r="K109" s="10">
        <f t="shared" si="26"/>
        <v>3275256276.8000002</v>
      </c>
      <c r="L109" s="10">
        <f t="shared" si="26"/>
        <v>3252028132.1599998</v>
      </c>
    </row>
    <row r="110" spans="1:12" x14ac:dyDescent="0.3">
      <c r="A110" s="4" t="s">
        <v>94</v>
      </c>
      <c r="B110" s="4" t="s">
        <v>18</v>
      </c>
      <c r="C110" s="10">
        <v>59764000</v>
      </c>
      <c r="D110" s="10">
        <v>27609000</v>
      </c>
      <c r="E110" s="10">
        <v>29531000</v>
      </c>
      <c r="F110" s="10">
        <v>61000</v>
      </c>
      <c r="G110" s="10">
        <v>961000</v>
      </c>
      <c r="H110" s="10">
        <f t="shared" si="26"/>
        <v>23585200</v>
      </c>
      <c r="I110" s="10">
        <f t="shared" si="26"/>
        <v>16349440</v>
      </c>
      <c r="J110" s="10">
        <f t="shared" si="26"/>
        <v>14097528</v>
      </c>
      <c r="K110" s="10">
        <f t="shared" si="26"/>
        <v>11010833.6</v>
      </c>
      <c r="L110" s="10">
        <f t="shared" si="26"/>
        <v>13200800.32</v>
      </c>
    </row>
    <row r="111" spans="1:12" x14ac:dyDescent="0.3">
      <c r="A111" s="4" t="s">
        <v>95</v>
      </c>
      <c r="B111" s="4" t="s">
        <v>18</v>
      </c>
      <c r="C111" s="10">
        <v>24144000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</row>
    <row r="112" spans="1:12" x14ac:dyDescent="0.3">
      <c r="A112" s="4" t="s">
        <v>96</v>
      </c>
      <c r="B112" s="4" t="s">
        <v>18</v>
      </c>
      <c r="C112" s="10">
        <v>188833000</v>
      </c>
      <c r="D112" s="10">
        <v>0</v>
      </c>
      <c r="E112" s="10">
        <v>143040000</v>
      </c>
      <c r="F112" s="10">
        <v>256593000</v>
      </c>
      <c r="G112" s="10">
        <v>1437722000</v>
      </c>
      <c r="H112" s="10">
        <f>AVERAGE(C112:G112)</f>
        <v>405237600</v>
      </c>
      <c r="I112" s="10">
        <f>AVERAGE(D112:H112)</f>
        <v>448518520</v>
      </c>
      <c r="J112" s="10">
        <f>AVERAGE(E112:I112)</f>
        <v>538222224</v>
      </c>
      <c r="K112" s="10">
        <f>AVERAGE(F112:J112)</f>
        <v>617258668.79999995</v>
      </c>
      <c r="L112" s="10">
        <f>AVERAGE(G112:K112)</f>
        <v>689391802.56000006</v>
      </c>
    </row>
    <row r="113" spans="1:12" x14ac:dyDescent="0.3">
      <c r="A113" s="4" t="s">
        <v>97</v>
      </c>
      <c r="B113" s="4" t="s">
        <v>20</v>
      </c>
      <c r="C113" s="10">
        <v>0</v>
      </c>
      <c r="D113" s="10">
        <v>0</v>
      </c>
      <c r="E113" s="10">
        <v>0</v>
      </c>
      <c r="F113" s="10">
        <v>0</v>
      </c>
      <c r="G113" s="10">
        <v>4106000</v>
      </c>
      <c r="H113" s="10">
        <v>0</v>
      </c>
      <c r="I113" s="10">
        <v>0</v>
      </c>
      <c r="J113" s="10">
        <v>0</v>
      </c>
      <c r="K113" s="10">
        <v>0</v>
      </c>
      <c r="L113" s="4">
        <v>0</v>
      </c>
    </row>
    <row r="114" spans="1:12" x14ac:dyDescent="0.3">
      <c r="A114" s="25" t="s">
        <v>98</v>
      </c>
      <c r="B114" s="25" t="s">
        <v>18</v>
      </c>
      <c r="C114" s="26">
        <v>215382000</v>
      </c>
      <c r="D114" s="26">
        <v>118324000</v>
      </c>
      <c r="E114" s="26">
        <v>134790000</v>
      </c>
      <c r="F114" s="26">
        <v>177205000</v>
      </c>
      <c r="G114" s="26">
        <v>362482000</v>
      </c>
      <c r="H114" s="26">
        <f>AVERAGE(C114:G114)</f>
        <v>201636600</v>
      </c>
      <c r="I114" s="26">
        <f>AVERAGE(D114:H114)</f>
        <v>198887520</v>
      </c>
      <c r="J114" s="26">
        <f>AVERAGE(E114:I114)</f>
        <v>215000224</v>
      </c>
      <c r="K114" s="26">
        <f>AVERAGE(F114:J114)</f>
        <v>231042268.80000001</v>
      </c>
      <c r="L114" s="26">
        <f>AVERAGE(G114:K114)</f>
        <v>241809722.56</v>
      </c>
    </row>
    <row r="115" spans="1:12" x14ac:dyDescent="0.3">
      <c r="C115" s="10">
        <f t="shared" ref="C115:L115" si="27">SUM(C109:C114)</f>
        <v>3435129000</v>
      </c>
      <c r="D115" s="10">
        <f t="shared" si="27"/>
        <v>3846160000</v>
      </c>
      <c r="E115" s="10">
        <f t="shared" si="27"/>
        <v>3711094000</v>
      </c>
      <c r="F115" s="10">
        <f t="shared" si="27"/>
        <v>3825256000</v>
      </c>
      <c r="G115" s="10">
        <f t="shared" si="27"/>
        <v>4835116000</v>
      </c>
      <c r="H115" s="10">
        <f t="shared" si="27"/>
        <v>3924901000</v>
      </c>
      <c r="I115" s="10">
        <f t="shared" si="27"/>
        <v>4027684200</v>
      </c>
      <c r="J115" s="10">
        <f t="shared" si="27"/>
        <v>4063989040</v>
      </c>
      <c r="K115" s="10">
        <f t="shared" si="27"/>
        <v>4134568048</v>
      </c>
      <c r="L115" s="10">
        <f t="shared" si="27"/>
        <v>4196430457.5999999</v>
      </c>
    </row>
    <row r="116" spans="1:12" x14ac:dyDescent="0.3">
      <c r="A116" s="4" t="s">
        <v>99</v>
      </c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2" x14ac:dyDescent="0.3">
      <c r="A117" s="4" t="s">
        <v>100</v>
      </c>
      <c r="B117" s="4" t="s">
        <v>101</v>
      </c>
      <c r="C117" s="10">
        <v>20069000</v>
      </c>
      <c r="D117" s="10">
        <v>26808000</v>
      </c>
      <c r="E117" s="10">
        <v>0</v>
      </c>
      <c r="F117" s="10">
        <v>10222000</v>
      </c>
      <c r="G117" s="10">
        <v>35434000</v>
      </c>
      <c r="H117" s="10"/>
      <c r="I117" s="10"/>
      <c r="J117" s="10"/>
      <c r="K117" s="10"/>
    </row>
    <row r="118" spans="1:12" x14ac:dyDescent="0.3">
      <c r="A118" s="4" t="s">
        <v>102</v>
      </c>
      <c r="B118" s="4" t="s">
        <v>18</v>
      </c>
      <c r="C118" s="10">
        <v>143820000</v>
      </c>
      <c r="D118" s="10">
        <v>124461000</v>
      </c>
      <c r="E118" s="10">
        <v>114052000</v>
      </c>
      <c r="F118" s="10">
        <v>158823000</v>
      </c>
      <c r="G118" s="10">
        <v>147570000</v>
      </c>
      <c r="H118" s="10">
        <f t="shared" ref="H118:L120" si="28">AVERAGE(C118:G118)</f>
        <v>137745200</v>
      </c>
      <c r="I118" s="10">
        <f t="shared" si="28"/>
        <v>136530240</v>
      </c>
      <c r="J118" s="10">
        <f t="shared" si="28"/>
        <v>138944088</v>
      </c>
      <c r="K118" s="10">
        <f t="shared" si="28"/>
        <v>143922505.59999999</v>
      </c>
      <c r="L118" s="10">
        <f t="shared" si="28"/>
        <v>140942406.72</v>
      </c>
    </row>
    <row r="119" spans="1:12" x14ac:dyDescent="0.3">
      <c r="A119" s="4" t="s">
        <v>103</v>
      </c>
      <c r="B119" s="4" t="s">
        <v>18</v>
      </c>
      <c r="C119" s="10">
        <v>370831000</v>
      </c>
      <c r="D119" s="10">
        <v>73150000</v>
      </c>
      <c r="E119" s="10">
        <v>80319000</v>
      </c>
      <c r="F119" s="10">
        <v>96758000</v>
      </c>
      <c r="G119" s="10">
        <v>131682000</v>
      </c>
      <c r="H119" s="10">
        <f t="shared" si="28"/>
        <v>150548000</v>
      </c>
      <c r="I119" s="10">
        <f t="shared" si="28"/>
        <v>106491400</v>
      </c>
      <c r="J119" s="10">
        <f t="shared" si="28"/>
        <v>113159680</v>
      </c>
      <c r="K119" s="10">
        <f t="shared" si="28"/>
        <v>119727816</v>
      </c>
      <c r="L119" s="10">
        <f t="shared" si="28"/>
        <v>124321779.2</v>
      </c>
    </row>
    <row r="120" spans="1:12" x14ac:dyDescent="0.3">
      <c r="A120" s="4" t="s">
        <v>104</v>
      </c>
      <c r="C120" s="10">
        <v>1096000</v>
      </c>
      <c r="D120" s="10">
        <v>859000</v>
      </c>
      <c r="E120" s="10">
        <v>619000</v>
      </c>
      <c r="F120" s="10">
        <v>147000</v>
      </c>
      <c r="G120" s="10">
        <v>66000</v>
      </c>
      <c r="H120" s="10">
        <f t="shared" si="28"/>
        <v>557400</v>
      </c>
      <c r="I120" s="10">
        <f t="shared" si="28"/>
        <v>449680</v>
      </c>
      <c r="J120" s="10">
        <f t="shared" si="28"/>
        <v>367816</v>
      </c>
      <c r="K120" s="10">
        <f t="shared" si="28"/>
        <v>317579.2</v>
      </c>
      <c r="L120" s="10">
        <f t="shared" si="28"/>
        <v>351695.04</v>
      </c>
    </row>
    <row r="121" spans="1:12" x14ac:dyDescent="0.3">
      <c r="A121" s="4" t="s">
        <v>105</v>
      </c>
      <c r="B121" s="4" t="s">
        <v>20</v>
      </c>
      <c r="C121" s="10">
        <v>0</v>
      </c>
      <c r="D121" s="10">
        <v>0</v>
      </c>
      <c r="E121" s="10">
        <v>346655000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4">
        <v>0</v>
      </c>
    </row>
    <row r="122" spans="1:12" x14ac:dyDescent="0.3">
      <c r="A122" s="25" t="s">
        <v>106</v>
      </c>
      <c r="B122" s="25" t="s">
        <v>18</v>
      </c>
      <c r="C122" s="26">
        <v>11064000</v>
      </c>
      <c r="D122" s="26">
        <v>7616000</v>
      </c>
      <c r="E122" s="26">
        <v>6927000</v>
      </c>
      <c r="F122" s="26">
        <v>11433000</v>
      </c>
      <c r="G122" s="26">
        <v>8512000</v>
      </c>
      <c r="H122" s="26">
        <f>AVERAGE(C122:G122)</f>
        <v>9110400</v>
      </c>
      <c r="I122" s="26">
        <f>AVERAGE(D122:H122)</f>
        <v>8719680</v>
      </c>
      <c r="J122" s="26">
        <f>AVERAGE(E122:I122)</f>
        <v>8940416</v>
      </c>
      <c r="K122" s="26">
        <f>AVERAGE(F122:J122)</f>
        <v>9343099.1999999993</v>
      </c>
      <c r="L122" s="26">
        <f>AVERAGE(G122:K122)</f>
        <v>8925119.040000001</v>
      </c>
    </row>
    <row r="123" spans="1:12" x14ac:dyDescent="0.3">
      <c r="C123" s="10">
        <f t="shared" ref="C123:L123" si="29">SUM(C117:C122)</f>
        <v>546880000</v>
      </c>
      <c r="D123" s="10">
        <f t="shared" si="29"/>
        <v>232894000</v>
      </c>
      <c r="E123" s="10">
        <f t="shared" si="29"/>
        <v>548572000</v>
      </c>
      <c r="F123" s="10">
        <f t="shared" si="29"/>
        <v>277383000</v>
      </c>
      <c r="G123" s="10">
        <f t="shared" si="29"/>
        <v>323264000</v>
      </c>
      <c r="H123" s="10">
        <f t="shared" si="29"/>
        <v>297961000</v>
      </c>
      <c r="I123" s="10">
        <f t="shared" si="29"/>
        <v>252191000</v>
      </c>
      <c r="J123" s="10">
        <f t="shared" si="29"/>
        <v>261412000</v>
      </c>
      <c r="K123" s="10">
        <f t="shared" si="29"/>
        <v>273311000</v>
      </c>
      <c r="L123" s="10">
        <f t="shared" si="29"/>
        <v>274541000</v>
      </c>
    </row>
    <row r="124" spans="1:12" x14ac:dyDescent="0.3">
      <c r="A124" s="4" t="s">
        <v>107</v>
      </c>
      <c r="C124" s="10">
        <f t="shared" ref="C124:L124" si="30">C123+C115</f>
        <v>3982009000</v>
      </c>
      <c r="D124" s="10">
        <f t="shared" si="30"/>
        <v>4079054000</v>
      </c>
      <c r="E124" s="10">
        <f t="shared" si="30"/>
        <v>4259666000</v>
      </c>
      <c r="F124" s="10">
        <f t="shared" si="30"/>
        <v>4102639000</v>
      </c>
      <c r="G124" s="10">
        <f t="shared" si="30"/>
        <v>5158380000</v>
      </c>
      <c r="H124" s="10">
        <f t="shared" si="30"/>
        <v>4222862000</v>
      </c>
      <c r="I124" s="10">
        <f t="shared" si="30"/>
        <v>4279875200</v>
      </c>
      <c r="J124" s="10">
        <f t="shared" si="30"/>
        <v>4325401040</v>
      </c>
      <c r="K124" s="10">
        <f t="shared" si="30"/>
        <v>4407879048</v>
      </c>
      <c r="L124" s="10">
        <f t="shared" si="30"/>
        <v>4470971457.6000004</v>
      </c>
    </row>
    <row r="125" spans="1:12" x14ac:dyDescent="0.3"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2" x14ac:dyDescent="0.3">
      <c r="A126" s="11" t="s">
        <v>108</v>
      </c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2" x14ac:dyDescent="0.3">
      <c r="A127" s="4" t="s">
        <v>109</v>
      </c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2" x14ac:dyDescent="0.3">
      <c r="A128" s="4" t="s">
        <v>110</v>
      </c>
      <c r="B128" s="4" t="s">
        <v>111</v>
      </c>
      <c r="C128" s="10">
        <v>739633000</v>
      </c>
      <c r="D128" s="10">
        <v>462445000</v>
      </c>
      <c r="E128" s="10">
        <v>346821000</v>
      </c>
      <c r="F128" s="10">
        <v>293737000</v>
      </c>
      <c r="G128" s="10">
        <v>300842000</v>
      </c>
      <c r="H128" s="10">
        <f>H165*AVERAGE(C128/C165,D128/D165,E128/E165,F128/F165,G128/G165)</f>
        <v>0</v>
      </c>
      <c r="I128" s="10">
        <v>0</v>
      </c>
      <c r="J128" s="10">
        <v>0</v>
      </c>
      <c r="K128" s="10">
        <v>0</v>
      </c>
      <c r="L128" s="4">
        <v>0</v>
      </c>
    </row>
    <row r="129" spans="1:12" x14ac:dyDescent="0.3">
      <c r="A129" s="4" t="s">
        <v>112</v>
      </c>
      <c r="B129" s="4" t="s">
        <v>20</v>
      </c>
      <c r="C129" s="10">
        <v>4271000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</row>
    <row r="130" spans="1:12" x14ac:dyDescent="0.3">
      <c r="A130" s="4" t="s">
        <v>113</v>
      </c>
      <c r="B130" s="4" t="s">
        <v>18</v>
      </c>
      <c r="C130" s="10">
        <v>702180000</v>
      </c>
      <c r="D130" s="10">
        <v>329014000</v>
      </c>
      <c r="E130" s="10">
        <v>323605000</v>
      </c>
      <c r="F130" s="10">
        <v>441431000</v>
      </c>
      <c r="G130" s="10">
        <v>1089132000</v>
      </c>
      <c r="H130" s="10">
        <f>AVERAGE(C130:G130)</f>
        <v>577072400</v>
      </c>
      <c r="I130" s="10">
        <f>AVERAGE(D130:H130)</f>
        <v>552050880</v>
      </c>
      <c r="J130" s="10">
        <f>AVERAGE(E130:I130)</f>
        <v>596658256</v>
      </c>
      <c r="K130" s="10">
        <f>AVERAGE(F130:J130)</f>
        <v>651268907.20000005</v>
      </c>
      <c r="L130" s="10">
        <f>AVERAGE(G130:K130)</f>
        <v>693236488.63999999</v>
      </c>
    </row>
    <row r="131" spans="1:12" x14ac:dyDescent="0.3">
      <c r="A131" s="4" t="s">
        <v>114</v>
      </c>
      <c r="B131" s="4" t="s">
        <v>20</v>
      </c>
      <c r="C131" s="10">
        <v>922000</v>
      </c>
      <c r="D131" s="10">
        <v>251000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</row>
    <row r="132" spans="1:12" x14ac:dyDescent="0.3">
      <c r="A132" s="4" t="s">
        <v>115</v>
      </c>
      <c r="B132" s="4" t="s">
        <v>18</v>
      </c>
      <c r="C132" s="10">
        <v>13050000</v>
      </c>
      <c r="D132" s="10">
        <v>3128000</v>
      </c>
      <c r="E132" s="10">
        <v>2780000</v>
      </c>
      <c r="F132" s="10">
        <v>792000</v>
      </c>
      <c r="G132" s="10">
        <v>628000</v>
      </c>
      <c r="H132" s="10">
        <f t="shared" ref="H132:L133" si="31">AVERAGE(C132:G132)</f>
        <v>4075600</v>
      </c>
      <c r="I132" s="10">
        <f t="shared" si="31"/>
        <v>2280720</v>
      </c>
      <c r="J132" s="10">
        <f t="shared" si="31"/>
        <v>2111264</v>
      </c>
      <c r="K132" s="10">
        <f t="shared" si="31"/>
        <v>1977516.8</v>
      </c>
      <c r="L132" s="10">
        <f t="shared" si="31"/>
        <v>2214620.1600000001</v>
      </c>
    </row>
    <row r="133" spans="1:12" x14ac:dyDescent="0.3">
      <c r="A133" s="4" t="s">
        <v>116</v>
      </c>
      <c r="B133" s="4" t="s">
        <v>18</v>
      </c>
      <c r="C133" s="10">
        <v>284717000</v>
      </c>
      <c r="D133" s="10">
        <v>251383000</v>
      </c>
      <c r="E133" s="10">
        <v>241866000</v>
      </c>
      <c r="F133" s="10">
        <v>257864000</v>
      </c>
      <c r="G133" s="10">
        <v>277564000</v>
      </c>
      <c r="H133" s="10">
        <f t="shared" si="31"/>
        <v>262678800</v>
      </c>
      <c r="I133" s="10">
        <f t="shared" si="31"/>
        <v>258271160</v>
      </c>
      <c r="J133" s="10">
        <f t="shared" si="31"/>
        <v>259648792</v>
      </c>
      <c r="K133" s="10">
        <f t="shared" si="31"/>
        <v>263205350.40000001</v>
      </c>
      <c r="L133" s="10">
        <f t="shared" si="31"/>
        <v>264273620.48000002</v>
      </c>
    </row>
    <row r="134" spans="1:12" x14ac:dyDescent="0.3">
      <c r="A134" s="4" t="s">
        <v>117</v>
      </c>
      <c r="C134" s="10">
        <f t="shared" ref="C134:L134" si="32">SUM(C128:C133)</f>
        <v>1744773000</v>
      </c>
      <c r="D134" s="10">
        <f t="shared" si="32"/>
        <v>1046221000</v>
      </c>
      <c r="E134" s="10">
        <f t="shared" si="32"/>
        <v>915072000</v>
      </c>
      <c r="F134" s="10">
        <f t="shared" si="32"/>
        <v>993824000</v>
      </c>
      <c r="G134" s="10">
        <f t="shared" si="32"/>
        <v>1668166000</v>
      </c>
      <c r="H134" s="10">
        <f t="shared" si="32"/>
        <v>843826800</v>
      </c>
      <c r="I134" s="10">
        <f t="shared" si="32"/>
        <v>812602760</v>
      </c>
      <c r="J134" s="10">
        <f t="shared" si="32"/>
        <v>858418312</v>
      </c>
      <c r="K134" s="10">
        <f t="shared" si="32"/>
        <v>916451774.39999998</v>
      </c>
      <c r="L134" s="10">
        <f t="shared" si="32"/>
        <v>959724729.27999997</v>
      </c>
    </row>
    <row r="135" spans="1:12" x14ac:dyDescent="0.3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2" x14ac:dyDescent="0.3">
      <c r="A136" s="11" t="s">
        <v>118</v>
      </c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2" x14ac:dyDescent="0.3">
      <c r="A137" s="4" t="s">
        <v>119</v>
      </c>
      <c r="B137" s="4" t="s">
        <v>35</v>
      </c>
      <c r="C137" s="10">
        <v>478000000</v>
      </c>
      <c r="D137" s="10">
        <v>802000000</v>
      </c>
      <c r="E137" s="10">
        <v>758000000</v>
      </c>
      <c r="F137" s="10">
        <v>860000000</v>
      </c>
      <c r="G137" s="10">
        <v>1038000000</v>
      </c>
      <c r="H137" s="10">
        <f>H17*AVERAGE(G137/G17,F137/F17,E137/E17,D137/D17,C137/C17)</f>
        <v>709755933.87982202</v>
      </c>
      <c r="I137" s="10">
        <f>I17*AVERAGE(H137/H17,G137/G17,F137/F17,E137/E17,D137/D17)</f>
        <v>829188092.09444082</v>
      </c>
      <c r="J137" s="10">
        <f>J17*AVERAGE(I137/I17,H137/H17,G137/G17,F137/F17,E137/E17)</f>
        <v>840852338.4059881</v>
      </c>
      <c r="K137" s="10">
        <f>K17*AVERAGE(J137/J17,I137/I17,H137/H17,G137/G17,F137/F17)</f>
        <v>864237081.11571038</v>
      </c>
      <c r="L137" s="4">
        <f>L17*AVERAGE(K137/K17,J137/J17,I137/I17,H137/H17,G137/G17)</f>
        <v>868659589.84830976</v>
      </c>
    </row>
    <row r="138" spans="1:12" x14ac:dyDescent="0.3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2" x14ac:dyDescent="0.3">
      <c r="A139" s="27" t="s">
        <v>120</v>
      </c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2" x14ac:dyDescent="0.3">
      <c r="A140" s="27" t="s">
        <v>121</v>
      </c>
    </row>
    <row r="141" spans="1:12" x14ac:dyDescent="0.3">
      <c r="A141" s="28" t="s">
        <v>122</v>
      </c>
      <c r="C141" s="10">
        <f>'[1]INCOME STATEMENT'!C20</f>
        <v>3911925000</v>
      </c>
      <c r="D141" s="10">
        <f>'[1]INCOME STATEMENT'!D20</f>
        <v>4923038000</v>
      </c>
      <c r="E141" s="10">
        <f>'[1]INCOME STATEMENT'!E20</f>
        <v>4262342000</v>
      </c>
      <c r="F141" s="10">
        <f>'[1]INCOME STATEMENT'!F20</f>
        <v>4097127000</v>
      </c>
      <c r="G141" s="10">
        <f>'[1]INCOME STATEMENT'!G20</f>
        <v>5859048000</v>
      </c>
      <c r="H141" s="10">
        <f>'[1]INCOME STATEMENT'!H20</f>
        <v>-6352083089.8524475</v>
      </c>
      <c r="I141" s="10">
        <f>'[1]INCOME STATEMENT'!I20</f>
        <v>-1170000474.3339534</v>
      </c>
      <c r="J141" s="10">
        <f>'[1]INCOME STATEMENT'!J20</f>
        <v>-3069554342.37184</v>
      </c>
      <c r="K141" s="10">
        <f>'[1]INCOME STATEMENT'!K20</f>
        <v>-5241877961.5258532</v>
      </c>
      <c r="L141" s="10">
        <f>'[1]INCOME STATEMENT'!L20</f>
        <v>-8075618123.0885086</v>
      </c>
    </row>
    <row r="142" spans="1:12" x14ac:dyDescent="0.3">
      <c r="A142" s="28" t="s">
        <v>123</v>
      </c>
      <c r="C142" s="10">
        <v>351599848</v>
      </c>
      <c r="D142" s="10">
        <f t="shared" ref="D142:L142" si="33">C142</f>
        <v>351599848</v>
      </c>
      <c r="E142" s="10">
        <f t="shared" si="33"/>
        <v>351599848</v>
      </c>
      <c r="F142" s="10">
        <f t="shared" si="33"/>
        <v>351599848</v>
      </c>
      <c r="G142" s="10">
        <f t="shared" si="33"/>
        <v>351599848</v>
      </c>
      <c r="H142" s="10">
        <f t="shared" si="33"/>
        <v>351599848</v>
      </c>
      <c r="I142" s="10">
        <f t="shared" si="33"/>
        <v>351599848</v>
      </c>
      <c r="J142" s="10">
        <f t="shared" si="33"/>
        <v>351599848</v>
      </c>
      <c r="K142" s="10">
        <f t="shared" si="33"/>
        <v>351599848</v>
      </c>
      <c r="L142" s="10">
        <f t="shared" si="33"/>
        <v>351599848</v>
      </c>
    </row>
    <row r="143" spans="1:12" x14ac:dyDescent="0.3">
      <c r="A143" s="29" t="s">
        <v>124</v>
      </c>
      <c r="C143" s="10">
        <f t="shared" ref="C143:L143" si="34">C141/C142</f>
        <v>11.126071362806732</v>
      </c>
      <c r="D143" s="10">
        <f t="shared" si="34"/>
        <v>14.00182061512154</v>
      </c>
      <c r="E143" s="10">
        <f t="shared" si="34"/>
        <v>12.122707174776709</v>
      </c>
      <c r="F143" s="10">
        <f t="shared" si="34"/>
        <v>11.652812204856243</v>
      </c>
      <c r="G143" s="10">
        <f t="shared" si="34"/>
        <v>16.663966248358559</v>
      </c>
      <c r="H143" s="10">
        <f t="shared" si="34"/>
        <v>-18.06622820227285</v>
      </c>
      <c r="I143" s="10">
        <f t="shared" si="34"/>
        <v>-3.3276478388407988</v>
      </c>
      <c r="J143" s="10">
        <f t="shared" si="34"/>
        <v>-8.7302493440550073</v>
      </c>
      <c r="K143" s="10">
        <f t="shared" si="34"/>
        <v>-14.90864683629173</v>
      </c>
      <c r="L143" s="10">
        <f t="shared" si="34"/>
        <v>-22.968207094015892</v>
      </c>
    </row>
    <row r="144" spans="1:12" x14ac:dyDescent="0.3"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 x14ac:dyDescent="0.3"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 ht="21" x14ac:dyDescent="0.4">
      <c r="A146" s="30" t="s">
        <v>125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 x14ac:dyDescent="0.3">
      <c r="A147" s="4" t="s">
        <v>126</v>
      </c>
      <c r="C147" s="10">
        <v>3515999000</v>
      </c>
      <c r="D147" s="10">
        <v>3515999000</v>
      </c>
      <c r="E147" s="10">
        <f t="shared" ref="E147:L147" si="35">D147</f>
        <v>3515999000</v>
      </c>
      <c r="F147" s="10">
        <f t="shared" si="35"/>
        <v>3515999000</v>
      </c>
      <c r="G147" s="10">
        <f t="shared" si="35"/>
        <v>3515999000</v>
      </c>
      <c r="H147" s="10">
        <f t="shared" si="35"/>
        <v>3515999000</v>
      </c>
      <c r="I147" s="10">
        <f t="shared" si="35"/>
        <v>3515999000</v>
      </c>
      <c r="J147" s="10">
        <f t="shared" si="35"/>
        <v>3515999000</v>
      </c>
      <c r="K147" s="10">
        <f t="shared" si="35"/>
        <v>3515999000</v>
      </c>
      <c r="L147" s="10">
        <f t="shared" si="35"/>
        <v>3515999000</v>
      </c>
    </row>
    <row r="148" spans="1:12" x14ac:dyDescent="0.3"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1:12" x14ac:dyDescent="0.3">
      <c r="A149" s="11" t="s">
        <v>127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1:12" x14ac:dyDescent="0.3">
      <c r="A150" s="4" t="s">
        <v>128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1:12" x14ac:dyDescent="0.3">
      <c r="A151" s="4" t="s">
        <v>129</v>
      </c>
      <c r="C151" s="10">
        <v>5499530000</v>
      </c>
      <c r="D151" s="10">
        <v>5499530000</v>
      </c>
      <c r="E151" s="10">
        <f t="shared" ref="E151:L151" si="36">D151</f>
        <v>5499530000</v>
      </c>
      <c r="F151" s="10">
        <f t="shared" si="36"/>
        <v>5499530000</v>
      </c>
      <c r="G151" s="10">
        <f t="shared" si="36"/>
        <v>5499530000</v>
      </c>
      <c r="H151" s="10">
        <f t="shared" si="36"/>
        <v>5499530000</v>
      </c>
      <c r="I151" s="10">
        <f t="shared" si="36"/>
        <v>5499530000</v>
      </c>
      <c r="J151" s="10">
        <f t="shared" si="36"/>
        <v>5499530000</v>
      </c>
      <c r="K151" s="10">
        <f t="shared" si="36"/>
        <v>5499530000</v>
      </c>
      <c r="L151" s="10">
        <f t="shared" si="36"/>
        <v>5499530000</v>
      </c>
    </row>
    <row r="152" spans="1:12" x14ac:dyDescent="0.3">
      <c r="A152" s="4" t="s">
        <v>130</v>
      </c>
      <c r="B152" s="4" t="s">
        <v>18</v>
      </c>
      <c r="C152" s="26">
        <v>32856729000</v>
      </c>
      <c r="D152" s="26">
        <v>35528222000</v>
      </c>
      <c r="E152" s="26">
        <v>39631520000</v>
      </c>
      <c r="F152" s="26">
        <v>24242741000</v>
      </c>
      <c r="G152" s="26">
        <v>11026453000</v>
      </c>
      <c r="H152" s="26">
        <f>AVERAGE(C152:G152)</f>
        <v>28657133000</v>
      </c>
      <c r="I152" s="26">
        <f>AVERAGE(D152:H152)</f>
        <v>27817213800</v>
      </c>
      <c r="J152" s="26">
        <f>AVERAGE(E152:I152)</f>
        <v>26275012160</v>
      </c>
      <c r="K152" s="26">
        <f>AVERAGE(F152:J152)</f>
        <v>23603710592</v>
      </c>
      <c r="L152" s="26">
        <f>AVERAGE(G152:K152)</f>
        <v>23475904510.400002</v>
      </c>
    </row>
    <row r="153" spans="1:12" x14ac:dyDescent="0.3">
      <c r="C153" s="10">
        <f t="shared" ref="C153:L153" si="37">C151+C152</f>
        <v>38356259000</v>
      </c>
      <c r="D153" s="10">
        <f t="shared" si="37"/>
        <v>41027752000</v>
      </c>
      <c r="E153" s="10">
        <f t="shared" si="37"/>
        <v>45131050000</v>
      </c>
      <c r="F153" s="10">
        <f t="shared" si="37"/>
        <v>29742271000</v>
      </c>
      <c r="G153" s="10">
        <f t="shared" si="37"/>
        <v>16525983000</v>
      </c>
      <c r="H153" s="10">
        <f t="shared" si="37"/>
        <v>34156663000</v>
      </c>
      <c r="I153" s="10">
        <f t="shared" si="37"/>
        <v>33316743800</v>
      </c>
      <c r="J153" s="10">
        <f t="shared" si="37"/>
        <v>31774542160</v>
      </c>
      <c r="K153" s="10">
        <f t="shared" si="37"/>
        <v>29103240592</v>
      </c>
      <c r="L153" s="10">
        <f t="shared" si="37"/>
        <v>28975434510.400002</v>
      </c>
    </row>
    <row r="154" spans="1:12" x14ac:dyDescent="0.3">
      <c r="A154" s="4" t="s">
        <v>131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1:12" x14ac:dyDescent="0.3">
      <c r="A155" s="4" t="s">
        <v>132</v>
      </c>
      <c r="B155" s="4" t="s">
        <v>18</v>
      </c>
      <c r="C155" s="10">
        <v>30354028000</v>
      </c>
      <c r="D155" s="10">
        <v>32683028000</v>
      </c>
      <c r="E155" s="10">
        <v>35848028000</v>
      </c>
      <c r="F155" s="10">
        <v>38352028000</v>
      </c>
      <c r="G155" s="10">
        <v>40779028000</v>
      </c>
      <c r="H155" s="10">
        <f t="shared" ref="H155:L156" si="38">AVERAGE(C155:G155)</f>
        <v>35603228000</v>
      </c>
      <c r="I155" s="10">
        <f t="shared" si="38"/>
        <v>36653068000</v>
      </c>
      <c r="J155" s="10">
        <f t="shared" si="38"/>
        <v>37447076000</v>
      </c>
      <c r="K155" s="10">
        <f t="shared" si="38"/>
        <v>37766885600</v>
      </c>
      <c r="L155" s="10">
        <f t="shared" si="38"/>
        <v>37649857120</v>
      </c>
    </row>
    <row r="156" spans="1:12" x14ac:dyDescent="0.3">
      <c r="A156" s="4" t="s">
        <v>133</v>
      </c>
      <c r="B156" s="4" t="s">
        <v>18</v>
      </c>
      <c r="C156" s="26">
        <v>3916537000</v>
      </c>
      <c r="D156" s="26">
        <v>4928376000</v>
      </c>
      <c r="E156" s="26">
        <v>4267719000</v>
      </c>
      <c r="F156" s="26">
        <v>4102847000</v>
      </c>
      <c r="G156" s="26">
        <v>5794260000</v>
      </c>
      <c r="H156" s="26">
        <f t="shared" si="38"/>
        <v>4601947800</v>
      </c>
      <c r="I156" s="26">
        <f t="shared" si="38"/>
        <v>4739029960</v>
      </c>
      <c r="J156" s="26">
        <f t="shared" si="38"/>
        <v>4701160752</v>
      </c>
      <c r="K156" s="26">
        <f t="shared" si="38"/>
        <v>4787849102.3999996</v>
      </c>
      <c r="L156" s="26">
        <f t="shared" si="38"/>
        <v>4924849522.8800001</v>
      </c>
    </row>
    <row r="157" spans="1:12" x14ac:dyDescent="0.3">
      <c r="C157" s="10">
        <f t="shared" ref="C157:L157" si="39">C155+C156</f>
        <v>34270565000</v>
      </c>
      <c r="D157" s="10">
        <f t="shared" si="39"/>
        <v>37611404000</v>
      </c>
      <c r="E157" s="10">
        <f t="shared" si="39"/>
        <v>40115747000</v>
      </c>
      <c r="F157" s="10">
        <f t="shared" si="39"/>
        <v>42454875000</v>
      </c>
      <c r="G157" s="10">
        <f t="shared" si="39"/>
        <v>46573288000</v>
      </c>
      <c r="H157" s="10">
        <f t="shared" si="39"/>
        <v>40205175800</v>
      </c>
      <c r="I157" s="10">
        <f t="shared" si="39"/>
        <v>41392097960</v>
      </c>
      <c r="J157" s="10">
        <f t="shared" si="39"/>
        <v>42148236752</v>
      </c>
      <c r="K157" s="10">
        <f t="shared" si="39"/>
        <v>42554734702.400002</v>
      </c>
      <c r="L157" s="10">
        <f t="shared" si="39"/>
        <v>42574706642.879997</v>
      </c>
    </row>
    <row r="158" spans="1:12" x14ac:dyDescent="0.3">
      <c r="A158" s="4" t="s">
        <v>134</v>
      </c>
      <c r="C158" s="10">
        <f t="shared" ref="C158:L158" si="40">C157+C153</f>
        <v>72626824000</v>
      </c>
      <c r="D158" s="10">
        <f t="shared" si="40"/>
        <v>78639156000</v>
      </c>
      <c r="E158" s="10">
        <f t="shared" si="40"/>
        <v>85246797000</v>
      </c>
      <c r="F158" s="10">
        <f t="shared" si="40"/>
        <v>72197146000</v>
      </c>
      <c r="G158" s="10">
        <f t="shared" si="40"/>
        <v>63099271000</v>
      </c>
      <c r="H158" s="10">
        <f t="shared" si="40"/>
        <v>74361838800</v>
      </c>
      <c r="I158" s="10">
        <f t="shared" si="40"/>
        <v>74708841760</v>
      </c>
      <c r="J158" s="10">
        <f t="shared" si="40"/>
        <v>73922778912</v>
      </c>
      <c r="K158" s="10">
        <f t="shared" si="40"/>
        <v>71657975294.399994</v>
      </c>
      <c r="L158" s="10">
        <f t="shared" si="40"/>
        <v>71550141153.279999</v>
      </c>
    </row>
    <row r="159" spans="1:12" x14ac:dyDescent="0.3"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12" x14ac:dyDescent="0.3">
      <c r="A160" s="11" t="s">
        <v>135</v>
      </c>
      <c r="C160" s="22">
        <v>1</v>
      </c>
      <c r="D160" s="22">
        <v>2</v>
      </c>
      <c r="E160" s="22">
        <v>3</v>
      </c>
      <c r="F160" s="22">
        <v>4</v>
      </c>
      <c r="G160" s="22">
        <v>5</v>
      </c>
      <c r="H160" s="23">
        <v>6</v>
      </c>
      <c r="I160" s="23">
        <v>7</v>
      </c>
      <c r="J160" s="23">
        <v>8</v>
      </c>
      <c r="K160" s="23">
        <v>9</v>
      </c>
      <c r="L160" s="23">
        <v>10</v>
      </c>
    </row>
    <row r="161" spans="1:12" x14ac:dyDescent="0.3">
      <c r="A161" s="4" t="s">
        <v>136</v>
      </c>
      <c r="C161" s="10">
        <v>2690113000</v>
      </c>
      <c r="D161" s="10">
        <v>2975216000</v>
      </c>
      <c r="E161" s="10">
        <v>4946603000</v>
      </c>
      <c r="F161" s="10">
        <v>5204939000</v>
      </c>
      <c r="G161" s="10">
        <v>6000625000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</row>
    <row r="162" spans="1:12" x14ac:dyDescent="0.3">
      <c r="A162" s="4" t="s">
        <v>137</v>
      </c>
      <c r="C162" s="26">
        <v>4675357000</v>
      </c>
      <c r="D162" s="26">
        <v>3635008000</v>
      </c>
      <c r="E162" s="26">
        <v>2392050000</v>
      </c>
      <c r="F162" s="26">
        <v>2130800000</v>
      </c>
      <c r="G162" s="26">
        <v>1043772000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</row>
    <row r="163" spans="1:12" x14ac:dyDescent="0.3">
      <c r="C163" s="10">
        <f t="shared" ref="C163:L163" si="41">C161+C162</f>
        <v>7365470000</v>
      </c>
      <c r="D163" s="10">
        <f t="shared" si="41"/>
        <v>6610224000</v>
      </c>
      <c r="E163" s="10">
        <f t="shared" si="41"/>
        <v>7338653000</v>
      </c>
      <c r="F163" s="10">
        <f t="shared" si="41"/>
        <v>7335739000</v>
      </c>
      <c r="G163" s="10">
        <f t="shared" si="41"/>
        <v>7044397000</v>
      </c>
      <c r="H163" s="10">
        <f t="shared" si="41"/>
        <v>0</v>
      </c>
      <c r="I163" s="10">
        <f t="shared" si="41"/>
        <v>0</v>
      </c>
      <c r="J163" s="10">
        <f t="shared" si="41"/>
        <v>0</v>
      </c>
      <c r="K163" s="10">
        <f t="shared" si="41"/>
        <v>0</v>
      </c>
      <c r="L163" s="10">
        <f t="shared" si="41"/>
        <v>0</v>
      </c>
    </row>
    <row r="164" spans="1:12" x14ac:dyDescent="0.3">
      <c r="A164" s="4" t="s">
        <v>138</v>
      </c>
      <c r="C164" s="10">
        <v>1783250000</v>
      </c>
      <c r="D164" s="10">
        <v>1980768000</v>
      </c>
      <c r="E164" s="10">
        <v>2093024000</v>
      </c>
      <c r="F164" s="10">
        <v>2144900000</v>
      </c>
      <c r="G164" s="10">
        <v>1784470000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</row>
    <row r="165" spans="1:12" x14ac:dyDescent="0.3">
      <c r="A165" s="4" t="s">
        <v>139</v>
      </c>
      <c r="C165" s="10">
        <f t="shared" ref="C165:L165" si="42">C161+C162-C164</f>
        <v>5582220000</v>
      </c>
      <c r="D165" s="10">
        <f t="shared" si="42"/>
        <v>4629456000</v>
      </c>
      <c r="E165" s="10">
        <f t="shared" si="42"/>
        <v>5245629000</v>
      </c>
      <c r="F165" s="10">
        <f t="shared" si="42"/>
        <v>5190839000</v>
      </c>
      <c r="G165" s="10">
        <f t="shared" si="42"/>
        <v>5259927000</v>
      </c>
      <c r="H165" s="10">
        <f t="shared" si="42"/>
        <v>0</v>
      </c>
      <c r="I165" s="10">
        <f t="shared" si="42"/>
        <v>0</v>
      </c>
      <c r="J165" s="10">
        <f t="shared" si="42"/>
        <v>0</v>
      </c>
      <c r="K165" s="10">
        <f t="shared" si="42"/>
        <v>0</v>
      </c>
      <c r="L165" s="10">
        <f t="shared" si="42"/>
        <v>0</v>
      </c>
    </row>
    <row r="166" spans="1:12" x14ac:dyDescent="0.3"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1:12" x14ac:dyDescent="0.3">
      <c r="A167" s="11" t="s">
        <v>140</v>
      </c>
      <c r="C167" s="10">
        <v>247462000</v>
      </c>
      <c r="D167" s="10">
        <v>261567000</v>
      </c>
      <c r="E167" s="10">
        <v>783292000</v>
      </c>
      <c r="F167" s="10">
        <v>571833000</v>
      </c>
      <c r="G167" s="10">
        <v>215440000</v>
      </c>
      <c r="H167" s="10">
        <f>AVERAGE(C167:G167)</f>
        <v>415918800</v>
      </c>
      <c r="I167" s="10">
        <f>AVERAGE(D167:H167)</f>
        <v>449610160</v>
      </c>
      <c r="J167" s="10">
        <f>AVERAGE(E167:I167)</f>
        <v>487218792</v>
      </c>
      <c r="K167" s="10">
        <f>AVERAGE(F167:J167)</f>
        <v>428004150.39999998</v>
      </c>
      <c r="L167" s="10">
        <f>AVERAGE(G167:K167)</f>
        <v>399238380.48000002</v>
      </c>
    </row>
    <row r="168" spans="1:12" x14ac:dyDescent="0.3"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1:12" x14ac:dyDescent="0.3">
      <c r="A169" s="11" t="s">
        <v>141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12" x14ac:dyDescent="0.3">
      <c r="A170" s="4" t="s">
        <v>142</v>
      </c>
      <c r="B170" s="4" t="s">
        <v>18</v>
      </c>
      <c r="C170" s="10">
        <v>2910146000</v>
      </c>
      <c r="D170" s="10">
        <v>3853639000</v>
      </c>
      <c r="E170" s="10">
        <v>4191180000</v>
      </c>
      <c r="F170" s="10">
        <v>4768256000</v>
      </c>
      <c r="G170" s="10">
        <v>6238841000</v>
      </c>
      <c r="H170" s="10">
        <f t="shared" ref="H170:L175" si="43">AVERAGE(C170:G170)</f>
        <v>4392412400</v>
      </c>
      <c r="I170" s="10">
        <f t="shared" si="43"/>
        <v>4688865680</v>
      </c>
      <c r="J170" s="10">
        <f t="shared" si="43"/>
        <v>4855911016</v>
      </c>
      <c r="K170" s="10">
        <f t="shared" si="43"/>
        <v>4988857219.1999998</v>
      </c>
      <c r="L170" s="10">
        <f t="shared" si="43"/>
        <v>5032977463.04</v>
      </c>
    </row>
    <row r="171" spans="1:12" x14ac:dyDescent="0.3">
      <c r="A171" s="4" t="s">
        <v>143</v>
      </c>
      <c r="B171" s="4" t="s">
        <v>18</v>
      </c>
      <c r="C171" s="10">
        <v>739697000</v>
      </c>
      <c r="D171" s="10">
        <v>558501000</v>
      </c>
      <c r="E171" s="10">
        <v>698678000</v>
      </c>
      <c r="F171" s="10">
        <v>821297000</v>
      </c>
      <c r="G171" s="10">
        <v>1184933000</v>
      </c>
      <c r="H171" s="10">
        <f t="shared" si="43"/>
        <v>800621200</v>
      </c>
      <c r="I171" s="10">
        <f t="shared" si="43"/>
        <v>812806040</v>
      </c>
      <c r="J171" s="10">
        <f t="shared" si="43"/>
        <v>863667048</v>
      </c>
      <c r="K171" s="10">
        <f t="shared" si="43"/>
        <v>896664857.60000002</v>
      </c>
      <c r="L171" s="10">
        <f t="shared" si="43"/>
        <v>911738429.12000012</v>
      </c>
    </row>
    <row r="172" spans="1:12" x14ac:dyDescent="0.3">
      <c r="A172" s="4" t="s">
        <v>144</v>
      </c>
      <c r="B172" s="4" t="s">
        <v>18</v>
      </c>
      <c r="C172" s="10">
        <v>381620000</v>
      </c>
      <c r="D172" s="10">
        <v>560082000</v>
      </c>
      <c r="E172" s="10">
        <v>545479000</v>
      </c>
      <c r="F172" s="10">
        <v>531110000</v>
      </c>
      <c r="G172" s="10">
        <v>519955000</v>
      </c>
      <c r="H172" s="10">
        <f t="shared" si="43"/>
        <v>507649200</v>
      </c>
      <c r="I172" s="10">
        <f t="shared" si="43"/>
        <v>532855040</v>
      </c>
      <c r="J172" s="10">
        <f t="shared" si="43"/>
        <v>527409648</v>
      </c>
      <c r="K172" s="10">
        <f t="shared" si="43"/>
        <v>523795777.60000002</v>
      </c>
      <c r="L172" s="10">
        <f t="shared" si="43"/>
        <v>522332933.12</v>
      </c>
    </row>
    <row r="173" spans="1:12" x14ac:dyDescent="0.3">
      <c r="A173" s="4" t="s">
        <v>145</v>
      </c>
      <c r="B173" s="4" t="s">
        <v>18</v>
      </c>
      <c r="C173" s="10">
        <v>12175000</v>
      </c>
      <c r="D173" s="10">
        <v>11199000</v>
      </c>
      <c r="E173" s="10">
        <v>5515000</v>
      </c>
      <c r="F173" s="10">
        <v>10498000</v>
      </c>
      <c r="G173" s="10">
        <v>11538000</v>
      </c>
      <c r="H173" s="10">
        <f t="shared" si="43"/>
        <v>10185000</v>
      </c>
      <c r="I173" s="10">
        <f t="shared" si="43"/>
        <v>9787000</v>
      </c>
      <c r="J173" s="10">
        <f t="shared" si="43"/>
        <v>9504600</v>
      </c>
      <c r="K173" s="10">
        <f t="shared" si="43"/>
        <v>10302520</v>
      </c>
      <c r="L173" s="10">
        <f t="shared" si="43"/>
        <v>10263424</v>
      </c>
    </row>
    <row r="174" spans="1:12" x14ac:dyDescent="0.3">
      <c r="A174" s="4" t="s">
        <v>146</v>
      </c>
      <c r="B174" s="4" t="s">
        <v>18</v>
      </c>
      <c r="C174" s="10">
        <v>66235000</v>
      </c>
      <c r="D174" s="10">
        <v>61580000</v>
      </c>
      <c r="E174" s="10">
        <v>95018000</v>
      </c>
      <c r="F174" s="10">
        <v>99701000</v>
      </c>
      <c r="G174" s="10">
        <v>84135000</v>
      </c>
      <c r="H174" s="10">
        <f t="shared" si="43"/>
        <v>81333800</v>
      </c>
      <c r="I174" s="10">
        <f t="shared" si="43"/>
        <v>84353560</v>
      </c>
      <c r="J174" s="10">
        <f t="shared" si="43"/>
        <v>88908272</v>
      </c>
      <c r="K174" s="10">
        <f t="shared" si="43"/>
        <v>87686326.400000006</v>
      </c>
      <c r="L174" s="10">
        <f t="shared" si="43"/>
        <v>85283391.679999992</v>
      </c>
    </row>
    <row r="175" spans="1:12" x14ac:dyDescent="0.3">
      <c r="A175" s="4" t="s">
        <v>147</v>
      </c>
      <c r="B175" s="4" t="s">
        <v>18</v>
      </c>
      <c r="C175" s="10">
        <v>985000</v>
      </c>
      <c r="D175" s="10">
        <v>876000</v>
      </c>
      <c r="E175" s="10">
        <v>1294000</v>
      </c>
      <c r="F175" s="10">
        <v>1035000</v>
      </c>
      <c r="G175" s="10">
        <v>1013000</v>
      </c>
      <c r="H175" s="10">
        <f t="shared" si="43"/>
        <v>1040600</v>
      </c>
      <c r="I175" s="10">
        <f t="shared" si="43"/>
        <v>1051720</v>
      </c>
      <c r="J175" s="10">
        <f t="shared" si="43"/>
        <v>1086864</v>
      </c>
      <c r="K175" s="10">
        <f t="shared" si="43"/>
        <v>1045436.8</v>
      </c>
      <c r="L175" s="10">
        <f t="shared" si="43"/>
        <v>1047524.1599999999</v>
      </c>
    </row>
    <row r="176" spans="1:12" x14ac:dyDescent="0.3">
      <c r="A176" s="4" t="s">
        <v>148</v>
      </c>
      <c r="B176" s="4" t="s">
        <v>20</v>
      </c>
      <c r="C176" s="10">
        <v>58399000</v>
      </c>
      <c r="D176" s="10">
        <v>66817000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</row>
    <row r="177" spans="1:12" x14ac:dyDescent="0.3">
      <c r="A177" s="4" t="s">
        <v>149</v>
      </c>
      <c r="B177" s="4" t="s">
        <v>20</v>
      </c>
      <c r="C177" s="10">
        <v>5435000</v>
      </c>
      <c r="D177" s="10">
        <v>7585000</v>
      </c>
      <c r="E177" s="10">
        <v>4685000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</row>
    <row r="178" spans="1:12" x14ac:dyDescent="0.3">
      <c r="A178" s="4" t="s">
        <v>150</v>
      </c>
      <c r="B178" s="4" t="s">
        <v>18</v>
      </c>
      <c r="C178" s="10">
        <v>5920000</v>
      </c>
      <c r="D178" s="10">
        <v>827000</v>
      </c>
      <c r="E178" s="10">
        <v>27536000</v>
      </c>
      <c r="F178" s="10">
        <v>541000</v>
      </c>
      <c r="G178" s="10">
        <v>7583000</v>
      </c>
      <c r="H178" s="10">
        <f t="shared" ref="H178:L179" si="44">AVERAGE(C178:G178)</f>
        <v>8481400</v>
      </c>
      <c r="I178" s="10">
        <f t="shared" si="44"/>
        <v>8993680</v>
      </c>
      <c r="J178" s="10">
        <f t="shared" si="44"/>
        <v>10627016</v>
      </c>
      <c r="K178" s="10">
        <f t="shared" si="44"/>
        <v>7245219.2000000002</v>
      </c>
      <c r="L178" s="10">
        <f t="shared" si="44"/>
        <v>8586063.040000001</v>
      </c>
    </row>
    <row r="179" spans="1:12" x14ac:dyDescent="0.3">
      <c r="A179" s="4" t="s">
        <v>84</v>
      </c>
      <c r="B179" s="4" t="s">
        <v>18</v>
      </c>
      <c r="C179" s="10">
        <v>241876000</v>
      </c>
      <c r="D179" s="10">
        <v>301483000</v>
      </c>
      <c r="E179" s="10">
        <v>192734000</v>
      </c>
      <c r="F179" s="10">
        <v>184164000</v>
      </c>
      <c r="G179" s="10">
        <v>311682000</v>
      </c>
      <c r="H179" s="10">
        <f t="shared" si="44"/>
        <v>246387800</v>
      </c>
      <c r="I179" s="10">
        <f t="shared" si="44"/>
        <v>247290160</v>
      </c>
      <c r="J179" s="10">
        <f t="shared" si="44"/>
        <v>236451592</v>
      </c>
      <c r="K179" s="10">
        <f t="shared" si="44"/>
        <v>245195110.40000001</v>
      </c>
      <c r="L179" s="10">
        <f t="shared" si="44"/>
        <v>257401332.48000002</v>
      </c>
    </row>
    <row r="180" spans="1:12" x14ac:dyDescent="0.3">
      <c r="A180" s="4" t="s">
        <v>151</v>
      </c>
      <c r="B180" s="4" t="s">
        <v>20</v>
      </c>
      <c r="C180" s="10">
        <v>315307000</v>
      </c>
      <c r="D180" s="10">
        <v>315307000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</row>
    <row r="181" spans="1:12" x14ac:dyDescent="0.3">
      <c r="A181" s="4" t="s">
        <v>152</v>
      </c>
      <c r="B181" s="4" t="s">
        <v>20</v>
      </c>
      <c r="C181" s="10">
        <v>120520000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</row>
    <row r="182" spans="1:12" x14ac:dyDescent="0.3">
      <c r="A182" s="4" t="s">
        <v>153</v>
      </c>
      <c r="C182" s="10">
        <f t="shared" ref="C182:L182" si="45">SUM(C170:C181)</f>
        <v>4858315000</v>
      </c>
      <c r="D182" s="10">
        <f t="shared" si="45"/>
        <v>5737896000</v>
      </c>
      <c r="E182" s="10">
        <f t="shared" si="45"/>
        <v>5762119000</v>
      </c>
      <c r="F182" s="10">
        <f t="shared" si="45"/>
        <v>6416602000</v>
      </c>
      <c r="G182" s="10">
        <f t="shared" si="45"/>
        <v>8359680000</v>
      </c>
      <c r="H182" s="10">
        <f t="shared" si="45"/>
        <v>6048111400</v>
      </c>
      <c r="I182" s="10">
        <f t="shared" si="45"/>
        <v>6386002880</v>
      </c>
      <c r="J182" s="10">
        <f t="shared" si="45"/>
        <v>6593566056</v>
      </c>
      <c r="K182" s="10">
        <f t="shared" si="45"/>
        <v>6760792467.1999998</v>
      </c>
      <c r="L182" s="10">
        <f t="shared" si="45"/>
        <v>6829630560.6399994</v>
      </c>
    </row>
    <row r="183" spans="1:12" x14ac:dyDescent="0.3"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 x14ac:dyDescent="0.3">
      <c r="A184" s="11" t="s">
        <v>154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 x14ac:dyDescent="0.3">
      <c r="A185" s="4" t="s">
        <v>155</v>
      </c>
      <c r="B185" s="4" t="s">
        <v>18</v>
      </c>
      <c r="C185" s="10">
        <v>96295000</v>
      </c>
      <c r="D185" s="10">
        <v>50450000</v>
      </c>
      <c r="E185" s="10">
        <v>43834000</v>
      </c>
      <c r="F185" s="10">
        <v>44853000</v>
      </c>
      <c r="G185" s="10">
        <v>42187000</v>
      </c>
      <c r="H185" s="10">
        <f t="shared" ref="H185:L186" si="46">AVERAGE(C185:G185)</f>
        <v>55523800</v>
      </c>
      <c r="I185" s="10">
        <f t="shared" si="46"/>
        <v>47369560</v>
      </c>
      <c r="J185" s="10">
        <f t="shared" si="46"/>
        <v>46753472</v>
      </c>
      <c r="K185" s="10">
        <f t="shared" si="46"/>
        <v>47337366.399999999</v>
      </c>
      <c r="L185" s="10">
        <f t="shared" si="46"/>
        <v>47834239.68</v>
      </c>
    </row>
    <row r="186" spans="1:12" x14ac:dyDescent="0.3">
      <c r="A186" s="4" t="s">
        <v>156</v>
      </c>
      <c r="B186" s="4" t="s">
        <v>18</v>
      </c>
      <c r="C186" s="10">
        <v>125099000</v>
      </c>
      <c r="D186" s="10">
        <v>62870000</v>
      </c>
      <c r="E186" s="10">
        <v>66917000</v>
      </c>
      <c r="F186" s="10">
        <v>64525000</v>
      </c>
      <c r="G186" s="10">
        <v>193150000</v>
      </c>
      <c r="H186" s="10">
        <f t="shared" si="46"/>
        <v>102512200</v>
      </c>
      <c r="I186" s="10">
        <f t="shared" si="46"/>
        <v>97994840</v>
      </c>
      <c r="J186" s="10">
        <f t="shared" si="46"/>
        <v>105019808</v>
      </c>
      <c r="K186" s="10">
        <f t="shared" si="46"/>
        <v>112640369.59999999</v>
      </c>
      <c r="L186" s="10">
        <f t="shared" si="46"/>
        <v>122263443.52000001</v>
      </c>
    </row>
    <row r="187" spans="1:12" x14ac:dyDescent="0.3">
      <c r="A187" s="4" t="s">
        <v>157</v>
      </c>
      <c r="C187" s="10">
        <f t="shared" ref="C187:L187" si="47">SUM(C185:C186)</f>
        <v>221394000</v>
      </c>
      <c r="D187" s="10">
        <f t="shared" si="47"/>
        <v>113320000</v>
      </c>
      <c r="E187" s="10">
        <f t="shared" si="47"/>
        <v>110751000</v>
      </c>
      <c r="F187" s="10">
        <f t="shared" si="47"/>
        <v>109378000</v>
      </c>
      <c r="G187" s="10">
        <f t="shared" si="47"/>
        <v>235337000</v>
      </c>
      <c r="H187" s="10">
        <f t="shared" si="47"/>
        <v>158036000</v>
      </c>
      <c r="I187" s="10">
        <f t="shared" si="47"/>
        <v>145364400</v>
      </c>
      <c r="J187" s="10">
        <f t="shared" si="47"/>
        <v>151773280</v>
      </c>
      <c r="K187" s="10">
        <f t="shared" si="47"/>
        <v>159977736</v>
      </c>
      <c r="L187" s="10">
        <f t="shared" si="47"/>
        <v>170097683.20000002</v>
      </c>
    </row>
    <row r="188" spans="1:12" x14ac:dyDescent="0.3"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 x14ac:dyDescent="0.3">
      <c r="A189" s="11" t="s">
        <v>158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1:12" x14ac:dyDescent="0.3">
      <c r="A190" s="4" t="s">
        <v>159</v>
      </c>
      <c r="B190" s="4" t="s">
        <v>18</v>
      </c>
      <c r="C190" s="10">
        <v>8409218000</v>
      </c>
      <c r="D190" s="10">
        <v>9993000000</v>
      </c>
      <c r="E190" s="10">
        <v>12009969000</v>
      </c>
      <c r="F190" s="10">
        <v>8532741000</v>
      </c>
      <c r="G190" s="10">
        <v>13764706000</v>
      </c>
      <c r="H190" s="10">
        <f t="shared" ref="H190:L192" si="48">AVERAGE(C190:G190)</f>
        <v>10541926800</v>
      </c>
      <c r="I190" s="10">
        <f t="shared" si="48"/>
        <v>10968468560</v>
      </c>
      <c r="J190" s="10">
        <f t="shared" si="48"/>
        <v>11163562272</v>
      </c>
      <c r="K190" s="10">
        <f t="shared" si="48"/>
        <v>10994280926.4</v>
      </c>
      <c r="L190" s="10">
        <f t="shared" si="48"/>
        <v>11486588911.68</v>
      </c>
    </row>
    <row r="191" spans="1:12" x14ac:dyDescent="0.3">
      <c r="A191" s="4" t="s">
        <v>160</v>
      </c>
      <c r="B191" s="4" t="s">
        <v>18</v>
      </c>
      <c r="C191" s="10">
        <v>2487181000</v>
      </c>
      <c r="D191" s="10">
        <v>0</v>
      </c>
      <c r="E191" s="10">
        <v>1525000000</v>
      </c>
      <c r="F191" s="10">
        <v>3150000000</v>
      </c>
      <c r="G191" s="10">
        <v>3540000000</v>
      </c>
      <c r="H191" s="10">
        <f t="shared" si="48"/>
        <v>2140436200</v>
      </c>
      <c r="I191" s="10">
        <f t="shared" si="48"/>
        <v>2071087240</v>
      </c>
      <c r="J191" s="10">
        <f t="shared" si="48"/>
        <v>2485304688</v>
      </c>
      <c r="K191" s="10">
        <f t="shared" si="48"/>
        <v>2677365625.5999999</v>
      </c>
      <c r="L191" s="10">
        <f t="shared" si="48"/>
        <v>2582838750.7200003</v>
      </c>
    </row>
    <row r="192" spans="1:12" x14ac:dyDescent="0.3">
      <c r="A192" s="4" t="s">
        <v>161</v>
      </c>
      <c r="B192" s="4" t="s">
        <v>18</v>
      </c>
      <c r="C192" s="10">
        <v>627744000</v>
      </c>
      <c r="D192" s="10">
        <v>482657000</v>
      </c>
      <c r="E192" s="10">
        <v>1162424000</v>
      </c>
      <c r="F192" s="10">
        <v>824849000</v>
      </c>
      <c r="G192" s="10">
        <v>677556000</v>
      </c>
      <c r="H192" s="10">
        <f t="shared" si="48"/>
        <v>755046000</v>
      </c>
      <c r="I192" s="10">
        <f t="shared" si="48"/>
        <v>780506400</v>
      </c>
      <c r="J192" s="10">
        <f t="shared" si="48"/>
        <v>840076280</v>
      </c>
      <c r="K192" s="10">
        <f t="shared" si="48"/>
        <v>775606736</v>
      </c>
      <c r="L192" s="10">
        <f t="shared" si="48"/>
        <v>765758283.20000005</v>
      </c>
    </row>
    <row r="193" spans="1:12" x14ac:dyDescent="0.3">
      <c r="A193" s="4" t="s">
        <v>162</v>
      </c>
      <c r="C193" s="10">
        <f t="shared" ref="C193:L193" si="49">SUM(C190:C192)</f>
        <v>11524143000</v>
      </c>
      <c r="D193" s="10">
        <f t="shared" si="49"/>
        <v>10475657000</v>
      </c>
      <c r="E193" s="10">
        <f t="shared" si="49"/>
        <v>14697393000</v>
      </c>
      <c r="F193" s="10">
        <f t="shared" si="49"/>
        <v>12507590000</v>
      </c>
      <c r="G193" s="10">
        <f t="shared" si="49"/>
        <v>17982262000</v>
      </c>
      <c r="H193" s="10">
        <f t="shared" si="49"/>
        <v>13437409000</v>
      </c>
      <c r="I193" s="10">
        <f t="shared" si="49"/>
        <v>13820062200</v>
      </c>
      <c r="J193" s="10">
        <f t="shared" si="49"/>
        <v>14488943240</v>
      </c>
      <c r="K193" s="10">
        <f t="shared" si="49"/>
        <v>14447253288</v>
      </c>
      <c r="L193" s="10">
        <f t="shared" si="49"/>
        <v>14835185945.600002</v>
      </c>
    </row>
    <row r="194" spans="1:12" x14ac:dyDescent="0.3"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 x14ac:dyDescent="0.3">
      <c r="A195" s="11" t="s">
        <v>163</v>
      </c>
      <c r="C195" s="10"/>
      <c r="D195" s="10"/>
      <c r="E195" s="10"/>
      <c r="G195" s="10"/>
      <c r="H195" s="10"/>
      <c r="I195" s="10"/>
      <c r="J195" s="10"/>
      <c r="K195" s="10"/>
      <c r="L195" s="10"/>
    </row>
    <row r="196" spans="1:12" x14ac:dyDescent="0.3">
      <c r="A196" s="4" t="s">
        <v>164</v>
      </c>
      <c r="C196" s="10">
        <v>1783250000</v>
      </c>
      <c r="D196" s="10">
        <v>1980768000</v>
      </c>
      <c r="E196" s="10">
        <v>2093024000</v>
      </c>
      <c r="F196" s="10">
        <v>2144900000</v>
      </c>
      <c r="G196" s="10">
        <v>1784470000</v>
      </c>
      <c r="H196" s="10">
        <f>AVERAGE(C196:G196)</f>
        <v>1957282400</v>
      </c>
      <c r="I196" s="10">
        <f>AVERAGE(D196:H196)</f>
        <v>1992088880</v>
      </c>
      <c r="J196" s="10">
        <f>AVERAGE(E196:I196)</f>
        <v>1994353056</v>
      </c>
      <c r="K196" s="10">
        <f>AVERAGE(F196:J196)</f>
        <v>1974618867.2</v>
      </c>
      <c r="L196" s="10">
        <f>AVERAGE(G196:K196)</f>
        <v>1940562640.6400001</v>
      </c>
    </row>
    <row r="197" spans="1:12" x14ac:dyDescent="0.3"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 x14ac:dyDescent="0.3">
      <c r="A198" s="11" t="s">
        <v>165</v>
      </c>
      <c r="B198" s="4" t="s">
        <v>18</v>
      </c>
      <c r="C198" s="10">
        <v>0</v>
      </c>
      <c r="D198" s="10">
        <v>0</v>
      </c>
      <c r="E198" s="10">
        <v>75271000</v>
      </c>
      <c r="F198" s="10">
        <v>81746000</v>
      </c>
      <c r="G198" s="10">
        <v>93006000</v>
      </c>
      <c r="H198" s="10">
        <f>AVERAGE(C198:G198)</f>
        <v>50004600</v>
      </c>
      <c r="I198" s="10">
        <f>AVERAGE(D198:H198)</f>
        <v>60005520</v>
      </c>
      <c r="J198" s="10">
        <f>AVERAGE(E198:I198)</f>
        <v>72006624</v>
      </c>
      <c r="K198" s="10">
        <f>AVERAGE(F198:J198)</f>
        <v>71353748.799999997</v>
      </c>
      <c r="L198" s="10">
        <f>AVERAGE(G198:K198)</f>
        <v>69275298.560000002</v>
      </c>
    </row>
    <row r="199" spans="1:12" x14ac:dyDescent="0.3"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 x14ac:dyDescent="0.3">
      <c r="A200" s="11" t="s">
        <v>166</v>
      </c>
      <c r="B200" s="4" t="s">
        <v>20</v>
      </c>
      <c r="C200" s="10">
        <v>780393000</v>
      </c>
      <c r="D200" s="10">
        <v>1245400000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</row>
    <row r="201" spans="1:12" x14ac:dyDescent="0.3"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 x14ac:dyDescent="0.3">
      <c r="A202" s="11" t="s">
        <v>167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 x14ac:dyDescent="0.3">
      <c r="A203" s="4" t="s">
        <v>168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 x14ac:dyDescent="0.3">
      <c r="A204" s="4" t="s">
        <v>169</v>
      </c>
      <c r="C204" s="10">
        <v>21453222000</v>
      </c>
      <c r="D204" s="10">
        <v>23058934000</v>
      </c>
      <c r="E204" s="10">
        <v>23481153000</v>
      </c>
      <c r="F204" s="10">
        <v>26026033000</v>
      </c>
      <c r="G204" s="10">
        <v>28450899000</v>
      </c>
      <c r="H204" s="10">
        <f>AVERAGE(C204:G204)</f>
        <v>24494048200</v>
      </c>
      <c r="I204" s="10">
        <f>AVERAGE(D204:H204)</f>
        <v>25102213440</v>
      </c>
      <c r="J204" s="10">
        <f>AVERAGE(E204:I204)</f>
        <v>25510869328</v>
      </c>
      <c r="K204" s="10">
        <f>AVERAGE(F204:J204)</f>
        <v>25916812593.599998</v>
      </c>
      <c r="L204" s="10">
        <f>AVERAGE(G204:K204)</f>
        <v>25894968512.32</v>
      </c>
    </row>
    <row r="205" spans="1:12" x14ac:dyDescent="0.3">
      <c r="A205" s="4" t="s">
        <v>170</v>
      </c>
      <c r="B205" s="4" t="s">
        <v>20</v>
      </c>
      <c r="C205" s="10">
        <v>181191000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</row>
    <row r="206" spans="1:12" x14ac:dyDescent="0.3">
      <c r="A206" s="4" t="s">
        <v>171</v>
      </c>
      <c r="B206" s="4" t="s">
        <v>18</v>
      </c>
      <c r="C206" s="10">
        <v>2722856000</v>
      </c>
      <c r="D206" s="10">
        <v>1656161000</v>
      </c>
      <c r="E206" s="10">
        <v>4286546000</v>
      </c>
      <c r="F206" s="10">
        <v>2154016000</v>
      </c>
      <c r="G206" s="10">
        <v>517320000</v>
      </c>
      <c r="H206" s="10">
        <f>AVERAGE(C206:G206)</f>
        <v>2267379800</v>
      </c>
      <c r="I206" s="10">
        <f>AVERAGE(D206:H206)</f>
        <v>2176284560</v>
      </c>
      <c r="J206" s="10">
        <f>AVERAGE(E206:I206)</f>
        <v>2280309272</v>
      </c>
      <c r="K206" s="10">
        <f>AVERAGE(F206:J206)</f>
        <v>1879061926.4000001</v>
      </c>
      <c r="L206" s="10">
        <f>AVERAGE(G206:K206)</f>
        <v>1824071111.6799998</v>
      </c>
    </row>
    <row r="207" spans="1:12" x14ac:dyDescent="0.3">
      <c r="A207" s="4" t="s">
        <v>172</v>
      </c>
      <c r="C207" s="10">
        <f t="shared" ref="C207:L207" si="50">SUM(C204:C206)</f>
        <v>24357269000</v>
      </c>
      <c r="D207" s="10">
        <f t="shared" si="50"/>
        <v>24715095000</v>
      </c>
      <c r="E207" s="10">
        <f t="shared" si="50"/>
        <v>27767699000</v>
      </c>
      <c r="F207" s="10">
        <f t="shared" si="50"/>
        <v>28180049000</v>
      </c>
      <c r="G207" s="10">
        <f t="shared" si="50"/>
        <v>28968219000</v>
      </c>
      <c r="H207" s="10">
        <f t="shared" si="50"/>
        <v>26761428000</v>
      </c>
      <c r="I207" s="10">
        <f t="shared" si="50"/>
        <v>27278498000</v>
      </c>
      <c r="J207" s="10">
        <f t="shared" si="50"/>
        <v>27791178600</v>
      </c>
      <c r="K207" s="10">
        <f t="shared" si="50"/>
        <v>27795874520</v>
      </c>
      <c r="L207" s="10">
        <f t="shared" si="50"/>
        <v>27719039624</v>
      </c>
    </row>
    <row r="208" spans="1:12" x14ac:dyDescent="0.3"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 x14ac:dyDescent="0.3">
      <c r="A209" s="11" t="s">
        <v>173</v>
      </c>
      <c r="C209" s="31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 x14ac:dyDescent="0.3">
      <c r="A210" s="4" t="s">
        <v>174</v>
      </c>
      <c r="C210" s="10">
        <v>386748000</v>
      </c>
      <c r="D210" s="10">
        <v>479242000</v>
      </c>
      <c r="E210" s="10">
        <v>472765000</v>
      </c>
      <c r="F210" s="10">
        <f t="shared" ref="F210:L210" si="51">E218</f>
        <v>466935000</v>
      </c>
      <c r="G210" s="10">
        <f t="shared" si="51"/>
        <v>464896000</v>
      </c>
      <c r="H210" s="10">
        <f t="shared" si="51"/>
        <v>459974000</v>
      </c>
      <c r="I210" s="10">
        <f t="shared" si="51"/>
        <v>453261709.6746518</v>
      </c>
      <c r="J210" s="10">
        <f t="shared" si="51"/>
        <v>447835197.6135183</v>
      </c>
      <c r="K210" s="10">
        <f t="shared" si="51"/>
        <v>442703982.19149524</v>
      </c>
      <c r="L210" s="10">
        <f t="shared" si="51"/>
        <v>437824996.02926087</v>
      </c>
    </row>
    <row r="211" spans="1:12" x14ac:dyDescent="0.3">
      <c r="A211" s="4" t="s">
        <v>175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 x14ac:dyDescent="0.3">
      <c r="A212" s="4" t="s">
        <v>176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 x14ac:dyDescent="0.3">
      <c r="A213" s="4" t="s">
        <v>177</v>
      </c>
      <c r="B213" s="4" t="s">
        <v>20</v>
      </c>
      <c r="C213" s="10">
        <v>99692000</v>
      </c>
      <c r="D213" s="10">
        <v>0</v>
      </c>
      <c r="E213" s="10">
        <v>0</v>
      </c>
      <c r="F213" s="10">
        <v>1209000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</row>
    <row r="214" spans="1:12" x14ac:dyDescent="0.3">
      <c r="A214" s="4" t="s">
        <v>178</v>
      </c>
      <c r="B214" s="4" t="s">
        <v>20</v>
      </c>
      <c r="C214" s="26">
        <v>0</v>
      </c>
      <c r="D214" s="26">
        <v>0</v>
      </c>
      <c r="E214" s="26">
        <v>0</v>
      </c>
      <c r="F214" s="26">
        <v>21361000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</row>
    <row r="215" spans="1:12" x14ac:dyDescent="0.3">
      <c r="C215" s="10">
        <f t="shared" ref="C215:L215" si="52">C213+C214</f>
        <v>99692000</v>
      </c>
      <c r="D215" s="10">
        <f t="shared" si="52"/>
        <v>0</v>
      </c>
      <c r="E215" s="10">
        <f t="shared" si="52"/>
        <v>0</v>
      </c>
      <c r="F215" s="10">
        <f t="shared" si="52"/>
        <v>22570000</v>
      </c>
      <c r="G215" s="10">
        <f t="shared" si="52"/>
        <v>0</v>
      </c>
      <c r="H215" s="10">
        <f t="shared" si="52"/>
        <v>0</v>
      </c>
      <c r="I215" s="10">
        <f t="shared" si="52"/>
        <v>0</v>
      </c>
      <c r="J215" s="10">
        <f t="shared" si="52"/>
        <v>0</v>
      </c>
      <c r="K215" s="10">
        <f t="shared" si="52"/>
        <v>0</v>
      </c>
      <c r="L215" s="10">
        <f t="shared" si="52"/>
        <v>0</v>
      </c>
    </row>
    <row r="216" spans="1:12" x14ac:dyDescent="0.3">
      <c r="A216" s="4" t="s">
        <v>179</v>
      </c>
      <c r="B216" s="4" t="s">
        <v>20</v>
      </c>
      <c r="C216" s="10">
        <v>0</v>
      </c>
      <c r="D216" s="10">
        <v>0</v>
      </c>
      <c r="E216" s="10">
        <v>0</v>
      </c>
      <c r="F216" s="10">
        <v>19298000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</row>
    <row r="217" spans="1:12" x14ac:dyDescent="0.3">
      <c r="A217" s="4" t="s">
        <v>180</v>
      </c>
      <c r="C217" s="10">
        <v>7198000</v>
      </c>
      <c r="D217" s="10">
        <v>6477000</v>
      </c>
      <c r="E217" s="10">
        <v>5830000</v>
      </c>
      <c r="F217" s="10">
        <v>5311000</v>
      </c>
      <c r="G217" s="10">
        <v>4922000</v>
      </c>
      <c r="H217" s="10">
        <f>'[1]Depreciation schedule'!H274</f>
        <v>6712290.3253481761</v>
      </c>
      <c r="I217" s="10">
        <f>'[1]Depreciation schedule'!I274</f>
        <v>5426512.061133489</v>
      </c>
      <c r="J217" s="10">
        <f>'[1]Depreciation schedule'!J274</f>
        <v>5131215.4220230328</v>
      </c>
      <c r="K217" s="10">
        <f>'[1]Depreciation schedule'!K274</f>
        <v>4878986.1622343548</v>
      </c>
      <c r="L217" s="10">
        <f>'[1]Depreciation schedule'!L274</f>
        <v>4635390.7765522227</v>
      </c>
    </row>
    <row r="218" spans="1:12" x14ac:dyDescent="0.3">
      <c r="A218" s="4" t="s">
        <v>181</v>
      </c>
      <c r="C218" s="10">
        <f t="shared" ref="C218:L218" si="53">C210+C215-C216-C217</f>
        <v>479242000</v>
      </c>
      <c r="D218" s="10">
        <f t="shared" si="53"/>
        <v>472765000</v>
      </c>
      <c r="E218" s="10">
        <f t="shared" si="53"/>
        <v>466935000</v>
      </c>
      <c r="F218" s="10">
        <f t="shared" si="53"/>
        <v>464896000</v>
      </c>
      <c r="G218" s="10">
        <f t="shared" si="53"/>
        <v>459974000</v>
      </c>
      <c r="H218" s="10">
        <f t="shared" si="53"/>
        <v>453261709.6746518</v>
      </c>
      <c r="I218" s="10">
        <f t="shared" si="53"/>
        <v>447835197.6135183</v>
      </c>
      <c r="J218" s="10">
        <f t="shared" si="53"/>
        <v>442703982.19149524</v>
      </c>
      <c r="K218" s="10">
        <f t="shared" si="53"/>
        <v>437824996.02926087</v>
      </c>
      <c r="L218" s="10">
        <f t="shared" si="53"/>
        <v>433189605.25270867</v>
      </c>
    </row>
    <row r="219" spans="1:12" x14ac:dyDescent="0.3"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 x14ac:dyDescent="0.3">
      <c r="A220" s="4" t="s">
        <v>182</v>
      </c>
      <c r="B220" s="4" t="s">
        <v>18</v>
      </c>
      <c r="C220" s="10">
        <v>51960454000</v>
      </c>
      <c r="D220" s="10">
        <v>55399080000</v>
      </c>
      <c r="E220" s="10">
        <v>60008322000</v>
      </c>
      <c r="F220" s="10">
        <v>44757279000</v>
      </c>
      <c r="G220" s="10">
        <v>34930333000</v>
      </c>
      <c r="H220" s="10">
        <f>AVERAGE(C220:G220)</f>
        <v>49411093600</v>
      </c>
      <c r="I220" s="10">
        <f>AVERAGE(D220:H220)</f>
        <v>48901221520</v>
      </c>
      <c r="J220" s="10">
        <f>AVERAGE(E220:I220)</f>
        <v>47601649824</v>
      </c>
      <c r="K220" s="10">
        <f>AVERAGE(F220:J220)</f>
        <v>45120315388.800003</v>
      </c>
      <c r="L220" s="10">
        <f>AVERAGE(G220:K220)</f>
        <v>45192922666.559998</v>
      </c>
    </row>
    <row r="221" spans="1:12" x14ac:dyDescent="0.3"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 x14ac:dyDescent="0.3">
      <c r="A222" s="11" t="s">
        <v>183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 x14ac:dyDescent="0.3">
      <c r="A223" s="4" t="s">
        <v>184</v>
      </c>
      <c r="B223" s="4" t="s">
        <v>18</v>
      </c>
      <c r="C223" s="10">
        <v>136600000</v>
      </c>
      <c r="D223" s="10">
        <v>141866000</v>
      </c>
      <c r="E223" s="10">
        <v>227802000</v>
      </c>
      <c r="F223" s="10">
        <v>307347000</v>
      </c>
      <c r="G223" s="10">
        <v>376160000</v>
      </c>
      <c r="H223" s="10">
        <f t="shared" ref="H223:L224" si="54">AVERAGE(C223:G223)</f>
        <v>237955000</v>
      </c>
      <c r="I223" s="10">
        <f t="shared" si="54"/>
        <v>258226000</v>
      </c>
      <c r="J223" s="10">
        <f t="shared" si="54"/>
        <v>281498000</v>
      </c>
      <c r="K223" s="10">
        <f t="shared" si="54"/>
        <v>292237200</v>
      </c>
      <c r="L223" s="10">
        <f t="shared" si="54"/>
        <v>289215240</v>
      </c>
    </row>
    <row r="224" spans="1:12" x14ac:dyDescent="0.3">
      <c r="A224" s="4" t="s">
        <v>185</v>
      </c>
      <c r="B224" s="4" t="s">
        <v>18</v>
      </c>
      <c r="C224" s="25">
        <v>42316000</v>
      </c>
      <c r="D224" s="26">
        <v>44104000</v>
      </c>
      <c r="E224" s="26">
        <v>60276000</v>
      </c>
      <c r="F224" s="26">
        <v>85866000</v>
      </c>
      <c r="G224" s="26">
        <v>100914000</v>
      </c>
      <c r="H224" s="26">
        <f t="shared" si="54"/>
        <v>66695200</v>
      </c>
      <c r="I224" s="26">
        <f t="shared" si="54"/>
        <v>71571040</v>
      </c>
      <c r="J224" s="26">
        <f t="shared" si="54"/>
        <v>77064448</v>
      </c>
      <c r="K224" s="26">
        <f t="shared" si="54"/>
        <v>80422137.599999994</v>
      </c>
      <c r="L224" s="26">
        <f t="shared" si="54"/>
        <v>79333365.120000005</v>
      </c>
    </row>
    <row r="225" spans="1:12" x14ac:dyDescent="0.3">
      <c r="A225" s="4" t="s">
        <v>186</v>
      </c>
      <c r="C225" s="10">
        <f t="shared" ref="C225:L225" si="55">C223-C224</f>
        <v>94284000</v>
      </c>
      <c r="D225" s="10">
        <f t="shared" si="55"/>
        <v>97762000</v>
      </c>
      <c r="E225" s="10">
        <f t="shared" si="55"/>
        <v>167526000</v>
      </c>
      <c r="F225" s="10">
        <f t="shared" si="55"/>
        <v>221481000</v>
      </c>
      <c r="G225" s="10">
        <f t="shared" si="55"/>
        <v>275246000</v>
      </c>
      <c r="H225" s="10">
        <f t="shared" si="55"/>
        <v>171259800</v>
      </c>
      <c r="I225" s="10">
        <f t="shared" si="55"/>
        <v>186654960</v>
      </c>
      <c r="J225" s="10">
        <f t="shared" si="55"/>
        <v>204433552</v>
      </c>
      <c r="K225" s="10">
        <f t="shared" si="55"/>
        <v>211815062.40000001</v>
      </c>
      <c r="L225" s="10">
        <f t="shared" si="55"/>
        <v>209881874.88</v>
      </c>
    </row>
    <row r="226" spans="1:12" x14ac:dyDescent="0.3"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 x14ac:dyDescent="0.3">
      <c r="A227" s="11" t="s">
        <v>187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 x14ac:dyDescent="0.3">
      <c r="A228" s="4" t="s">
        <v>188</v>
      </c>
      <c r="B228" s="4" t="s">
        <v>18</v>
      </c>
      <c r="C228" s="10">
        <v>58307000</v>
      </c>
      <c r="D228" s="10">
        <v>63687000</v>
      </c>
      <c r="E228" s="10">
        <v>121646000</v>
      </c>
      <c r="F228" s="10">
        <v>69643000</v>
      </c>
      <c r="G228" s="10">
        <v>114360000</v>
      </c>
      <c r="H228" s="10">
        <f>AVERAGE(C228:G228)</f>
        <v>85528600</v>
      </c>
      <c r="I228" s="10">
        <f>AVERAGE(D228:H228)</f>
        <v>90972920</v>
      </c>
      <c r="J228" s="10">
        <f>AVERAGE(E228:I228)</f>
        <v>96430104</v>
      </c>
      <c r="K228" s="10">
        <f>AVERAGE(F228:J228)</f>
        <v>91386924.799999997</v>
      </c>
      <c r="L228" s="10">
        <f>AVERAGE(G228:K228)</f>
        <v>95735709.760000005</v>
      </c>
    </row>
    <row r="229" spans="1:12" x14ac:dyDescent="0.3"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 x14ac:dyDescent="0.3">
      <c r="A230" s="11" t="s">
        <v>189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 x14ac:dyDescent="0.3">
      <c r="A231" s="4" t="s">
        <v>190</v>
      </c>
      <c r="B231" s="4" t="s">
        <v>18</v>
      </c>
      <c r="C231" s="10">
        <v>1056723000</v>
      </c>
      <c r="D231" s="10">
        <v>928269000</v>
      </c>
      <c r="E231" s="10">
        <v>1723258000</v>
      </c>
      <c r="F231" s="10">
        <v>1225985000</v>
      </c>
      <c r="G231" s="10">
        <v>2560063000</v>
      </c>
      <c r="H231" s="10">
        <f t="shared" ref="H231:L233" si="56">AVERAGE(C231:G231)</f>
        <v>1498859600</v>
      </c>
      <c r="I231" s="10">
        <f t="shared" si="56"/>
        <v>1587286920</v>
      </c>
      <c r="J231" s="10">
        <f t="shared" si="56"/>
        <v>1719090504</v>
      </c>
      <c r="K231" s="10">
        <f t="shared" si="56"/>
        <v>1718257004.8</v>
      </c>
      <c r="L231" s="10">
        <f t="shared" si="56"/>
        <v>1816711405.7599998</v>
      </c>
    </row>
    <row r="232" spans="1:12" x14ac:dyDescent="0.3">
      <c r="A232" s="4" t="s">
        <v>191</v>
      </c>
      <c r="B232" s="4" t="s">
        <v>18</v>
      </c>
      <c r="C232" s="10">
        <v>283536000</v>
      </c>
      <c r="D232" s="10">
        <v>343474000</v>
      </c>
      <c r="E232" s="10">
        <v>384241000</v>
      </c>
      <c r="F232" s="10">
        <v>488903000</v>
      </c>
      <c r="G232" s="10">
        <v>541774000</v>
      </c>
      <c r="H232" s="10">
        <f t="shared" si="56"/>
        <v>408385600</v>
      </c>
      <c r="I232" s="10">
        <f t="shared" si="56"/>
        <v>433355520</v>
      </c>
      <c r="J232" s="10">
        <f t="shared" si="56"/>
        <v>451331824</v>
      </c>
      <c r="K232" s="10">
        <f t="shared" si="56"/>
        <v>464749988.80000001</v>
      </c>
      <c r="L232" s="10">
        <f t="shared" si="56"/>
        <v>459919386.56000006</v>
      </c>
    </row>
    <row r="233" spans="1:12" x14ac:dyDescent="0.3">
      <c r="A233" s="4" t="s">
        <v>192</v>
      </c>
      <c r="B233" s="4" t="s">
        <v>18</v>
      </c>
      <c r="C233" s="26">
        <v>1419000</v>
      </c>
      <c r="D233" s="26">
        <v>2822000</v>
      </c>
      <c r="E233" s="26">
        <v>3816000</v>
      </c>
      <c r="F233" s="26">
        <v>3433000</v>
      </c>
      <c r="G233" s="26">
        <v>5375000</v>
      </c>
      <c r="H233" s="26">
        <f t="shared" si="56"/>
        <v>3373000</v>
      </c>
      <c r="I233" s="26">
        <f t="shared" si="56"/>
        <v>3763800</v>
      </c>
      <c r="J233" s="26">
        <f t="shared" si="56"/>
        <v>3952160</v>
      </c>
      <c r="K233" s="26">
        <f t="shared" si="56"/>
        <v>3979392</v>
      </c>
      <c r="L233" s="26">
        <f t="shared" si="56"/>
        <v>4088670.4</v>
      </c>
    </row>
    <row r="234" spans="1:12" x14ac:dyDescent="0.3">
      <c r="C234" s="10">
        <f t="shared" ref="C234:L234" si="57">SUM(C231:C233)</f>
        <v>1341678000</v>
      </c>
      <c r="D234" s="10">
        <f t="shared" si="57"/>
        <v>1274565000</v>
      </c>
      <c r="E234" s="10">
        <f t="shared" si="57"/>
        <v>2111315000</v>
      </c>
      <c r="F234" s="10">
        <f t="shared" si="57"/>
        <v>1718321000</v>
      </c>
      <c r="G234" s="10">
        <f t="shared" si="57"/>
        <v>3107212000</v>
      </c>
      <c r="H234" s="10">
        <f t="shared" si="57"/>
        <v>1910618200</v>
      </c>
      <c r="I234" s="10">
        <f t="shared" si="57"/>
        <v>2024406240</v>
      </c>
      <c r="J234" s="10">
        <f t="shared" si="57"/>
        <v>2174374488</v>
      </c>
      <c r="K234" s="10">
        <f t="shared" si="57"/>
        <v>2186986385.5999999</v>
      </c>
      <c r="L234" s="10">
        <f t="shared" si="57"/>
        <v>2280719462.7199998</v>
      </c>
    </row>
    <row r="235" spans="1:12" x14ac:dyDescent="0.3">
      <c r="A235" s="4" t="s">
        <v>193</v>
      </c>
      <c r="C235" s="10">
        <v>5915000</v>
      </c>
      <c r="D235" s="10">
        <v>5056000</v>
      </c>
      <c r="E235" s="10">
        <v>4437000</v>
      </c>
      <c r="F235" s="10">
        <v>4290000</v>
      </c>
      <c r="G235" s="10">
        <v>4224000</v>
      </c>
      <c r="H235" s="10">
        <f>G235</f>
        <v>4224000</v>
      </c>
      <c r="I235" s="10">
        <f>H235</f>
        <v>4224000</v>
      </c>
      <c r="J235" s="10">
        <f>I235</f>
        <v>4224000</v>
      </c>
      <c r="K235" s="10">
        <f>J235</f>
        <v>4224000</v>
      </c>
      <c r="L235" s="10">
        <f>K235</f>
        <v>4224000</v>
      </c>
    </row>
    <row r="236" spans="1:12" x14ac:dyDescent="0.3">
      <c r="A236" s="4" t="s">
        <v>194</v>
      </c>
      <c r="C236" s="10">
        <f t="shared" ref="C236:L236" si="58">C234-C235</f>
        <v>1335763000</v>
      </c>
      <c r="D236" s="10">
        <f t="shared" si="58"/>
        <v>1269509000</v>
      </c>
      <c r="E236" s="10">
        <f t="shared" si="58"/>
        <v>2106878000</v>
      </c>
      <c r="F236" s="10">
        <f t="shared" si="58"/>
        <v>1714031000</v>
      </c>
      <c r="G236" s="10">
        <f t="shared" si="58"/>
        <v>3102988000</v>
      </c>
      <c r="H236" s="10">
        <f t="shared" si="58"/>
        <v>1906394200</v>
      </c>
      <c r="I236" s="10">
        <f t="shared" si="58"/>
        <v>2020182240</v>
      </c>
      <c r="J236" s="10">
        <f t="shared" si="58"/>
        <v>2170150488</v>
      </c>
      <c r="K236" s="10">
        <f t="shared" si="58"/>
        <v>2182762385.5999999</v>
      </c>
      <c r="L236" s="10">
        <f t="shared" si="58"/>
        <v>2276495462.7199998</v>
      </c>
    </row>
    <row r="237" spans="1:12" x14ac:dyDescent="0.3"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 x14ac:dyDescent="0.3">
      <c r="A238" s="11" t="s">
        <v>195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 x14ac:dyDescent="0.3">
      <c r="A239" s="4" t="s">
        <v>196</v>
      </c>
      <c r="B239" s="4" t="s">
        <v>18</v>
      </c>
      <c r="C239" s="10">
        <v>5936585000</v>
      </c>
      <c r="D239" s="10">
        <v>5312509000</v>
      </c>
      <c r="E239" s="10">
        <v>7433874000</v>
      </c>
      <c r="F239" s="10">
        <v>6991589000</v>
      </c>
      <c r="G239" s="10">
        <v>11135516000</v>
      </c>
      <c r="H239" s="10">
        <f t="shared" ref="H239:L241" si="59">AVERAGE(C239:G239)</f>
        <v>7362014600</v>
      </c>
      <c r="I239" s="10">
        <f t="shared" si="59"/>
        <v>7647100520</v>
      </c>
      <c r="J239" s="10">
        <f t="shared" si="59"/>
        <v>8114018824</v>
      </c>
      <c r="K239" s="10">
        <f t="shared" si="59"/>
        <v>8250047788.8000002</v>
      </c>
      <c r="L239" s="10">
        <f t="shared" si="59"/>
        <v>8501739546.5600004</v>
      </c>
    </row>
    <row r="240" spans="1:12" x14ac:dyDescent="0.3">
      <c r="A240" s="4" t="s">
        <v>197</v>
      </c>
      <c r="B240" s="4" t="s">
        <v>18</v>
      </c>
      <c r="C240" s="10">
        <v>1530684000</v>
      </c>
      <c r="D240" s="10">
        <v>1746041000</v>
      </c>
      <c r="E240" s="10">
        <v>1992931000</v>
      </c>
      <c r="F240" s="10">
        <v>2022712000</v>
      </c>
      <c r="G240" s="10">
        <v>2015512000</v>
      </c>
      <c r="H240" s="10">
        <f t="shared" si="59"/>
        <v>1861576000</v>
      </c>
      <c r="I240" s="10">
        <f t="shared" si="59"/>
        <v>1927754400</v>
      </c>
      <c r="J240" s="10">
        <f t="shared" si="59"/>
        <v>1964097080</v>
      </c>
      <c r="K240" s="10">
        <f t="shared" si="59"/>
        <v>1958330296</v>
      </c>
      <c r="L240" s="10">
        <f t="shared" si="59"/>
        <v>1945453955.2</v>
      </c>
    </row>
    <row r="241" spans="1:12" x14ac:dyDescent="0.3">
      <c r="A241" s="4" t="s">
        <v>198</v>
      </c>
      <c r="B241" s="4" t="s">
        <v>18</v>
      </c>
      <c r="C241" s="10">
        <v>2882924000</v>
      </c>
      <c r="D241" s="10">
        <v>2875186000</v>
      </c>
      <c r="E241" s="10">
        <v>3295907000</v>
      </c>
      <c r="F241" s="10">
        <v>3229351000</v>
      </c>
      <c r="G241" s="10">
        <v>3857431000</v>
      </c>
      <c r="H241" s="10">
        <f t="shared" si="59"/>
        <v>3228159800</v>
      </c>
      <c r="I241" s="10">
        <f t="shared" si="59"/>
        <v>3297206960</v>
      </c>
      <c r="J241" s="10">
        <f t="shared" si="59"/>
        <v>3381611152</v>
      </c>
      <c r="K241" s="10">
        <f t="shared" si="59"/>
        <v>3398751982.4000001</v>
      </c>
      <c r="L241" s="10">
        <f t="shared" si="59"/>
        <v>3432632178.8800001</v>
      </c>
    </row>
    <row r="242" spans="1:12" x14ac:dyDescent="0.3">
      <c r="A242" s="4" t="s">
        <v>199</v>
      </c>
      <c r="C242" s="10">
        <f t="shared" ref="C242:L242" si="60">SUM(C239:C241)</f>
        <v>10350193000</v>
      </c>
      <c r="D242" s="10">
        <f t="shared" si="60"/>
        <v>9933736000</v>
      </c>
      <c r="E242" s="10">
        <f t="shared" si="60"/>
        <v>12722712000</v>
      </c>
      <c r="F242" s="10">
        <f t="shared" si="60"/>
        <v>12243652000</v>
      </c>
      <c r="G242" s="10">
        <f t="shared" si="60"/>
        <v>17008459000</v>
      </c>
      <c r="H242" s="10">
        <f t="shared" si="60"/>
        <v>12451750400</v>
      </c>
      <c r="I242" s="10">
        <f t="shared" si="60"/>
        <v>12872061880</v>
      </c>
      <c r="J242" s="10">
        <f t="shared" si="60"/>
        <v>13459727056</v>
      </c>
      <c r="K242" s="10">
        <f t="shared" si="60"/>
        <v>13607130067.199999</v>
      </c>
      <c r="L242" s="10">
        <f t="shared" si="60"/>
        <v>13879825680.639999</v>
      </c>
    </row>
    <row r="243" spans="1:12" x14ac:dyDescent="0.3"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 x14ac:dyDescent="0.3">
      <c r="A244" s="11" t="s">
        <v>200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1:12" x14ac:dyDescent="0.3">
      <c r="A245" s="4" t="s">
        <v>201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 x14ac:dyDescent="0.3">
      <c r="A246" s="4" t="s">
        <v>202</v>
      </c>
      <c r="B246" s="4" t="s">
        <v>18</v>
      </c>
      <c r="C246" s="10">
        <v>1123897000</v>
      </c>
      <c r="D246" s="10">
        <v>594580000</v>
      </c>
      <c r="E246" s="10">
        <v>517650000</v>
      </c>
      <c r="F246" s="10">
        <v>1010551000</v>
      </c>
      <c r="G246" s="10">
        <v>1321438000</v>
      </c>
      <c r="H246" s="10">
        <f>AVERAGE(C246:G246)</f>
        <v>913623200</v>
      </c>
      <c r="I246" s="10">
        <f>AVERAGE(D246:H246)</f>
        <v>871568440</v>
      </c>
      <c r="J246" s="10">
        <f>AVERAGE(E246:I246)</f>
        <v>926966128</v>
      </c>
      <c r="K246" s="10">
        <f>AVERAGE(F246:J246)</f>
        <v>1008829353.6</v>
      </c>
      <c r="L246" s="10">
        <f>AVERAGE(G246:K246)</f>
        <v>1008485024.3200001</v>
      </c>
    </row>
    <row r="247" spans="1:12" x14ac:dyDescent="0.3">
      <c r="A247" s="4" t="s">
        <v>203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 x14ac:dyDescent="0.3">
      <c r="A248" s="4" t="s">
        <v>204</v>
      </c>
      <c r="B248" s="4" t="s">
        <v>18</v>
      </c>
      <c r="C248" s="10">
        <v>291346000</v>
      </c>
      <c r="D248" s="10">
        <v>261957000</v>
      </c>
      <c r="E248" s="10">
        <v>167860000</v>
      </c>
      <c r="F248" s="10">
        <v>1389274000</v>
      </c>
      <c r="G248" s="10">
        <v>378871000</v>
      </c>
      <c r="H248" s="10">
        <f t="shared" ref="H248:L249" si="61">AVERAGE(C248:G248)</f>
        <v>497861600</v>
      </c>
      <c r="I248" s="10">
        <f t="shared" si="61"/>
        <v>539164720</v>
      </c>
      <c r="J248" s="10">
        <f t="shared" si="61"/>
        <v>594606264</v>
      </c>
      <c r="K248" s="10">
        <f t="shared" si="61"/>
        <v>679955516.79999995</v>
      </c>
      <c r="L248" s="10">
        <f t="shared" si="61"/>
        <v>538091820.16000009</v>
      </c>
    </row>
    <row r="249" spans="1:12" x14ac:dyDescent="0.3">
      <c r="A249" s="4" t="s">
        <v>205</v>
      </c>
      <c r="B249" s="4" t="s">
        <v>18</v>
      </c>
      <c r="C249" s="26">
        <v>1599223000</v>
      </c>
      <c r="D249" s="26">
        <v>1396832000</v>
      </c>
      <c r="E249" s="26">
        <v>1560110000</v>
      </c>
      <c r="F249" s="26">
        <v>1629964000</v>
      </c>
      <c r="G249" s="26">
        <v>3025971000</v>
      </c>
      <c r="H249" s="26">
        <f t="shared" si="61"/>
        <v>1842420000</v>
      </c>
      <c r="I249" s="26">
        <f t="shared" si="61"/>
        <v>1891059400</v>
      </c>
      <c r="J249" s="26">
        <f t="shared" si="61"/>
        <v>1989904880</v>
      </c>
      <c r="K249" s="26">
        <f t="shared" si="61"/>
        <v>2075863856</v>
      </c>
      <c r="L249" s="26">
        <f t="shared" si="61"/>
        <v>2165043827.1999998</v>
      </c>
    </row>
    <row r="250" spans="1:12" x14ac:dyDescent="0.3">
      <c r="C250" s="10">
        <f t="shared" ref="C250:L250" si="62">SUM(C246:C249)</f>
        <v>3014466000</v>
      </c>
      <c r="D250" s="10">
        <f t="shared" si="62"/>
        <v>2253369000</v>
      </c>
      <c r="E250" s="10">
        <f t="shared" si="62"/>
        <v>2245620000</v>
      </c>
      <c r="F250" s="10">
        <f t="shared" si="62"/>
        <v>4029789000</v>
      </c>
      <c r="G250" s="10">
        <f t="shared" si="62"/>
        <v>4726280000</v>
      </c>
      <c r="H250" s="10">
        <f t="shared" si="62"/>
        <v>3253904800</v>
      </c>
      <c r="I250" s="10">
        <f t="shared" si="62"/>
        <v>3301792560</v>
      </c>
      <c r="J250" s="10">
        <f t="shared" si="62"/>
        <v>3511477272</v>
      </c>
      <c r="K250" s="10">
        <f t="shared" si="62"/>
        <v>3764648726.4000001</v>
      </c>
      <c r="L250" s="10">
        <f t="shared" si="62"/>
        <v>3711620671.6799998</v>
      </c>
    </row>
    <row r="251" spans="1:12" x14ac:dyDescent="0.3">
      <c r="A251" s="4" t="s">
        <v>206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 x14ac:dyDescent="0.3">
      <c r="A252" s="4" t="s">
        <v>207</v>
      </c>
      <c r="C252" s="10">
        <v>131758000</v>
      </c>
      <c r="D252" s="10">
        <f>C252</f>
        <v>131758000</v>
      </c>
      <c r="E252" s="10">
        <v>131758000</v>
      </c>
      <c r="F252" s="10">
        <v>0</v>
      </c>
      <c r="G252" s="10"/>
      <c r="H252" s="10"/>
      <c r="I252" s="10"/>
      <c r="J252" s="10"/>
      <c r="K252" s="10"/>
      <c r="L252" s="10"/>
    </row>
    <row r="253" spans="1:12" x14ac:dyDescent="0.3">
      <c r="A253" s="4" t="s">
        <v>208</v>
      </c>
      <c r="C253" s="26">
        <v>131758000</v>
      </c>
      <c r="D253" s="26">
        <f>C253</f>
        <v>131758000</v>
      </c>
      <c r="E253" s="26">
        <f>E252</f>
        <v>131758000</v>
      </c>
      <c r="F253" s="26">
        <v>0</v>
      </c>
      <c r="G253" s="26">
        <v>15219000</v>
      </c>
      <c r="H253" s="26"/>
      <c r="I253" s="26"/>
      <c r="J253" s="26"/>
      <c r="K253" s="26"/>
      <c r="L253" s="26"/>
    </row>
    <row r="254" spans="1:12" x14ac:dyDescent="0.3">
      <c r="C254" s="10">
        <f t="shared" ref="C254:L254" si="63">C252-C253</f>
        <v>0</v>
      </c>
      <c r="D254" s="10">
        <f t="shared" si="63"/>
        <v>0</v>
      </c>
      <c r="E254" s="10">
        <f t="shared" si="63"/>
        <v>0</v>
      </c>
      <c r="F254" s="10">
        <f t="shared" si="63"/>
        <v>0</v>
      </c>
      <c r="G254" s="10">
        <f t="shared" si="63"/>
        <v>-15219000</v>
      </c>
      <c r="H254" s="10">
        <f t="shared" si="63"/>
        <v>0</v>
      </c>
      <c r="I254" s="10">
        <f t="shared" si="63"/>
        <v>0</v>
      </c>
      <c r="J254" s="10">
        <f t="shared" si="63"/>
        <v>0</v>
      </c>
      <c r="K254" s="10">
        <f t="shared" si="63"/>
        <v>0</v>
      </c>
      <c r="L254" s="10">
        <f t="shared" si="63"/>
        <v>0</v>
      </c>
    </row>
    <row r="255" spans="1:12" x14ac:dyDescent="0.3">
      <c r="A255" s="4" t="s">
        <v>209</v>
      </c>
      <c r="C255" s="10">
        <f t="shared" ref="C255:L255" si="64">C250+C254</f>
        <v>3014466000</v>
      </c>
      <c r="D255" s="10">
        <f t="shared" si="64"/>
        <v>2253369000</v>
      </c>
      <c r="E255" s="10">
        <f t="shared" si="64"/>
        <v>2245620000</v>
      </c>
      <c r="F255" s="10">
        <f t="shared" si="64"/>
        <v>4029789000</v>
      </c>
      <c r="G255" s="10">
        <f t="shared" si="64"/>
        <v>4711061000</v>
      </c>
      <c r="H255" s="10">
        <f t="shared" si="64"/>
        <v>3253904800</v>
      </c>
      <c r="I255" s="10">
        <f t="shared" si="64"/>
        <v>3301792560</v>
      </c>
      <c r="J255" s="10">
        <f t="shared" si="64"/>
        <v>3511477272</v>
      </c>
      <c r="K255" s="10">
        <f t="shared" si="64"/>
        <v>3764648726.4000001</v>
      </c>
      <c r="L255" s="10">
        <f t="shared" si="64"/>
        <v>3711620671.6799998</v>
      </c>
    </row>
    <row r="256" spans="1:12" x14ac:dyDescent="0.3"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 x14ac:dyDescent="0.3">
      <c r="A257" s="11" t="s">
        <v>210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 x14ac:dyDescent="0.3">
      <c r="A258" s="4" t="s">
        <v>211</v>
      </c>
      <c r="B258" s="4" t="s">
        <v>18</v>
      </c>
      <c r="C258" s="10">
        <v>5575273000</v>
      </c>
      <c r="D258" s="10">
        <v>6111644000</v>
      </c>
      <c r="E258" s="10">
        <v>6442363000</v>
      </c>
      <c r="F258" s="10">
        <v>4848088000</v>
      </c>
      <c r="G258" s="10">
        <v>8040700000</v>
      </c>
      <c r="H258" s="10">
        <f>AVERAGE(C258:G258)</f>
        <v>6203613600</v>
      </c>
      <c r="I258" s="10">
        <f>AVERAGE(D258:H258)</f>
        <v>6329281720</v>
      </c>
      <c r="J258" s="10">
        <f>AVERAGE(E258:I258)</f>
        <v>6372809264</v>
      </c>
      <c r="K258" s="10">
        <f>AVERAGE(F258:J258)</f>
        <v>6358898516.8000002</v>
      </c>
      <c r="L258" s="10">
        <f>AVERAGE(G258:K258)</f>
        <v>6661060620.1599998</v>
      </c>
    </row>
    <row r="259" spans="1:12" x14ac:dyDescent="0.3">
      <c r="A259" s="4" t="s">
        <v>212</v>
      </c>
      <c r="B259" s="4" t="s">
        <v>20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</row>
    <row r="260" spans="1:12" x14ac:dyDescent="0.3">
      <c r="A260" s="4" t="s">
        <v>213</v>
      </c>
      <c r="C260" s="10">
        <f t="shared" ref="C260:L260" si="65">C258+C259</f>
        <v>5575273000</v>
      </c>
      <c r="D260" s="10">
        <f t="shared" si="65"/>
        <v>6111644000</v>
      </c>
      <c r="E260" s="10">
        <f t="shared" si="65"/>
        <v>6442363000</v>
      </c>
      <c r="F260" s="10">
        <f t="shared" si="65"/>
        <v>4848088000</v>
      </c>
      <c r="G260" s="10">
        <f t="shared" si="65"/>
        <v>8040700000</v>
      </c>
      <c r="H260" s="10">
        <f t="shared" si="65"/>
        <v>6203613600</v>
      </c>
      <c r="I260" s="10">
        <f t="shared" si="65"/>
        <v>6329281720</v>
      </c>
      <c r="J260" s="10">
        <f t="shared" si="65"/>
        <v>6372809264</v>
      </c>
      <c r="K260" s="10">
        <f t="shared" si="65"/>
        <v>6358898516.8000002</v>
      </c>
      <c r="L260" s="10">
        <f t="shared" si="65"/>
        <v>6661060620.1599998</v>
      </c>
    </row>
    <row r="261" spans="1:12" x14ac:dyDescent="0.3"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 x14ac:dyDescent="0.3">
      <c r="A262" s="11" t="s">
        <v>214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 x14ac:dyDescent="0.3">
      <c r="A263" s="4" t="s">
        <v>215</v>
      </c>
      <c r="B263" s="4" t="s">
        <v>18</v>
      </c>
      <c r="C263" s="10">
        <v>1117000</v>
      </c>
      <c r="D263" s="10">
        <f>C263</f>
        <v>1117000</v>
      </c>
      <c r="E263" s="10">
        <v>1117000</v>
      </c>
      <c r="F263" s="10">
        <v>26751000</v>
      </c>
      <c r="G263" s="10">
        <v>1116000</v>
      </c>
      <c r="H263" s="10">
        <f t="shared" ref="H263:L264" si="66">AVERAGE(C263:G263)</f>
        <v>6243600</v>
      </c>
      <c r="I263" s="10">
        <f t="shared" si="66"/>
        <v>7268920</v>
      </c>
      <c r="J263" s="10">
        <f t="shared" si="66"/>
        <v>8499304</v>
      </c>
      <c r="K263" s="10">
        <f t="shared" si="66"/>
        <v>9975764.8000000007</v>
      </c>
      <c r="L263" s="10">
        <f t="shared" si="66"/>
        <v>6620717.7599999998</v>
      </c>
    </row>
    <row r="264" spans="1:12" x14ac:dyDescent="0.3">
      <c r="A264" s="4" t="s">
        <v>216</v>
      </c>
      <c r="B264" s="4" t="s">
        <v>18</v>
      </c>
      <c r="C264" s="10">
        <v>43732000</v>
      </c>
      <c r="D264" s="10">
        <v>64316000</v>
      </c>
      <c r="E264" s="10">
        <v>59337000</v>
      </c>
      <c r="F264" s="10">
        <v>63865000</v>
      </c>
      <c r="G264" s="10">
        <v>73853000</v>
      </c>
      <c r="H264" s="10">
        <f t="shared" si="66"/>
        <v>61020600</v>
      </c>
      <c r="I264" s="10">
        <f t="shared" si="66"/>
        <v>64478320</v>
      </c>
      <c r="J264" s="10">
        <f t="shared" si="66"/>
        <v>64510784</v>
      </c>
      <c r="K264" s="10">
        <f t="shared" si="66"/>
        <v>65545540.799999997</v>
      </c>
      <c r="L264" s="10">
        <f t="shared" si="66"/>
        <v>65881648.960000001</v>
      </c>
    </row>
    <row r="265" spans="1:12" x14ac:dyDescent="0.3">
      <c r="A265" s="4" t="s">
        <v>217</v>
      </c>
      <c r="C265" s="10">
        <f t="shared" ref="C265:L265" si="67">C263+C264</f>
        <v>44849000</v>
      </c>
      <c r="D265" s="10">
        <f t="shared" si="67"/>
        <v>65433000</v>
      </c>
      <c r="E265" s="10">
        <f t="shared" si="67"/>
        <v>60454000</v>
      </c>
      <c r="F265" s="10">
        <f t="shared" si="67"/>
        <v>90616000</v>
      </c>
      <c r="G265" s="10">
        <f t="shared" si="67"/>
        <v>74969000</v>
      </c>
      <c r="H265" s="10">
        <f t="shared" si="67"/>
        <v>67264200</v>
      </c>
      <c r="I265" s="10">
        <f t="shared" si="67"/>
        <v>71747240</v>
      </c>
      <c r="J265" s="10">
        <f t="shared" si="67"/>
        <v>73010088</v>
      </c>
      <c r="K265" s="10">
        <f t="shared" si="67"/>
        <v>75521305.599999994</v>
      </c>
      <c r="L265" s="10">
        <f t="shared" si="67"/>
        <v>72502366.719999999</v>
      </c>
    </row>
    <row r="266" spans="1:12" x14ac:dyDescent="0.3"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 x14ac:dyDescent="0.3">
      <c r="A267" s="11" t="s">
        <v>218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 x14ac:dyDescent="0.3">
      <c r="A268" s="4" t="s">
        <v>201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1:12" x14ac:dyDescent="0.3">
      <c r="A269" s="4" t="s">
        <v>219</v>
      </c>
      <c r="B269" s="4" t="s">
        <v>18</v>
      </c>
      <c r="C269" s="10">
        <v>297587000</v>
      </c>
      <c r="D269" s="10">
        <v>291597000</v>
      </c>
      <c r="E269" s="10">
        <v>257174000</v>
      </c>
      <c r="F269" s="10">
        <v>308289000</v>
      </c>
      <c r="G269" s="10">
        <v>282866000</v>
      </c>
      <c r="H269" s="10">
        <f t="shared" ref="H269:L273" si="68">AVERAGE(C269:G269)</f>
        <v>287502600</v>
      </c>
      <c r="I269" s="10">
        <f t="shared" si="68"/>
        <v>285485720</v>
      </c>
      <c r="J269" s="10">
        <f t="shared" si="68"/>
        <v>284263464</v>
      </c>
      <c r="K269" s="10">
        <f t="shared" si="68"/>
        <v>289681356.80000001</v>
      </c>
      <c r="L269" s="10">
        <f t="shared" si="68"/>
        <v>285959828.15999997</v>
      </c>
    </row>
    <row r="270" spans="1:12" x14ac:dyDescent="0.3">
      <c r="A270" s="4" t="s">
        <v>220</v>
      </c>
      <c r="B270" s="4" t="s">
        <v>18</v>
      </c>
      <c r="C270" s="10">
        <v>0</v>
      </c>
      <c r="D270" s="10">
        <v>0</v>
      </c>
      <c r="E270" s="10">
        <v>798376000</v>
      </c>
      <c r="F270" s="10">
        <v>1284764000</v>
      </c>
      <c r="G270" s="10">
        <v>708511000</v>
      </c>
      <c r="H270" s="10">
        <f t="shared" si="68"/>
        <v>558330200</v>
      </c>
      <c r="I270" s="10">
        <f t="shared" si="68"/>
        <v>669996240</v>
      </c>
      <c r="J270" s="10">
        <f t="shared" si="68"/>
        <v>803995488</v>
      </c>
      <c r="K270" s="10">
        <f t="shared" si="68"/>
        <v>805119385.60000002</v>
      </c>
      <c r="L270" s="10">
        <f t="shared" si="68"/>
        <v>709190462.72000003</v>
      </c>
    </row>
    <row r="271" spans="1:12" x14ac:dyDescent="0.3">
      <c r="A271" s="4" t="s">
        <v>221</v>
      </c>
      <c r="B271" s="4" t="s">
        <v>18</v>
      </c>
      <c r="C271" s="10">
        <v>1221771000</v>
      </c>
      <c r="D271" s="10">
        <v>1673414000</v>
      </c>
      <c r="E271" s="10">
        <v>1736092000</v>
      </c>
      <c r="F271" s="10">
        <v>1780357000</v>
      </c>
      <c r="G271" s="10">
        <v>1223877000</v>
      </c>
      <c r="H271" s="10">
        <f t="shared" si="68"/>
        <v>1527102200</v>
      </c>
      <c r="I271" s="10">
        <f t="shared" si="68"/>
        <v>1588168440</v>
      </c>
      <c r="J271" s="10">
        <f t="shared" si="68"/>
        <v>1571119328</v>
      </c>
      <c r="K271" s="10">
        <f t="shared" si="68"/>
        <v>1538124793.5999999</v>
      </c>
      <c r="L271" s="10">
        <f t="shared" si="68"/>
        <v>1489678352.3200002</v>
      </c>
    </row>
    <row r="272" spans="1:12" x14ac:dyDescent="0.3">
      <c r="A272" s="4" t="s">
        <v>150</v>
      </c>
      <c r="B272" s="4" t="s">
        <v>18</v>
      </c>
      <c r="C272" s="10">
        <v>70362000</v>
      </c>
      <c r="D272" s="10">
        <v>22494000</v>
      </c>
      <c r="E272" s="10">
        <v>0</v>
      </c>
      <c r="F272" s="10">
        <v>9478000</v>
      </c>
      <c r="G272" s="10">
        <v>958000</v>
      </c>
      <c r="H272" s="10">
        <f t="shared" si="68"/>
        <v>20658400</v>
      </c>
      <c r="I272" s="10">
        <f t="shared" si="68"/>
        <v>10717680</v>
      </c>
      <c r="J272" s="10">
        <f t="shared" si="68"/>
        <v>8362416</v>
      </c>
      <c r="K272" s="10">
        <f t="shared" si="68"/>
        <v>10034899.199999999</v>
      </c>
      <c r="L272" s="10">
        <f t="shared" si="68"/>
        <v>10146279.040000001</v>
      </c>
    </row>
    <row r="273" spans="1:12" x14ac:dyDescent="0.3">
      <c r="A273" s="4" t="s">
        <v>222</v>
      </c>
      <c r="B273" s="4" t="s">
        <v>18</v>
      </c>
      <c r="C273" s="10">
        <v>35561000</v>
      </c>
      <c r="D273" s="10">
        <v>35587000</v>
      </c>
      <c r="E273" s="10">
        <v>36643000</v>
      </c>
      <c r="F273" s="10">
        <v>37482000</v>
      </c>
      <c r="G273" s="10">
        <v>37466000</v>
      </c>
      <c r="H273" s="10">
        <f t="shared" si="68"/>
        <v>36547800</v>
      </c>
      <c r="I273" s="10">
        <f t="shared" si="68"/>
        <v>36745160</v>
      </c>
      <c r="J273" s="10">
        <f t="shared" si="68"/>
        <v>36976792</v>
      </c>
      <c r="K273" s="10">
        <f t="shared" si="68"/>
        <v>37043550.399999999</v>
      </c>
      <c r="L273" s="10">
        <f t="shared" si="68"/>
        <v>36955860.480000004</v>
      </c>
    </row>
    <row r="274" spans="1:12" x14ac:dyDescent="0.3">
      <c r="A274" s="4" t="s">
        <v>223</v>
      </c>
      <c r="C274" s="10">
        <f t="shared" ref="C274:L274" si="69">SUM(C269:C273)</f>
        <v>1625281000</v>
      </c>
      <c r="D274" s="10">
        <f t="shared" si="69"/>
        <v>2023092000</v>
      </c>
      <c r="E274" s="10">
        <f t="shared" si="69"/>
        <v>2828285000</v>
      </c>
      <c r="F274" s="10">
        <f t="shared" si="69"/>
        <v>3420370000</v>
      </c>
      <c r="G274" s="10">
        <f t="shared" si="69"/>
        <v>2253678000</v>
      </c>
      <c r="H274" s="10">
        <f t="shared" si="69"/>
        <v>2430141200</v>
      </c>
      <c r="I274" s="10">
        <f t="shared" si="69"/>
        <v>2591113240</v>
      </c>
      <c r="J274" s="10">
        <f t="shared" si="69"/>
        <v>2704717488</v>
      </c>
      <c r="K274" s="10">
        <f t="shared" si="69"/>
        <v>2680003985.5999999</v>
      </c>
      <c r="L274" s="10">
        <f t="shared" si="69"/>
        <v>2531930782.7200003</v>
      </c>
    </row>
    <row r="275" spans="1:12" x14ac:dyDescent="0.3"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1:12" x14ac:dyDescent="0.3">
      <c r="A276" s="11" t="s">
        <v>224</v>
      </c>
      <c r="B276" s="4" t="s">
        <v>18</v>
      </c>
      <c r="C276" s="10">
        <v>2540000</v>
      </c>
      <c r="D276" s="10">
        <v>13662000</v>
      </c>
      <c r="E276" s="10">
        <v>11917000</v>
      </c>
      <c r="F276" s="10">
        <v>9792000</v>
      </c>
      <c r="G276" s="10">
        <v>28780000</v>
      </c>
      <c r="H276" s="10">
        <f>AVERAGE(C276:G276)</f>
        <v>13338200</v>
      </c>
      <c r="I276" s="10">
        <f>AVERAGE(D276:H276)</f>
        <v>15497840</v>
      </c>
      <c r="J276" s="10">
        <f>AVERAGE(E276:I276)</f>
        <v>15865008</v>
      </c>
      <c r="K276" s="10">
        <f>AVERAGE(F276:J276)</f>
        <v>16654609.6</v>
      </c>
      <c r="L276" s="10">
        <f>AVERAGE(G276:K276)</f>
        <v>18027131.52</v>
      </c>
    </row>
    <row r="277" spans="1:12" x14ac:dyDescent="0.3"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 x14ac:dyDescent="0.3">
      <c r="A278" s="11" t="s">
        <v>225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 x14ac:dyDescent="0.3">
      <c r="A279" s="4" t="s">
        <v>226</v>
      </c>
      <c r="B279" s="4" t="s">
        <v>18</v>
      </c>
      <c r="C279" s="10">
        <v>2189860000</v>
      </c>
      <c r="D279" s="10">
        <v>2065217000</v>
      </c>
      <c r="E279" s="10">
        <v>2535973000</v>
      </c>
      <c r="F279" s="10">
        <v>2581520000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</row>
    <row r="280" spans="1:12" x14ac:dyDescent="0.3"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 x14ac:dyDescent="0.3">
      <c r="A281" s="11" t="s">
        <v>227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 x14ac:dyDescent="0.3">
      <c r="A282" s="4" t="s">
        <v>228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 x14ac:dyDescent="0.3">
      <c r="A283" s="4" t="s">
        <v>229</v>
      </c>
      <c r="B283" s="4" t="s">
        <v>230</v>
      </c>
      <c r="C283" s="10">
        <v>32559000</v>
      </c>
      <c r="D283" s="10">
        <v>62583000</v>
      </c>
      <c r="E283" s="10">
        <v>20418000</v>
      </c>
      <c r="F283" s="10">
        <v>86548000</v>
      </c>
      <c r="G283" s="10">
        <v>55893000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</row>
    <row r="284" spans="1:12" x14ac:dyDescent="0.3">
      <c r="A284" s="4" t="s">
        <v>231</v>
      </c>
      <c r="B284" s="4" t="s">
        <v>230</v>
      </c>
      <c r="C284" s="10">
        <v>0</v>
      </c>
      <c r="D284" s="10">
        <v>1981000000</v>
      </c>
      <c r="E284" s="10">
        <v>0</v>
      </c>
      <c r="F284" s="10">
        <v>0</v>
      </c>
      <c r="G284" s="10">
        <v>500000000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</row>
    <row r="285" spans="1:12" x14ac:dyDescent="0.3">
      <c r="A285" s="4" t="s">
        <v>232</v>
      </c>
      <c r="B285" s="4" t="s">
        <v>230</v>
      </c>
      <c r="C285" s="26">
        <v>4361000</v>
      </c>
      <c r="D285" s="26">
        <v>94000</v>
      </c>
      <c r="E285" s="26">
        <v>94000</v>
      </c>
      <c r="F285" s="26">
        <v>109000</v>
      </c>
      <c r="G285" s="26">
        <v>19000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</row>
    <row r="286" spans="1:12" x14ac:dyDescent="0.3">
      <c r="C286" s="10">
        <f>SUM(C283:C285)</f>
        <v>36920000</v>
      </c>
      <c r="D286" s="10">
        <f>SUM(D283:D285)</f>
        <v>2043677000</v>
      </c>
      <c r="E286" s="10">
        <f>SUM(E283:E285)</f>
        <v>20512000</v>
      </c>
      <c r="F286" s="10">
        <f>SUM(F283:F285)</f>
        <v>86657000</v>
      </c>
      <c r="G286" s="10">
        <f>SUM(G283:G285)</f>
        <v>555912000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</row>
    <row r="287" spans="1:12" x14ac:dyDescent="0.3">
      <c r="A287" s="4" t="s">
        <v>233</v>
      </c>
      <c r="B287" s="4" t="s">
        <v>230</v>
      </c>
      <c r="C287" s="26">
        <v>15299000</v>
      </c>
      <c r="D287" s="26">
        <v>71491000</v>
      </c>
      <c r="E287" s="26">
        <v>23433000</v>
      </c>
      <c r="F287" s="26">
        <v>18170000</v>
      </c>
      <c r="G287" s="26">
        <v>20713000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</row>
    <row r="288" spans="1:12" x14ac:dyDescent="0.3">
      <c r="A288" s="4" t="s">
        <v>234</v>
      </c>
      <c r="B288" s="4" t="s">
        <v>235</v>
      </c>
      <c r="C288" s="10">
        <f>'[1]CASHFLOW STATEMENT'!C56</f>
        <v>52219000</v>
      </c>
      <c r="D288" s="10">
        <f>'[1]CASHFLOW STATEMENT'!D56</f>
        <v>2115168000</v>
      </c>
      <c r="E288" s="10">
        <f>'[1]CASHFLOW STATEMENT'!E56</f>
        <v>43945000</v>
      </c>
      <c r="F288" s="10">
        <f>'[1]CASHFLOW STATEMENT'!F56</f>
        <v>104827000</v>
      </c>
      <c r="G288" s="10">
        <f>'[1]CASHFLOW STATEMENT'!G56</f>
        <v>576625000</v>
      </c>
      <c r="H288" s="10">
        <f>'[1]CASHFLOW STATEMENT'!H56</f>
        <v>-11514417641.588934</v>
      </c>
      <c r="I288" s="10">
        <f>'[1]CASHFLOW STATEMENT'!I56</f>
        <v>-19411549698.574371</v>
      </c>
      <c r="J288" s="10">
        <f>'[1]CASHFLOW STATEMENT'!J56</f>
        <v>-29948607115.685158</v>
      </c>
      <c r="K288" s="10">
        <f>'[1]CASHFLOW STATEMENT'!K56</f>
        <v>-42652282929.243584</v>
      </c>
      <c r="L288" s="10">
        <f>'[1]CASHFLOW STATEMENT'!L56</f>
        <v>-58902956285.091431</v>
      </c>
    </row>
    <row r="289" spans="1:12" x14ac:dyDescent="0.3"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1:12" x14ac:dyDescent="0.3">
      <c r="A290" s="4" t="s">
        <v>236</v>
      </c>
      <c r="C290" s="10">
        <v>1582199000</v>
      </c>
      <c r="D290" s="10">
        <v>1757999000</v>
      </c>
      <c r="E290" s="10">
        <v>1757999000</v>
      </c>
      <c r="F290" s="10">
        <v>1757999000</v>
      </c>
      <c r="G290" s="10">
        <v>1757999000</v>
      </c>
      <c r="H290" s="10">
        <v>1757999000</v>
      </c>
      <c r="I290" s="10">
        <v>1757999000</v>
      </c>
      <c r="J290" s="10">
        <v>1757999000</v>
      </c>
      <c r="K290" s="10">
        <v>1757999000</v>
      </c>
      <c r="L290" s="10">
        <v>1757999000</v>
      </c>
    </row>
    <row r="291" spans="1:12" x14ac:dyDescent="0.3">
      <c r="A291" s="11" t="s">
        <v>237</v>
      </c>
      <c r="B291" s="4" t="s">
        <v>238</v>
      </c>
      <c r="C291" s="32">
        <f>C290/'[1]INCOME STATEMENT'!C20</f>
        <v>0.40445535126568122</v>
      </c>
      <c r="D291" s="32">
        <f>D290/'[1]INCOME STATEMENT'!D20</f>
        <v>0.35709637016817664</v>
      </c>
      <c r="E291" s="32">
        <f>E290/'[1]INCOME STATEMENT'!E20</f>
        <v>0.41244907142599069</v>
      </c>
      <c r="F291" s="32">
        <f>F290/'[1]INCOME STATEMENT'!F20</f>
        <v>0.42908091450423674</v>
      </c>
      <c r="G291" s="32">
        <f>G290/'[1]INCOME STATEMENT'!G20</f>
        <v>0.30004857444417593</v>
      </c>
      <c r="H291" s="32">
        <f>H290/'[1]INCOME STATEMENT'!H20</f>
        <v>-0.27675944648904721</v>
      </c>
      <c r="I291" s="32">
        <f>I290/'[1]INCOME STATEMENT'!I20</f>
        <v>-1.5025626387038662</v>
      </c>
      <c r="J291" s="32">
        <f>J290/'[1]INCOME STATEMENT'!J20</f>
        <v>-0.57272125003058161</v>
      </c>
      <c r="K291" s="32">
        <f>K290/'[1]INCOME STATEMENT'!K20</f>
        <v>-0.3353757971672171</v>
      </c>
      <c r="L291" s="32">
        <f>L290/'[1]INCOME STATEMENT'!L20</f>
        <v>-0.21769219064158221</v>
      </c>
    </row>
    <row r="292" spans="1:12" x14ac:dyDescent="0.3"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 x14ac:dyDescent="0.3"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 ht="21" x14ac:dyDescent="0.4">
      <c r="A294" s="30" t="s">
        <v>239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 x14ac:dyDescent="0.3"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 x14ac:dyDescent="0.3">
      <c r="A296" s="11" t="s">
        <v>240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 x14ac:dyDescent="0.3">
      <c r="A297" s="4" t="s">
        <v>241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 x14ac:dyDescent="0.3">
      <c r="A298" s="4" t="s">
        <v>242</v>
      </c>
      <c r="C298" s="10">
        <v>-43054000</v>
      </c>
      <c r="D298" s="10">
        <v>67113000</v>
      </c>
      <c r="E298" s="10">
        <v>-836750000</v>
      </c>
      <c r="F298" s="10">
        <v>392994000</v>
      </c>
      <c r="G298" s="10">
        <v>-1388891000</v>
      </c>
      <c r="H298" s="10">
        <f>-(H236-G236)</f>
        <v>1196593800</v>
      </c>
      <c r="I298" s="10">
        <f>-(I236-H236)</f>
        <v>-113788040</v>
      </c>
      <c r="J298" s="10">
        <f>-(J236-I236)</f>
        <v>-149968248</v>
      </c>
      <c r="K298" s="10">
        <f>-(K236-J236)</f>
        <v>-12611897.599999905</v>
      </c>
      <c r="L298" s="10">
        <f>-(L236-K236)</f>
        <v>-93733077.119999886</v>
      </c>
    </row>
    <row r="299" spans="1:12" x14ac:dyDescent="0.3">
      <c r="A299" s="4" t="s">
        <v>243</v>
      </c>
      <c r="C299" s="10">
        <v>2382482000</v>
      </c>
      <c r="D299" s="10">
        <f>-(D242-C242)</f>
        <v>416457000</v>
      </c>
      <c r="E299" s="10">
        <f>-(E242-D242)</f>
        <v>-2788976000</v>
      </c>
      <c r="F299" s="10">
        <f>-(F242-E242)</f>
        <v>479060000</v>
      </c>
      <c r="G299" s="10">
        <v>-4452926000</v>
      </c>
      <c r="H299" s="10">
        <f>-(H242-G242)</f>
        <v>4556708600</v>
      </c>
      <c r="I299" s="10">
        <f>-(I242-H242)</f>
        <v>-420311480</v>
      </c>
      <c r="J299" s="10">
        <f>-(J242-I242)</f>
        <v>-587665176</v>
      </c>
      <c r="K299" s="10">
        <f>-(K242-J242)</f>
        <v>-147403011.19999886</v>
      </c>
      <c r="L299" s="10">
        <f>-(L242-K242)</f>
        <v>-272695613.44000053</v>
      </c>
    </row>
    <row r="300" spans="1:12" x14ac:dyDescent="0.3">
      <c r="A300" s="4" t="s">
        <v>244</v>
      </c>
      <c r="C300" s="10">
        <v>-108058000</v>
      </c>
      <c r="D300" s="10">
        <v>807669000</v>
      </c>
      <c r="E300" s="10">
        <v>76434000</v>
      </c>
      <c r="F300" s="10">
        <v>-1556622000</v>
      </c>
      <c r="G300" s="10">
        <v>362490000</v>
      </c>
      <c r="H300" s="10">
        <f>-(H255-G255)</f>
        <v>1457156200</v>
      </c>
      <c r="I300" s="10">
        <f>-(I255-H255)</f>
        <v>-47887760</v>
      </c>
      <c r="J300" s="10">
        <f>-(J255-I255)</f>
        <v>-209684712</v>
      </c>
      <c r="K300" s="10">
        <f>-(K255-J255)</f>
        <v>-253171454.4000001</v>
      </c>
      <c r="L300" s="10">
        <f>-(L255-K255)</f>
        <v>53028054.720000267</v>
      </c>
    </row>
    <row r="301" spans="1:12" x14ac:dyDescent="0.3">
      <c r="A301" s="4" t="s">
        <v>245</v>
      </c>
      <c r="C301" s="10">
        <v>131901000</v>
      </c>
      <c r="D301" s="10">
        <v>-558000</v>
      </c>
      <c r="E301" s="10">
        <v>-141885000</v>
      </c>
      <c r="F301" s="10">
        <v>20337000</v>
      </c>
      <c r="G301" s="10">
        <v>-43435000</v>
      </c>
      <c r="H301" s="10">
        <f>-(H260-G260)</f>
        <v>1837086400</v>
      </c>
      <c r="I301" s="10">
        <f>-(I260-H260)</f>
        <v>-125668120</v>
      </c>
      <c r="J301" s="10">
        <f>-(J260-I260)</f>
        <v>-43527544</v>
      </c>
      <c r="K301" s="10">
        <f>-(K260-J260)</f>
        <v>13910747.199999809</v>
      </c>
      <c r="L301" s="10">
        <f>-(L260-K260)</f>
        <v>-302162103.35999966</v>
      </c>
    </row>
    <row r="302" spans="1:12" x14ac:dyDescent="0.3">
      <c r="A302" s="4" t="s">
        <v>246</v>
      </c>
      <c r="C302" s="10">
        <v>-1956000</v>
      </c>
      <c r="D302" s="10">
        <f t="shared" ref="D302:L302" si="70">-(D265-C265)</f>
        <v>-20584000</v>
      </c>
      <c r="E302" s="10">
        <f t="shared" si="70"/>
        <v>4979000</v>
      </c>
      <c r="F302" s="10">
        <f t="shared" si="70"/>
        <v>-30162000</v>
      </c>
      <c r="G302" s="10">
        <f t="shared" si="70"/>
        <v>15647000</v>
      </c>
      <c r="H302" s="10">
        <f t="shared" si="70"/>
        <v>7704800</v>
      </c>
      <c r="I302" s="10">
        <f t="shared" si="70"/>
        <v>-4483040</v>
      </c>
      <c r="J302" s="10">
        <f t="shared" si="70"/>
        <v>-1262848</v>
      </c>
      <c r="K302" s="10">
        <f t="shared" si="70"/>
        <v>-2511217.599999994</v>
      </c>
      <c r="L302" s="10">
        <f t="shared" si="70"/>
        <v>3018938.8799999952</v>
      </c>
    </row>
    <row r="303" spans="1:12" x14ac:dyDescent="0.3">
      <c r="A303" s="4" t="s">
        <v>247</v>
      </c>
      <c r="C303" s="26">
        <v>-67291000</v>
      </c>
      <c r="D303" s="26">
        <v>-450850000</v>
      </c>
      <c r="E303" s="26">
        <v>-822516000</v>
      </c>
      <c r="F303" s="26">
        <v>-582607000</v>
      </c>
      <c r="G303" s="26">
        <v>601850000</v>
      </c>
      <c r="H303" s="26">
        <f>-(H274-G274)</f>
        <v>-176463200</v>
      </c>
      <c r="I303" s="26">
        <f>-(I274-H274)</f>
        <v>-160972040</v>
      </c>
      <c r="J303" s="26">
        <f>-(J274-I274)</f>
        <v>-113604248</v>
      </c>
      <c r="K303" s="26">
        <f>-(K274-J274)</f>
        <v>24713502.400000095</v>
      </c>
      <c r="L303" s="26">
        <f>-(L274-K274)</f>
        <v>148073202.87999964</v>
      </c>
    </row>
    <row r="304" spans="1:12" x14ac:dyDescent="0.3">
      <c r="C304" s="10">
        <f t="shared" ref="C304:L304" si="71">SUM(C298:C303)</f>
        <v>2294024000</v>
      </c>
      <c r="D304" s="10">
        <f t="shared" si="71"/>
        <v>819247000</v>
      </c>
      <c r="E304" s="10">
        <f t="shared" si="71"/>
        <v>-4508714000</v>
      </c>
      <c r="F304" s="10">
        <f t="shared" si="71"/>
        <v>-1277000000</v>
      </c>
      <c r="G304" s="10">
        <f t="shared" si="71"/>
        <v>-4905265000</v>
      </c>
      <c r="H304" s="10">
        <f t="shared" si="71"/>
        <v>8878786600</v>
      </c>
      <c r="I304" s="10">
        <f t="shared" si="71"/>
        <v>-873110480</v>
      </c>
      <c r="J304" s="10">
        <f t="shared" si="71"/>
        <v>-1105712776</v>
      </c>
      <c r="K304" s="10">
        <f t="shared" si="71"/>
        <v>-377073331.19999897</v>
      </c>
      <c r="L304" s="10">
        <f t="shared" si="71"/>
        <v>-464470597.44000018</v>
      </c>
    </row>
    <row r="305" spans="1:12" x14ac:dyDescent="0.3">
      <c r="A305" s="4" t="s">
        <v>248</v>
      </c>
      <c r="C305" s="10">
        <v>427126000</v>
      </c>
      <c r="D305" s="10">
        <v>876256000</v>
      </c>
      <c r="E305" s="10">
        <v>379638000</v>
      </c>
      <c r="F305" s="10">
        <v>681478000</v>
      </c>
      <c r="G305" s="10">
        <v>1939471000</v>
      </c>
      <c r="H305" s="10">
        <f>H182-G182</f>
        <v>-2311568600</v>
      </c>
      <c r="I305" s="10">
        <f>I182-H182</f>
        <v>337891480</v>
      </c>
      <c r="J305" s="10">
        <f>J182-I182</f>
        <v>207563176</v>
      </c>
      <c r="K305" s="10">
        <f>K182-J182</f>
        <v>167226411.19999981</v>
      </c>
      <c r="L305" s="10">
        <f>L182-K182</f>
        <v>68838093.43999958</v>
      </c>
    </row>
    <row r="306" spans="1:12" x14ac:dyDescent="0.3">
      <c r="A306" s="4" t="s">
        <v>249</v>
      </c>
      <c r="C306" s="10">
        <f t="shared" ref="C306:L306" si="72">C304+C305</f>
        <v>2721150000</v>
      </c>
      <c r="D306" s="10">
        <f t="shared" si="72"/>
        <v>1695503000</v>
      </c>
      <c r="E306" s="10">
        <f t="shared" si="72"/>
        <v>-4129076000</v>
      </c>
      <c r="F306" s="10">
        <f t="shared" si="72"/>
        <v>-595522000</v>
      </c>
      <c r="G306" s="10">
        <f t="shared" si="72"/>
        <v>-2965794000</v>
      </c>
      <c r="H306" s="10">
        <f t="shared" si="72"/>
        <v>6567218000</v>
      </c>
      <c r="I306" s="10">
        <f t="shared" si="72"/>
        <v>-535219000</v>
      </c>
      <c r="J306" s="10">
        <f t="shared" si="72"/>
        <v>-898149600</v>
      </c>
      <c r="K306" s="10">
        <f t="shared" si="72"/>
        <v>-209846919.99999917</v>
      </c>
      <c r="L306" s="10">
        <f t="shared" si="72"/>
        <v>-395632504.0000006</v>
      </c>
    </row>
    <row r="307" spans="1:12" x14ac:dyDescent="0.3"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 x14ac:dyDescent="0.3">
      <c r="A308" s="11" t="s">
        <v>250</v>
      </c>
      <c r="C308" s="10">
        <v>771332000</v>
      </c>
      <c r="D308" s="10">
        <v>917685000</v>
      </c>
      <c r="E308" s="10">
        <v>525943000</v>
      </c>
      <c r="F308" s="10">
        <v>780715000</v>
      </c>
      <c r="G308" s="10">
        <v>853336000</v>
      </c>
      <c r="H308" s="10">
        <f>-('[1]INCOME STATEMENT'!H17*AVERAGE(C309:G309))</f>
        <v>814728293.72938788</v>
      </c>
      <c r="I308" s="10">
        <f>-('[1]INCOME STATEMENT'!I17*AVERAGE(D309:H309))</f>
        <v>46544227.639591299</v>
      </c>
      <c r="J308" s="10">
        <f>-('[1]INCOME STATEMENT'!J17*AVERAGE(E309:I309))</f>
        <v>286745278.81913185</v>
      </c>
      <c r="K308" s="10">
        <f>-('[1]INCOME STATEMENT'!K17*AVERAGE(F309:J309))</f>
        <v>615536275.73647881</v>
      </c>
      <c r="L308" s="10">
        <f>-('[1]INCOME STATEMENT'!L17*AVERAGE(G309:K309))</f>
        <v>891679623.93781483</v>
      </c>
    </row>
    <row r="309" spans="1:12" x14ac:dyDescent="0.3">
      <c r="A309" s="4" t="s">
        <v>251</v>
      </c>
      <c r="C309" s="12">
        <f>C308/'[1]INCOME STATEMENT'!C17</f>
        <v>0.1757050519086317</v>
      </c>
      <c r="D309" s="12">
        <f>D308/'[1]INCOME STATEMENT'!D17</f>
        <v>0.16029325918884729</v>
      </c>
      <c r="E309" s="12">
        <f>E308/'[1]INCOME STATEMENT'!E17</f>
        <v>0.10476238471402945</v>
      </c>
      <c r="F309" s="12">
        <f>F308/'[1]INCOME STATEMENT'!F17</f>
        <v>0.15749344327873788</v>
      </c>
      <c r="G309" s="12">
        <f>G308/'[1]INCOME STATEMENT'!G17</f>
        <v>0.12372481676218579</v>
      </c>
      <c r="H309" s="10"/>
      <c r="I309" s="10"/>
      <c r="J309" s="10"/>
      <c r="K309" s="10"/>
      <c r="L309" s="10"/>
    </row>
    <row r="310" spans="1:12" x14ac:dyDescent="0.3"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 x14ac:dyDescent="0.3">
      <c r="A311" s="11" t="s">
        <v>252</v>
      </c>
      <c r="C311" s="10">
        <v>-166690000</v>
      </c>
      <c r="D311" s="10">
        <v>8550000</v>
      </c>
      <c r="E311" s="10">
        <v>123558000</v>
      </c>
      <c r="F311" s="10">
        <v>-7427000</v>
      </c>
      <c r="G311" s="10">
        <v>13720000</v>
      </c>
      <c r="H311" s="10">
        <f>AVERAGE(C311:G311)</f>
        <v>-5657800</v>
      </c>
      <c r="I311" s="10">
        <f>AVERAGE(D311:H311)</f>
        <v>26548640</v>
      </c>
      <c r="J311" s="10">
        <f>AVERAGE(E311:I311)</f>
        <v>30148368</v>
      </c>
      <c r="K311" s="10">
        <f>AVERAGE(F311:J311)</f>
        <v>11466441.6</v>
      </c>
      <c r="L311" s="10">
        <f>AVERAGE(G311:K311)</f>
        <v>15245129.919999998</v>
      </c>
    </row>
    <row r="312" spans="1:12" x14ac:dyDescent="0.3"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 x14ac:dyDescent="0.3">
      <c r="A313" s="11" t="s">
        <v>253</v>
      </c>
      <c r="B313" s="4" t="s">
        <v>18</v>
      </c>
      <c r="C313" s="10">
        <v>1400449000</v>
      </c>
      <c r="D313" s="10">
        <v>1573781000</v>
      </c>
      <c r="E313" s="10">
        <v>1749545000</v>
      </c>
      <c r="F313" s="10">
        <v>1751524000</v>
      </c>
      <c r="G313" s="10">
        <v>1658839000</v>
      </c>
      <c r="H313" s="10">
        <f>AVERAGE(C313:G313)</f>
        <v>1626827600</v>
      </c>
      <c r="I313" s="10">
        <f>AVERAGE(D313:H313)</f>
        <v>1672103320</v>
      </c>
      <c r="J313" s="10">
        <f>AVERAGE(E313:I313)</f>
        <v>1691767784</v>
      </c>
      <c r="K313" s="10">
        <f>AVERAGE(F313:J313)</f>
        <v>1680212340.8</v>
      </c>
      <c r="L313" s="10">
        <f>AVERAGE(G313:K313)</f>
        <v>1665950008.96</v>
      </c>
    </row>
    <row r="314" spans="1:12" x14ac:dyDescent="0.3"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 x14ac:dyDescent="0.3">
      <c r="A315" s="11" t="s">
        <v>254</v>
      </c>
      <c r="B315" s="4" t="s">
        <v>18</v>
      </c>
      <c r="C315" s="10">
        <v>1818433000</v>
      </c>
      <c r="D315" s="10">
        <v>1154295000</v>
      </c>
      <c r="E315" s="10">
        <v>917641000</v>
      </c>
      <c r="F315" s="10">
        <v>995197000</v>
      </c>
      <c r="G315" s="10">
        <v>1542207000</v>
      </c>
      <c r="H315" s="10">
        <f>AVERAGE(C315:G315)</f>
        <v>1285554600</v>
      </c>
      <c r="I315" s="10">
        <f>AVERAGE(D315:H315)</f>
        <v>1178978920</v>
      </c>
      <c r="J315" s="10">
        <f>AVERAGE(E315:I315)</f>
        <v>1183915704</v>
      </c>
      <c r="K315" s="10">
        <f>AVERAGE(F315:J315)</f>
        <v>1237170644.8</v>
      </c>
      <c r="L315" s="10">
        <f>AVERAGE(G315:K315)</f>
        <v>1285565373.76</v>
      </c>
    </row>
    <row r="316" spans="1:12" x14ac:dyDescent="0.3"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 x14ac:dyDescent="0.3">
      <c r="A317" s="11" t="s">
        <v>255</v>
      </c>
      <c r="B317" s="4" t="s">
        <v>20</v>
      </c>
      <c r="C317" s="10">
        <v>0</v>
      </c>
      <c r="D317" s="10">
        <v>0</v>
      </c>
      <c r="E317" s="10">
        <v>0</v>
      </c>
      <c r="F317" s="10">
        <v>0</v>
      </c>
      <c r="G317" s="10">
        <v>3945000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</row>
    <row r="318" spans="1:12" x14ac:dyDescent="0.3"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1:12" x14ac:dyDescent="0.3">
      <c r="A319" s="11" t="s">
        <v>256</v>
      </c>
      <c r="B319" s="4" t="s">
        <v>20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</row>
    <row r="320" spans="1:12" x14ac:dyDescent="0.3"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 x14ac:dyDescent="0.3">
      <c r="A321" s="11" t="s">
        <v>257</v>
      </c>
      <c r="B321" s="4" t="s">
        <v>101</v>
      </c>
      <c r="C321" s="10">
        <f>C117+'[1]Depreciation schedule'!C253</f>
        <v>94408000</v>
      </c>
      <c r="D321" s="10">
        <v>104339000</v>
      </c>
      <c r="E321" s="10">
        <v>151007000</v>
      </c>
      <c r="F321" s="10">
        <f>F117+'[1]Depreciation schedule'!F253</f>
        <v>97865000</v>
      </c>
      <c r="G321" s="10">
        <f>G117+'[1]Depreciation schedule'!G253</f>
        <v>149082000</v>
      </c>
      <c r="H321" s="10">
        <f>H117+'[1]Depreciation schedule'!H253</f>
        <v>92503370.478039652</v>
      </c>
      <c r="I321" s="10">
        <f>I117+'[1]Depreciation schedule'!I253</f>
        <v>101183513.63253632</v>
      </c>
      <c r="J321" s="10">
        <f>J117+'[1]Depreciation schedule'!J253</f>
        <v>113550772.01106165</v>
      </c>
      <c r="K321" s="10">
        <f>K117+'[1]Depreciation schedule'!K253</f>
        <v>117778203.03870207</v>
      </c>
      <c r="L321" s="10">
        <f>L117+'[1]Depreciation schedule'!L253</f>
        <v>125923840.43914585</v>
      </c>
    </row>
    <row r="322" spans="1:12" x14ac:dyDescent="0.3"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 x14ac:dyDescent="0.3">
      <c r="A323" s="4" t="s">
        <v>258</v>
      </c>
      <c r="C323" s="10">
        <v>197262000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</row>
    <row r="324" spans="1:12" x14ac:dyDescent="0.3">
      <c r="A324" s="11" t="s">
        <v>259</v>
      </c>
      <c r="B324" s="4" t="s">
        <v>20</v>
      </c>
      <c r="C324" s="10">
        <f t="shared" ref="C324:L324" si="73">C323+C111</f>
        <v>221406000</v>
      </c>
      <c r="D324" s="10">
        <f t="shared" si="73"/>
        <v>0</v>
      </c>
      <c r="E324" s="10">
        <f t="shared" si="73"/>
        <v>0</v>
      </c>
      <c r="F324" s="10">
        <f t="shared" si="73"/>
        <v>0</v>
      </c>
      <c r="G324" s="10">
        <f t="shared" si="73"/>
        <v>0</v>
      </c>
      <c r="H324" s="10">
        <f t="shared" si="73"/>
        <v>0</v>
      </c>
      <c r="I324" s="10">
        <f t="shared" si="73"/>
        <v>0</v>
      </c>
      <c r="J324" s="10">
        <f t="shared" si="73"/>
        <v>0</v>
      </c>
      <c r="K324" s="10">
        <f t="shared" si="73"/>
        <v>0</v>
      </c>
      <c r="L324" s="10">
        <f t="shared" si="73"/>
        <v>0</v>
      </c>
    </row>
    <row r="325" spans="1:12" x14ac:dyDescent="0.3"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12" x14ac:dyDescent="0.3">
      <c r="A326" s="11" t="s">
        <v>260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12" x14ac:dyDescent="0.3">
      <c r="A327" s="4" t="s">
        <v>261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 x14ac:dyDescent="0.3">
      <c r="A328" s="4" t="s">
        <v>262</v>
      </c>
      <c r="B328" s="4" t="s">
        <v>263</v>
      </c>
      <c r="C328" s="10">
        <v>3411113000</v>
      </c>
      <c r="D328" s="10">
        <v>3324507000</v>
      </c>
      <c r="E328" s="10">
        <v>5098299000</v>
      </c>
      <c r="F328" s="10">
        <v>3692744000</v>
      </c>
      <c r="G328" s="10">
        <v>8995900000</v>
      </c>
      <c r="H328" s="10">
        <f>H260*AVERAGE(C328/C$260,D328/D$260,E328/E$260,F328/F$260,G328/G$260)</f>
        <v>4749051152.1365108</v>
      </c>
      <c r="I328" s="10">
        <f>I260*AVERAGE(D328/D$260,E328/E$260,F328/F$260,G328/G$260,H328/H$260)</f>
        <v>5039817152.0989618</v>
      </c>
      <c r="J328" s="10">
        <f>J260*AVERAGE(E328/E$260,F328/F$260,G328/G$260,H328/H$260,I328/I$260)</f>
        <v>5396057957.6460819</v>
      </c>
      <c r="K328" s="10">
        <f>K260*AVERAGE(F328/F$260,G328/G$260,H328/H$260,I328/I$260,J328/J$260)</f>
        <v>5454685622.4446383</v>
      </c>
      <c r="L328" s="10">
        <f>L260*AVERAGE(G328/G$260,H328/H$260,I328/I$260,J328/J$260,K328/K$260)</f>
        <v>5841923900.1413822</v>
      </c>
    </row>
    <row r="329" spans="1:12" x14ac:dyDescent="0.3">
      <c r="A329" s="4" t="s">
        <v>264</v>
      </c>
      <c r="B329" s="4" t="s">
        <v>263</v>
      </c>
      <c r="C329" s="10">
        <v>359769000</v>
      </c>
      <c r="D329" s="10">
        <v>292000000</v>
      </c>
      <c r="E329" s="10">
        <v>150000000</v>
      </c>
      <c r="F329" s="10">
        <v>130000000</v>
      </c>
      <c r="G329" s="10">
        <v>130000000</v>
      </c>
      <c r="H329" s="10">
        <f>H260*AVERAGE(C329/C$260,D329/D$260,E329/E$260,F329/F$260,G329/G$260)</f>
        <v>221559419.07091561</v>
      </c>
      <c r="I329" s="10">
        <f>I260*AVERAGE(D329/D$260,E329/E$260,F329/F$260,G329/G$260,H329/H$260)</f>
        <v>189572177.50420511</v>
      </c>
      <c r="J329" s="10">
        <f>J260*AVERAGE(E329/E$260,F329/F$260,G329/G$260,H329/H$260,I329/I$260)</f>
        <v>168155504.41231686</v>
      </c>
      <c r="K329" s="10">
        <f>K260*AVERAGE(F329/F$260,G329/G$260,H329/H$260,I329/I$260,J329/J$260)</f>
        <v>171734806.91305089</v>
      </c>
      <c r="L329" s="10">
        <f>L260*AVERAGE(G329/G$260,H329/H$260,I329/I$260,J329/J$260,K329/K$260)</f>
        <v>180151499.09130129</v>
      </c>
    </row>
    <row r="330" spans="1:12" x14ac:dyDescent="0.3">
      <c r="A330" s="4" t="s">
        <v>265</v>
      </c>
      <c r="B330" s="4" t="s">
        <v>263</v>
      </c>
      <c r="C330" s="10">
        <v>0</v>
      </c>
      <c r="D330" s="10">
        <v>107784000</v>
      </c>
      <c r="E330" s="10">
        <v>94783000</v>
      </c>
      <c r="F330" s="10">
        <v>82000</v>
      </c>
      <c r="G330" s="10">
        <v>91000</v>
      </c>
      <c r="H330" s="10">
        <f>H260*AVERAGE(C330/C$260,D330/D$260,E330/E$260,F330/F$260,G330/G$260)</f>
        <v>40170301.386559136</v>
      </c>
      <c r="I330" s="10">
        <f>I260*AVERAGE(D330/D$260,E330/E$260,F330/F$260,G330/G$260,H330/H$260)</f>
        <v>49180849.223653652</v>
      </c>
      <c r="J330" s="10">
        <f>J260*AVERAGE(E330/E$260,F330/F$260,G330/G$260,H330/H$260,I330/I$260)</f>
        <v>36944915.149953455</v>
      </c>
      <c r="K330" s="10">
        <f>K260*AVERAGE(F330/F$260,G330/G$260,H330/H$260,I330/I$260,J330/J$260)</f>
        <v>25526118.4542979</v>
      </c>
      <c r="L330" s="10">
        <f>L260*AVERAGE(G330/G$260,H330/H$260,I330/I$260,J330/J$260,K330/K$260)</f>
        <v>32064349.204191592</v>
      </c>
    </row>
    <row r="331" spans="1:12" x14ac:dyDescent="0.3">
      <c r="A331" s="4" t="s">
        <v>266</v>
      </c>
      <c r="B331" s="4" t="s">
        <v>263</v>
      </c>
      <c r="C331" s="10">
        <v>0</v>
      </c>
      <c r="D331" s="10">
        <v>0</v>
      </c>
      <c r="E331" s="10">
        <v>0</v>
      </c>
      <c r="F331" s="10">
        <v>0</v>
      </c>
      <c r="G331" s="10">
        <v>5724000</v>
      </c>
      <c r="H331" s="10">
        <f>H260*AVERAGE(C331/C$260,D331/D$260,E331/E$260,F331/F$260,G331/G$260)</f>
        <v>883243.60432300658</v>
      </c>
      <c r="I331" s="10">
        <f>I260*AVERAGE(D331/D$260,E331/E$260,F331/F$260,G331/G$260,H331/H$260)</f>
        <v>1081362.8235933688</v>
      </c>
      <c r="J331" s="10">
        <f>J260*AVERAGE(E331/E$260,F331/F$260,G331/G$260,H331/H$260,I331/I$260)</f>
        <v>1306559.4469903328</v>
      </c>
      <c r="K331" s="10">
        <f>K260*AVERAGE(F331/F$260,G331/G$260,H331/H$260,I331/I$260,J331/J$260)</f>
        <v>1564448.9427627451</v>
      </c>
      <c r="L331" s="10">
        <f>L260*AVERAGE(G331/G$260,H331/H$260,I331/I$260,J331/J$260,K331/K$260)</f>
        <v>1966546.1024149805</v>
      </c>
    </row>
    <row r="332" spans="1:12" x14ac:dyDescent="0.3">
      <c r="A332" s="4" t="s">
        <v>267</v>
      </c>
      <c r="C332" s="10">
        <f t="shared" ref="C332:L332" si="74">SUM(C328:C331)</f>
        <v>3770882000</v>
      </c>
      <c r="D332" s="10">
        <f t="shared" si="74"/>
        <v>3724291000</v>
      </c>
      <c r="E332" s="10">
        <f t="shared" si="74"/>
        <v>5343082000</v>
      </c>
      <c r="F332" s="10">
        <f t="shared" si="74"/>
        <v>3822826000</v>
      </c>
      <c r="G332" s="10">
        <f t="shared" si="74"/>
        <v>9131715000</v>
      </c>
      <c r="H332" s="10">
        <f t="shared" si="74"/>
        <v>5011664116.1983089</v>
      </c>
      <c r="I332" s="10">
        <f t="shared" si="74"/>
        <v>5279651541.6504135</v>
      </c>
      <c r="J332" s="10">
        <f t="shared" si="74"/>
        <v>5602464936.6553431</v>
      </c>
      <c r="K332" s="10">
        <f t="shared" si="74"/>
        <v>5653510996.7547493</v>
      </c>
      <c r="L332" s="10">
        <f t="shared" si="74"/>
        <v>6056106294.5392895</v>
      </c>
    </row>
    <row r="333" spans="1:12" x14ac:dyDescent="0.3"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 x14ac:dyDescent="0.3">
      <c r="A334" s="11" t="s">
        <v>268</v>
      </c>
      <c r="B334" s="4" t="s">
        <v>18</v>
      </c>
      <c r="C334" s="10">
        <v>225271000</v>
      </c>
      <c r="D334" s="10">
        <v>112374000</v>
      </c>
      <c r="E334" s="10">
        <v>131364000</v>
      </c>
      <c r="F334" s="10">
        <v>179330000</v>
      </c>
      <c r="G334" s="10">
        <v>344315000</v>
      </c>
      <c r="H334" s="10">
        <f>AVERAGE(C334:G334)</f>
        <v>198530800</v>
      </c>
      <c r="I334" s="10">
        <f>AVERAGE(D334:H334)</f>
        <v>193182760</v>
      </c>
      <c r="J334" s="10">
        <f>AVERAGE(E334:I334)</f>
        <v>209344512</v>
      </c>
      <c r="K334" s="10">
        <f>AVERAGE(F334:J334)</f>
        <v>224940614.40000001</v>
      </c>
      <c r="L334" s="10">
        <f>AVERAGE(G334:K334)</f>
        <v>234062737.28000003</v>
      </c>
    </row>
    <row r="335" spans="1:12" x14ac:dyDescent="0.3"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x14ac:dyDescent="0.3">
      <c r="A336" s="11" t="s">
        <v>269</v>
      </c>
      <c r="C336" s="10">
        <v>1400603000</v>
      </c>
      <c r="D336" s="10">
        <v>632389000</v>
      </c>
      <c r="E336" s="10">
        <v>460479000</v>
      </c>
      <c r="F336" s="10">
        <v>394742000</v>
      </c>
      <c r="G336" s="10">
        <v>604609000</v>
      </c>
      <c r="H336" s="10">
        <f>AVERAGE(C336:G336)</f>
        <v>698564400</v>
      </c>
      <c r="I336" s="10">
        <f>AVERAGE(D336:H336)</f>
        <v>558156680</v>
      </c>
      <c r="J336" s="10">
        <f>AVERAGE(E336:I336)</f>
        <v>543310216</v>
      </c>
      <c r="K336" s="10">
        <f>AVERAGE(F336:J336)</f>
        <v>559876459.20000005</v>
      </c>
      <c r="L336" s="10">
        <f>AVERAGE(G336:K336)</f>
        <v>592903351.03999996</v>
      </c>
    </row>
    <row r="337" spans="1:12" x14ac:dyDescent="0.3"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 x14ac:dyDescent="0.3">
      <c r="A338" s="11" t="s">
        <v>270</v>
      </c>
      <c r="C338" s="10">
        <v>13143489000</v>
      </c>
      <c r="D338" s="10">
        <v>15509708000</v>
      </c>
      <c r="E338" s="10">
        <v>21792896000</v>
      </c>
      <c r="F338" s="10">
        <v>29636193000</v>
      </c>
      <c r="G338" s="10">
        <v>33979020000</v>
      </c>
      <c r="H338" s="10">
        <f>AVERAGE(C338:G338)</f>
        <v>22812261200</v>
      </c>
      <c r="I338" s="10">
        <f>AVERAGE(D338:H338)</f>
        <v>24746015640</v>
      </c>
      <c r="J338" s="10">
        <f>AVERAGE(E338:I338)</f>
        <v>26593277168</v>
      </c>
      <c r="K338" s="10">
        <f>AVERAGE(F338:J338)</f>
        <v>27553353401.599998</v>
      </c>
      <c r="L338" s="10">
        <f>AVERAGE(G338:K338)</f>
        <v>27136785481.920002</v>
      </c>
    </row>
    <row r="339" spans="1:12" x14ac:dyDescent="0.3"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1:12" x14ac:dyDescent="0.3"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 x14ac:dyDescent="0.3">
      <c r="A341" s="4" t="s">
        <v>271</v>
      </c>
      <c r="C341" s="10">
        <v>8382000</v>
      </c>
      <c r="D341" s="10">
        <v>5266000</v>
      </c>
      <c r="E341" s="10">
        <v>85936000</v>
      </c>
      <c r="F341" s="10">
        <v>79545000</v>
      </c>
      <c r="G341" s="10">
        <v>68813000</v>
      </c>
      <c r="H341" s="10">
        <f>AVERAGE(C341:G341)</f>
        <v>49588400</v>
      </c>
      <c r="I341" s="10">
        <f>AVERAGE(D341:H341)</f>
        <v>57829680</v>
      </c>
      <c r="J341" s="10">
        <f>AVERAGE(E341:I341)</f>
        <v>68342416</v>
      </c>
      <c r="K341" s="10">
        <f>AVERAGE(F341:J341)</f>
        <v>64823699.200000003</v>
      </c>
      <c r="L341" s="10">
        <f>AVERAGE(G341:K341)</f>
        <v>61879439.039999999</v>
      </c>
    </row>
    <row r="342" spans="1:12" x14ac:dyDescent="0.3"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1:12" x14ac:dyDescent="0.3"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1:12" x14ac:dyDescent="0.3">
      <c r="A344" s="4" t="s">
        <v>272</v>
      </c>
      <c r="C344" s="10">
        <v>11929192000</v>
      </c>
      <c r="D344" s="10">
        <v>15556374000</v>
      </c>
      <c r="E344" s="10">
        <v>20174125000</v>
      </c>
      <c r="F344" s="10">
        <v>31156436000</v>
      </c>
      <c r="G344" s="10">
        <v>30660227000</v>
      </c>
      <c r="H344" s="10">
        <f>AVERAGE(C344:G344)</f>
        <v>21895270800</v>
      </c>
      <c r="I344" s="10">
        <f>AVERAGE(D344:H344)</f>
        <v>23888486560</v>
      </c>
      <c r="J344" s="10">
        <f>AVERAGE(E344:I344)</f>
        <v>25554909072</v>
      </c>
      <c r="K344" s="10">
        <f>AVERAGE(F344:J344)</f>
        <v>26631065886.400002</v>
      </c>
      <c r="L344" s="10">
        <f>AVERAGE(G344:K344)</f>
        <v>25725991863.68</v>
      </c>
    </row>
    <row r="345" spans="1:12" x14ac:dyDescent="0.3"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 x14ac:dyDescent="0.3">
      <c r="A346" s="4" t="s">
        <v>273</v>
      </c>
      <c r="C346" s="10">
        <v>1769541000</v>
      </c>
      <c r="D346" s="10">
        <v>1209108000</v>
      </c>
      <c r="E346" s="10">
        <v>3213739000</v>
      </c>
      <c r="F346" s="10">
        <v>2090111000</v>
      </c>
      <c r="G346" s="10">
        <v>1870498000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</row>
    <row r="347" spans="1:12" x14ac:dyDescent="0.3"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1:12" x14ac:dyDescent="0.3">
      <c r="A348" s="4" t="s">
        <v>274</v>
      </c>
      <c r="C348" s="10">
        <v>2364659000</v>
      </c>
      <c r="D348" s="10">
        <v>1964354000</v>
      </c>
      <c r="E348" s="10">
        <v>2485310000</v>
      </c>
      <c r="F348" s="10">
        <v>2093025000</v>
      </c>
      <c r="G348" s="10">
        <v>2161839000</v>
      </c>
      <c r="H348" s="10">
        <f>H165</f>
        <v>0</v>
      </c>
      <c r="I348" s="10">
        <f>I165</f>
        <v>0</v>
      </c>
      <c r="J348" s="10">
        <f>J165</f>
        <v>0</v>
      </c>
      <c r="K348" s="10">
        <f>K165</f>
        <v>0</v>
      </c>
      <c r="L348" s="10">
        <f>L165</f>
        <v>0</v>
      </c>
    </row>
    <row r="349" spans="1:12" x14ac:dyDescent="0.3"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spans="1:12" x14ac:dyDescent="0.3"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1:12" x14ac:dyDescent="0.3"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1:12" x14ac:dyDescent="0.3"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3:12" x14ac:dyDescent="0.3"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3:12" x14ac:dyDescent="0.3"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3:12" x14ac:dyDescent="0.3"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3:12" x14ac:dyDescent="0.3"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3:12" x14ac:dyDescent="0.3"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3:12" x14ac:dyDescent="0.3"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3:12" x14ac:dyDescent="0.3"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3:12" x14ac:dyDescent="0.3"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3:12" x14ac:dyDescent="0.3"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3:12" x14ac:dyDescent="0.3"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3:12" x14ac:dyDescent="0.3"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3:12" x14ac:dyDescent="0.3"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3:12" x14ac:dyDescent="0.3"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3:12" x14ac:dyDescent="0.3"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3:12" x14ac:dyDescent="0.3"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3:12" x14ac:dyDescent="0.3"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3:12" x14ac:dyDescent="0.3"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3:12" x14ac:dyDescent="0.3"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3:12" x14ac:dyDescent="0.3"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3:12" x14ac:dyDescent="0.3"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3:12" x14ac:dyDescent="0.3"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3:12" x14ac:dyDescent="0.3"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3:12" x14ac:dyDescent="0.3"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3:12" x14ac:dyDescent="0.3"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3:12" x14ac:dyDescent="0.3"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3:12" x14ac:dyDescent="0.3"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3:12" x14ac:dyDescent="0.3"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3:12" x14ac:dyDescent="0.3"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3:12" x14ac:dyDescent="0.3"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3:12" x14ac:dyDescent="0.3"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3:12" x14ac:dyDescent="0.3"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3:12" x14ac:dyDescent="0.3"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3:12" x14ac:dyDescent="0.3"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3:12" x14ac:dyDescent="0.3"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3:12" x14ac:dyDescent="0.3"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3:12" x14ac:dyDescent="0.3"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3:12" x14ac:dyDescent="0.3"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3:12" x14ac:dyDescent="0.3"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3:12" x14ac:dyDescent="0.3"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3:12" x14ac:dyDescent="0.3"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3:12" x14ac:dyDescent="0.3"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3:12" x14ac:dyDescent="0.3"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3:12" x14ac:dyDescent="0.3"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3:12" x14ac:dyDescent="0.3"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3:12" x14ac:dyDescent="0.3"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3:12" x14ac:dyDescent="0.3"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3:12" x14ac:dyDescent="0.3"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3:12" x14ac:dyDescent="0.3"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3:12" x14ac:dyDescent="0.3"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3:12" x14ac:dyDescent="0.3"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3:12" x14ac:dyDescent="0.3"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 spans="3:12" x14ac:dyDescent="0.3"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 spans="3:12" x14ac:dyDescent="0.3"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3:12" x14ac:dyDescent="0.3"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3:12" x14ac:dyDescent="0.3"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3:12" x14ac:dyDescent="0.3"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3:12" x14ac:dyDescent="0.3"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3:12" x14ac:dyDescent="0.3"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 spans="3:12" x14ac:dyDescent="0.3"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3:12" x14ac:dyDescent="0.3"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3:12" x14ac:dyDescent="0.3"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3:12" x14ac:dyDescent="0.3"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3:12" x14ac:dyDescent="0.3"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 spans="3:12" x14ac:dyDescent="0.3"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 spans="3:12" x14ac:dyDescent="0.3"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3:12" x14ac:dyDescent="0.3"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3:12" x14ac:dyDescent="0.3"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3:12" x14ac:dyDescent="0.3"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3:12" x14ac:dyDescent="0.3"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3:12" x14ac:dyDescent="0.3"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3:12" x14ac:dyDescent="0.3"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3:12" x14ac:dyDescent="0.3"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3:12" x14ac:dyDescent="0.3"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3:12" x14ac:dyDescent="0.3"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3:12" x14ac:dyDescent="0.3"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3:12" x14ac:dyDescent="0.3"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3:12" x14ac:dyDescent="0.3"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3:12" x14ac:dyDescent="0.3"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3:12" x14ac:dyDescent="0.3"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3:12" x14ac:dyDescent="0.3"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3:12" x14ac:dyDescent="0.3"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3:12" x14ac:dyDescent="0.3"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3:12" x14ac:dyDescent="0.3"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3:12" x14ac:dyDescent="0.3"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3:12" x14ac:dyDescent="0.3"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3:12" x14ac:dyDescent="0.3"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3:12" x14ac:dyDescent="0.3"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3:12" x14ac:dyDescent="0.3"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3:12" x14ac:dyDescent="0.3"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3:12" x14ac:dyDescent="0.3"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3:12" x14ac:dyDescent="0.3"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3:12" x14ac:dyDescent="0.3"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3:12" x14ac:dyDescent="0.3"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3:12" x14ac:dyDescent="0.3"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3:12" x14ac:dyDescent="0.3"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3:12" x14ac:dyDescent="0.3"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3:12" x14ac:dyDescent="0.3"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3:12" x14ac:dyDescent="0.3"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3:12" x14ac:dyDescent="0.3"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3:12" x14ac:dyDescent="0.3"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3:12" x14ac:dyDescent="0.3"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3:12" x14ac:dyDescent="0.3"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3:12" x14ac:dyDescent="0.3"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3:12" x14ac:dyDescent="0.3"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3:12" x14ac:dyDescent="0.3"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3:12" x14ac:dyDescent="0.3"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3:12" x14ac:dyDescent="0.3"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3:12" x14ac:dyDescent="0.3"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3:12" x14ac:dyDescent="0.3"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3:12" x14ac:dyDescent="0.3"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3:12" x14ac:dyDescent="0.3"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3:12" x14ac:dyDescent="0.3"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3:12" x14ac:dyDescent="0.3"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 spans="3:12" x14ac:dyDescent="0.3"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3:12" x14ac:dyDescent="0.3"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 spans="3:12" x14ac:dyDescent="0.3"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3:12" x14ac:dyDescent="0.3"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3:12" x14ac:dyDescent="0.3"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3:12" x14ac:dyDescent="0.3"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3:12" x14ac:dyDescent="0.3"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3:12" x14ac:dyDescent="0.3"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3:12" x14ac:dyDescent="0.3"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3:12" x14ac:dyDescent="0.3"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3:12" x14ac:dyDescent="0.3"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3:12" x14ac:dyDescent="0.3"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3:12" x14ac:dyDescent="0.3"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3:12" x14ac:dyDescent="0.3"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3:12" x14ac:dyDescent="0.3"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3:12" x14ac:dyDescent="0.3"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3:12" x14ac:dyDescent="0.3"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3:12" x14ac:dyDescent="0.3"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3:12" x14ac:dyDescent="0.3"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3:12" x14ac:dyDescent="0.3"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3:12" x14ac:dyDescent="0.3"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3:12" x14ac:dyDescent="0.3"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3:12" x14ac:dyDescent="0.3"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3:12" x14ac:dyDescent="0.3"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3:12" x14ac:dyDescent="0.3"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3:12" x14ac:dyDescent="0.3"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3:12" x14ac:dyDescent="0.3"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3:12" x14ac:dyDescent="0.3"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3:12" x14ac:dyDescent="0.3"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3:12" x14ac:dyDescent="0.3"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3:12" x14ac:dyDescent="0.3"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3:12" x14ac:dyDescent="0.3"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3:12" x14ac:dyDescent="0.3"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3:12" x14ac:dyDescent="0.3"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3:12" x14ac:dyDescent="0.3"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3:12" x14ac:dyDescent="0.3"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3:12" x14ac:dyDescent="0.3"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3:12" x14ac:dyDescent="0.3"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3:12" x14ac:dyDescent="0.3"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3:12" x14ac:dyDescent="0.3"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3:12" x14ac:dyDescent="0.3"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3:12" x14ac:dyDescent="0.3"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3:12" x14ac:dyDescent="0.3"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3:12" x14ac:dyDescent="0.3"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3:12" x14ac:dyDescent="0.3"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3:12" x14ac:dyDescent="0.3"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3:12" x14ac:dyDescent="0.3"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3:12" x14ac:dyDescent="0.3"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3:12" x14ac:dyDescent="0.3"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3:12" x14ac:dyDescent="0.3"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3:12" x14ac:dyDescent="0.3"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3:12" x14ac:dyDescent="0.3"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3:12" x14ac:dyDescent="0.3"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3:12" x14ac:dyDescent="0.3"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3:12" x14ac:dyDescent="0.3"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3:12" x14ac:dyDescent="0.3"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3:12" x14ac:dyDescent="0.3"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3:12" x14ac:dyDescent="0.3"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3:12" x14ac:dyDescent="0.3"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3:12" x14ac:dyDescent="0.3"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3:12" x14ac:dyDescent="0.3"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3:12" x14ac:dyDescent="0.3"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3:12" x14ac:dyDescent="0.3"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3:12" x14ac:dyDescent="0.3"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3:12" x14ac:dyDescent="0.3"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3:12" x14ac:dyDescent="0.3"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3:12" x14ac:dyDescent="0.3"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3:12" x14ac:dyDescent="0.3"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3:12" x14ac:dyDescent="0.3"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3:12" x14ac:dyDescent="0.3"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3:12" x14ac:dyDescent="0.3"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3:12" x14ac:dyDescent="0.3"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3:12" x14ac:dyDescent="0.3"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3:12" x14ac:dyDescent="0.3"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3:12" x14ac:dyDescent="0.3"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3:12" x14ac:dyDescent="0.3"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3:12" x14ac:dyDescent="0.3"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3:12" x14ac:dyDescent="0.3"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3:12" x14ac:dyDescent="0.3"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3:12" x14ac:dyDescent="0.3"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3:12" x14ac:dyDescent="0.3"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3:12" x14ac:dyDescent="0.3"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3:12" x14ac:dyDescent="0.3"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3:12" x14ac:dyDescent="0.3"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3:12" x14ac:dyDescent="0.3"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3:12" x14ac:dyDescent="0.3"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3:12" x14ac:dyDescent="0.3"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3:12" x14ac:dyDescent="0.3"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3:12" x14ac:dyDescent="0.3"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3:12" x14ac:dyDescent="0.3"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3:12" x14ac:dyDescent="0.3"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3:12" x14ac:dyDescent="0.3"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3:12" x14ac:dyDescent="0.3"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3:12" x14ac:dyDescent="0.3"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3:12" x14ac:dyDescent="0.3"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3:12" x14ac:dyDescent="0.3"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3:12" x14ac:dyDescent="0.3"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3:12" x14ac:dyDescent="0.3"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3:12" x14ac:dyDescent="0.3"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3:12" x14ac:dyDescent="0.3"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3:12" x14ac:dyDescent="0.3"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3:12" x14ac:dyDescent="0.3"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3:12" x14ac:dyDescent="0.3"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3:12" x14ac:dyDescent="0.3"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3:12" x14ac:dyDescent="0.3"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3:12" x14ac:dyDescent="0.3"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3:12" x14ac:dyDescent="0.3"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3:12" x14ac:dyDescent="0.3"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3:12" x14ac:dyDescent="0.3"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3:12" x14ac:dyDescent="0.3"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3:12" x14ac:dyDescent="0.3"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3:12" x14ac:dyDescent="0.3"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3:12" x14ac:dyDescent="0.3"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3:12" x14ac:dyDescent="0.3"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3:12" x14ac:dyDescent="0.3"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3:12" x14ac:dyDescent="0.3"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3:12" x14ac:dyDescent="0.3"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3:12" x14ac:dyDescent="0.3"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3:12" x14ac:dyDescent="0.3"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3:12" x14ac:dyDescent="0.3"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3:12" x14ac:dyDescent="0.3"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 spans="3:12" x14ac:dyDescent="0.3"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 spans="3:12" x14ac:dyDescent="0.3"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 spans="3:12" x14ac:dyDescent="0.3"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 spans="3:12" x14ac:dyDescent="0.3"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3:12" x14ac:dyDescent="0.3"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3:12" x14ac:dyDescent="0.3"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 spans="3:12" x14ac:dyDescent="0.3"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3:12" x14ac:dyDescent="0.3"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3:12" x14ac:dyDescent="0.3"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3:12" x14ac:dyDescent="0.3"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3:12" x14ac:dyDescent="0.3"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3:12" x14ac:dyDescent="0.3"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3:12" x14ac:dyDescent="0.3"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3:12" x14ac:dyDescent="0.3"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3:12" x14ac:dyDescent="0.3"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3:12" x14ac:dyDescent="0.3"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3:12" x14ac:dyDescent="0.3"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3:12" x14ac:dyDescent="0.3"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3:12" x14ac:dyDescent="0.3"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 spans="3:12" x14ac:dyDescent="0.3"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3:12" x14ac:dyDescent="0.3"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3:12" x14ac:dyDescent="0.3"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3:12" x14ac:dyDescent="0.3"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3:12" x14ac:dyDescent="0.3"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3:12" x14ac:dyDescent="0.3"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3:12" x14ac:dyDescent="0.3"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3:12" x14ac:dyDescent="0.3"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3:12" x14ac:dyDescent="0.3"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 spans="3:12" x14ac:dyDescent="0.3"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3:12" x14ac:dyDescent="0.3"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3:12" x14ac:dyDescent="0.3"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 spans="3:12" x14ac:dyDescent="0.3"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 spans="3:12" x14ac:dyDescent="0.3"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3:12" x14ac:dyDescent="0.3"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3:12" x14ac:dyDescent="0.3"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3:12" x14ac:dyDescent="0.3"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3:12" x14ac:dyDescent="0.3"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3:12" x14ac:dyDescent="0.3"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3:12" x14ac:dyDescent="0.3"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3:12" x14ac:dyDescent="0.3"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3:12" x14ac:dyDescent="0.3"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3:12" x14ac:dyDescent="0.3"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3:12" x14ac:dyDescent="0.3"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3:12" x14ac:dyDescent="0.3"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3:12" x14ac:dyDescent="0.3"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3:12" x14ac:dyDescent="0.3"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3:12" x14ac:dyDescent="0.3"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3:12" x14ac:dyDescent="0.3"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3:12" x14ac:dyDescent="0.3"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3:12" x14ac:dyDescent="0.3"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 spans="3:12" x14ac:dyDescent="0.3"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 spans="3:12" x14ac:dyDescent="0.3"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 spans="3:12" x14ac:dyDescent="0.3"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3:12" x14ac:dyDescent="0.3"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3:12" x14ac:dyDescent="0.3"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3:12" x14ac:dyDescent="0.3"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3:12" x14ac:dyDescent="0.3"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3:12" x14ac:dyDescent="0.3"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3:12" x14ac:dyDescent="0.3"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 spans="3:12" x14ac:dyDescent="0.3"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3:12" x14ac:dyDescent="0.3"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3:12" x14ac:dyDescent="0.3"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3:12" x14ac:dyDescent="0.3"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3:12" x14ac:dyDescent="0.3"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3:12" x14ac:dyDescent="0.3"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3:12" x14ac:dyDescent="0.3"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3:12" x14ac:dyDescent="0.3"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3:12" x14ac:dyDescent="0.3"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3:12" x14ac:dyDescent="0.3"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3:12" x14ac:dyDescent="0.3"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3:12" x14ac:dyDescent="0.3"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3:12" x14ac:dyDescent="0.3"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3:12" x14ac:dyDescent="0.3"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3:12" x14ac:dyDescent="0.3"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3:12" x14ac:dyDescent="0.3"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3:12" x14ac:dyDescent="0.3"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3:12" x14ac:dyDescent="0.3"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3:12" x14ac:dyDescent="0.3"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3:12" x14ac:dyDescent="0.3"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3:12" x14ac:dyDescent="0.3"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3:12" x14ac:dyDescent="0.3"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3:12" x14ac:dyDescent="0.3"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3:12" x14ac:dyDescent="0.3"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3:12" x14ac:dyDescent="0.3"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3:12" x14ac:dyDescent="0.3"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3:12" x14ac:dyDescent="0.3"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3:12" x14ac:dyDescent="0.3"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3:12" x14ac:dyDescent="0.3"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3:12" x14ac:dyDescent="0.3"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3:12" x14ac:dyDescent="0.3"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3:12" x14ac:dyDescent="0.3"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3:12" x14ac:dyDescent="0.3"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3:12" x14ac:dyDescent="0.3"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3:12" x14ac:dyDescent="0.3"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 spans="3:12" x14ac:dyDescent="0.3"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 spans="3:12" x14ac:dyDescent="0.3"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3:12" x14ac:dyDescent="0.3"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3:12" x14ac:dyDescent="0.3"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3:12" x14ac:dyDescent="0.3"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3:12" x14ac:dyDescent="0.3"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3:12" x14ac:dyDescent="0.3"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3:12" x14ac:dyDescent="0.3"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3:12" x14ac:dyDescent="0.3"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3:12" x14ac:dyDescent="0.3"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3:12" x14ac:dyDescent="0.3"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3:12" x14ac:dyDescent="0.3"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3:12" x14ac:dyDescent="0.3"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3:12" x14ac:dyDescent="0.3"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3:12" x14ac:dyDescent="0.3"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3:12" x14ac:dyDescent="0.3"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3:12" x14ac:dyDescent="0.3"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3:12" x14ac:dyDescent="0.3"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3:12" x14ac:dyDescent="0.3"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3:12" x14ac:dyDescent="0.3"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3:12" x14ac:dyDescent="0.3"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 spans="3:12" x14ac:dyDescent="0.3"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 spans="3:12" x14ac:dyDescent="0.3"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3:12" x14ac:dyDescent="0.3"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3:12" x14ac:dyDescent="0.3"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3:12" x14ac:dyDescent="0.3"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3:12" x14ac:dyDescent="0.3"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3:12" x14ac:dyDescent="0.3"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3:12" x14ac:dyDescent="0.3"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3:12" x14ac:dyDescent="0.3"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3:12" x14ac:dyDescent="0.3"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 spans="3:12" x14ac:dyDescent="0.3"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 spans="3:12" x14ac:dyDescent="0.3"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3:12" x14ac:dyDescent="0.3"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3:12" x14ac:dyDescent="0.3"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 spans="3:12" x14ac:dyDescent="0.3"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 spans="3:12" x14ac:dyDescent="0.3"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3:12" x14ac:dyDescent="0.3"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3:12" x14ac:dyDescent="0.3"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3:12" x14ac:dyDescent="0.3"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3:12" x14ac:dyDescent="0.3"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3:12" x14ac:dyDescent="0.3"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3:12" x14ac:dyDescent="0.3"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3:12" x14ac:dyDescent="0.3"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3:12" x14ac:dyDescent="0.3"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3:12" x14ac:dyDescent="0.3"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3:12" x14ac:dyDescent="0.3"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3:12" x14ac:dyDescent="0.3"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3:12" x14ac:dyDescent="0.3"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3:12" x14ac:dyDescent="0.3"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3:12" x14ac:dyDescent="0.3"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3:12" x14ac:dyDescent="0.3"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3:12" x14ac:dyDescent="0.3"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3:12" x14ac:dyDescent="0.3"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3:12" x14ac:dyDescent="0.3"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3:12" x14ac:dyDescent="0.3"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3:12" x14ac:dyDescent="0.3"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3:12" x14ac:dyDescent="0.3"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3:12" x14ac:dyDescent="0.3"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3:12" x14ac:dyDescent="0.3"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3:12" x14ac:dyDescent="0.3"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3:12" x14ac:dyDescent="0.3"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3:12" x14ac:dyDescent="0.3"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3:12" x14ac:dyDescent="0.3"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3:12" x14ac:dyDescent="0.3"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3:12" x14ac:dyDescent="0.3"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3:12" x14ac:dyDescent="0.3"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3:12" x14ac:dyDescent="0.3"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3:12" x14ac:dyDescent="0.3"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3:12" x14ac:dyDescent="0.3"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3:12" x14ac:dyDescent="0.3"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3:12" x14ac:dyDescent="0.3"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3:12" x14ac:dyDescent="0.3"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3:12" x14ac:dyDescent="0.3"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3:12" x14ac:dyDescent="0.3"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3:12" x14ac:dyDescent="0.3"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3:12" x14ac:dyDescent="0.3"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3:12" x14ac:dyDescent="0.3"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3:12" x14ac:dyDescent="0.3"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3:12" x14ac:dyDescent="0.3"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3:12" x14ac:dyDescent="0.3"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 spans="3:12" x14ac:dyDescent="0.3"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 spans="3:12" x14ac:dyDescent="0.3"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3:12" x14ac:dyDescent="0.3"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3:12" x14ac:dyDescent="0.3"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 spans="3:12" x14ac:dyDescent="0.3"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 spans="3:12" x14ac:dyDescent="0.3"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3:12" x14ac:dyDescent="0.3"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3:12" x14ac:dyDescent="0.3"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3:12" x14ac:dyDescent="0.3"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3:12" x14ac:dyDescent="0.3"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3:12" x14ac:dyDescent="0.3"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3:12" x14ac:dyDescent="0.3"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3:12" x14ac:dyDescent="0.3"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3:12" x14ac:dyDescent="0.3"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3:12" x14ac:dyDescent="0.3"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3:12" x14ac:dyDescent="0.3"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3:12" x14ac:dyDescent="0.3"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3:12" x14ac:dyDescent="0.3"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3:12" x14ac:dyDescent="0.3"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3:12" x14ac:dyDescent="0.3"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3:12" x14ac:dyDescent="0.3"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3:12" x14ac:dyDescent="0.3"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 spans="3:12" x14ac:dyDescent="0.3"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 spans="3:12" x14ac:dyDescent="0.3"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3:12" x14ac:dyDescent="0.3"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 spans="3:12" x14ac:dyDescent="0.3"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 spans="3:12" x14ac:dyDescent="0.3"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 spans="3:12" x14ac:dyDescent="0.3"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3:12" x14ac:dyDescent="0.3"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3:12" x14ac:dyDescent="0.3"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3:12" x14ac:dyDescent="0.3"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3:12" x14ac:dyDescent="0.3"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3:12" x14ac:dyDescent="0.3"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3:12" x14ac:dyDescent="0.3"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3:12" x14ac:dyDescent="0.3"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3:12" x14ac:dyDescent="0.3"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3:12" x14ac:dyDescent="0.3"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3:12" x14ac:dyDescent="0.3"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3:12" x14ac:dyDescent="0.3"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3:12" x14ac:dyDescent="0.3"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3:12" x14ac:dyDescent="0.3"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3:12" x14ac:dyDescent="0.3"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3:12" x14ac:dyDescent="0.3"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3:12" x14ac:dyDescent="0.3"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3:12" x14ac:dyDescent="0.3"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3:12" x14ac:dyDescent="0.3"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3:12" x14ac:dyDescent="0.3"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3:12" x14ac:dyDescent="0.3"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3:12" x14ac:dyDescent="0.3"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3:12" x14ac:dyDescent="0.3"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3:12" x14ac:dyDescent="0.3"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3:12" x14ac:dyDescent="0.3"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3:12" x14ac:dyDescent="0.3"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3:12" x14ac:dyDescent="0.3"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3:12" x14ac:dyDescent="0.3"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workbookViewId="0">
      <selection activeCell="C24" sqref="C24"/>
    </sheetView>
  </sheetViews>
  <sheetFormatPr defaultRowHeight="14.4" x14ac:dyDescent="0.3"/>
  <cols>
    <col min="1" max="1" width="19.88671875" style="7" customWidth="1"/>
    <col min="2" max="2" width="18.44140625" style="7" customWidth="1"/>
    <col min="3" max="3" width="30.5546875" style="7" customWidth="1"/>
    <col min="4" max="4" width="25.88671875" style="7" customWidth="1"/>
    <col min="5" max="5" width="8.88671875" style="7"/>
    <col min="6" max="6" width="16.6640625" style="7" customWidth="1"/>
    <col min="7" max="7" width="8.88671875" style="7"/>
    <col min="8" max="8" width="19.109375" style="7" customWidth="1"/>
    <col min="9" max="9" width="18" style="7" customWidth="1"/>
    <col min="10" max="12" width="8.88671875" style="7"/>
    <col min="13" max="16" width="18.5546875" style="7" bestFit="1" customWidth="1"/>
    <col min="17" max="16384" width="8.88671875" style="7"/>
  </cols>
  <sheetData>
    <row r="2" spans="1:13" ht="15.6" x14ac:dyDescent="0.3">
      <c r="A2" s="102" t="s">
        <v>9</v>
      </c>
    </row>
    <row r="3" spans="1:13" ht="15" thickBot="1" x14ac:dyDescent="0.35"/>
    <row r="4" spans="1:13" x14ac:dyDescent="0.3">
      <c r="A4" s="213" t="s">
        <v>371</v>
      </c>
      <c r="B4" s="214"/>
      <c r="C4" s="214"/>
      <c r="D4" s="214"/>
      <c r="E4" s="214"/>
      <c r="F4" s="215"/>
      <c r="H4" s="7" t="s">
        <v>372</v>
      </c>
    </row>
    <row r="5" spans="1:13" ht="15" thickBot="1" x14ac:dyDescent="0.35">
      <c r="A5" s="5"/>
      <c r="B5" s="5" t="s">
        <v>373</v>
      </c>
      <c r="C5" s="5" t="s">
        <v>374</v>
      </c>
      <c r="D5" s="5" t="s">
        <v>375</v>
      </c>
      <c r="E5" s="5" t="s">
        <v>376</v>
      </c>
      <c r="F5" s="5" t="s">
        <v>9</v>
      </c>
    </row>
    <row r="6" spans="1:13" x14ac:dyDescent="0.3">
      <c r="A6" s="5">
        <v>2015</v>
      </c>
      <c r="B6" s="103">
        <v>4.7309999999999998E-2</v>
      </c>
      <c r="C6" s="104">
        <v>4.53E-2</v>
      </c>
      <c r="D6" s="105">
        <v>2.0879999999999999E-2</v>
      </c>
      <c r="E6" s="105">
        <v>4.5</v>
      </c>
      <c r="F6" s="106">
        <f>'[1]Assumption Sheet'!C8</f>
        <v>8849441000</v>
      </c>
      <c r="H6" s="107" t="s">
        <v>377</v>
      </c>
      <c r="I6" s="107"/>
    </row>
    <row r="7" spans="1:13" x14ac:dyDescent="0.3">
      <c r="A7" s="5">
        <v>2016</v>
      </c>
      <c r="B7" s="105">
        <v>5.527E-2</v>
      </c>
      <c r="C7" s="105">
        <v>2.9000000000000001E-2</v>
      </c>
      <c r="D7" s="105">
        <v>2.0840000000000001E-2</v>
      </c>
      <c r="E7" s="105">
        <v>2.9</v>
      </c>
      <c r="F7" s="106">
        <f>'[1]Assumption Sheet'!D8</f>
        <v>8857958000</v>
      </c>
      <c r="H7" s="108" t="s">
        <v>378</v>
      </c>
      <c r="I7" s="108">
        <v>1</v>
      </c>
    </row>
    <row r="8" spans="1:13" x14ac:dyDescent="0.3">
      <c r="A8" s="5">
        <v>2017</v>
      </c>
      <c r="B8" s="105">
        <v>5.7009999999999998E-2</v>
      </c>
      <c r="C8" s="105">
        <v>4.2000000000000003E-2</v>
      </c>
      <c r="D8" s="105">
        <v>2.0750000000000001E-2</v>
      </c>
      <c r="E8" s="105">
        <v>4.2</v>
      </c>
      <c r="F8" s="106">
        <f>'[1]Assumption Sheet'!E8</f>
        <v>7441430000</v>
      </c>
      <c r="H8" s="108" t="s">
        <v>379</v>
      </c>
      <c r="I8" s="108">
        <v>1</v>
      </c>
    </row>
    <row r="9" spans="1:13" x14ac:dyDescent="0.3">
      <c r="A9" s="5">
        <v>2018</v>
      </c>
      <c r="B9" s="105">
        <v>5.4300000000000001E-2</v>
      </c>
      <c r="C9" s="105">
        <v>3.9E-2</v>
      </c>
      <c r="D9" s="105">
        <v>2.0559999999999998E-2</v>
      </c>
      <c r="E9" s="105">
        <v>3.8</v>
      </c>
      <c r="F9" s="106">
        <f>'[1]Assumption Sheet'!F8</f>
        <v>8834548000</v>
      </c>
      <c r="H9" s="108" t="s">
        <v>380</v>
      </c>
      <c r="I9" s="108">
        <v>65535</v>
      </c>
    </row>
    <row r="10" spans="1:13" x14ac:dyDescent="0.3">
      <c r="A10" s="5">
        <v>2019</v>
      </c>
      <c r="B10" s="105">
        <v>3.3000000000000002E-2</v>
      </c>
      <c r="C10" s="105">
        <v>7.2999999999999995E-2</v>
      </c>
      <c r="D10" s="105">
        <v>2.0400000000000001E-2</v>
      </c>
      <c r="E10" s="105">
        <v>5.2</v>
      </c>
      <c r="F10" s="106">
        <f>'[1]Assumption Sheet'!G8</f>
        <v>9662704000</v>
      </c>
      <c r="H10" s="108" t="s">
        <v>381</v>
      </c>
      <c r="I10" s="108">
        <v>0</v>
      </c>
    </row>
    <row r="11" spans="1:13" ht="15" thickBot="1" x14ac:dyDescent="0.35">
      <c r="A11" s="5">
        <v>2020</v>
      </c>
      <c r="B11" s="105">
        <v>2.35E-2</v>
      </c>
      <c r="C11" s="105">
        <v>0.12</v>
      </c>
      <c r="D11" s="105">
        <v>2.07E-2</v>
      </c>
      <c r="E11" s="105">
        <f>AVERAGE(E6:E10)</f>
        <v>4.12</v>
      </c>
      <c r="F11" s="106">
        <f>$I$20+($I$21*B11)+($I$22*C11)+($I$23*D11)+($I$24*E11)</f>
        <v>3566999118.4337511</v>
      </c>
      <c r="H11" s="109" t="s">
        <v>382</v>
      </c>
      <c r="I11" s="109">
        <v>5</v>
      </c>
    </row>
    <row r="12" spans="1:13" x14ac:dyDescent="0.3">
      <c r="A12" s="5">
        <v>2021</v>
      </c>
      <c r="B12" s="105">
        <v>0.03</v>
      </c>
      <c r="C12" s="105">
        <v>8.3099999999999993E-2</v>
      </c>
      <c r="D12" s="105">
        <f>AVERAGE(D6:D11)</f>
        <v>2.0688333333333333E-2</v>
      </c>
      <c r="E12" s="105">
        <f>AVERAGE(E7:E11)</f>
        <v>4.0439999999999996</v>
      </c>
      <c r="F12" s="106">
        <f>$I$20+($I$21*B12)+($I$22*C12)+($I$23*D12)+($I$24*E12)</f>
        <v>7497783915.6646318</v>
      </c>
    </row>
    <row r="13" spans="1:13" ht="15" thickBot="1" x14ac:dyDescent="0.35">
      <c r="A13" s="5">
        <v>2022</v>
      </c>
      <c r="B13" s="105">
        <v>4.53E-2</v>
      </c>
      <c r="C13" s="105">
        <v>0.06</v>
      </c>
      <c r="D13" s="105">
        <f>AVERAGE(D7:D12)</f>
        <v>2.0656388888888887E-2</v>
      </c>
      <c r="E13" s="105">
        <f>AVERAGE(E8:E12)</f>
        <v>4.2728000000000002</v>
      </c>
      <c r="F13" s="106">
        <f>$I$20+($I$21*B13)+($I$22*C13)+($I$23*D13)+($I$24*E13)</f>
        <v>7695887912.4209824</v>
      </c>
      <c r="H13" s="7" t="s">
        <v>383</v>
      </c>
    </row>
    <row r="14" spans="1:13" x14ac:dyDescent="0.3">
      <c r="A14" s="5">
        <v>2023</v>
      </c>
      <c r="B14" s="105">
        <v>5.0200000000000002E-2</v>
      </c>
      <c r="C14" s="105">
        <v>0.05</v>
      </c>
      <c r="D14" s="105">
        <f>AVERAGE(D8:D13)</f>
        <v>2.0625787037037036E-2</v>
      </c>
      <c r="E14" s="105">
        <f>AVERAGE(E9:E13)</f>
        <v>4.2873600000000005</v>
      </c>
      <c r="F14" s="106">
        <f>$I$20+($I$21*B14)+($I$22*C14)+($I$23*D14)+($I$24*E14)</f>
        <v>8168798285.858675</v>
      </c>
      <c r="H14" s="110"/>
      <c r="I14" s="110" t="s">
        <v>384</v>
      </c>
      <c r="J14" s="110" t="s">
        <v>385</v>
      </c>
      <c r="K14" s="110" t="s">
        <v>386</v>
      </c>
      <c r="L14" s="110" t="s">
        <v>387</v>
      </c>
      <c r="M14" s="110" t="s">
        <v>388</v>
      </c>
    </row>
    <row r="15" spans="1:13" x14ac:dyDescent="0.3">
      <c r="A15" s="5">
        <v>2024</v>
      </c>
      <c r="B15" s="105">
        <f>B14</f>
        <v>5.0200000000000002E-2</v>
      </c>
      <c r="C15" s="105">
        <v>0.05</v>
      </c>
      <c r="D15" s="105">
        <f>AVERAGE(D9:D14)</f>
        <v>2.0605084876543209E-2</v>
      </c>
      <c r="E15" s="105">
        <f>AVERAGE(E10:E14)</f>
        <v>4.3848320000000003</v>
      </c>
      <c r="F15" s="106">
        <f>$I$20+($I$21*B15)+($I$22*C15)+($I$23*D15)+($I$24*E15)</f>
        <v>8272757606.3735809</v>
      </c>
      <c r="H15" s="108" t="s">
        <v>14</v>
      </c>
      <c r="I15" s="108">
        <v>4</v>
      </c>
      <c r="J15" s="108">
        <v>2.5719160113527997E+18</v>
      </c>
      <c r="K15" s="108">
        <v>6.4297900283819994E+17</v>
      </c>
      <c r="L15" s="108" t="e">
        <v>#NUM!</v>
      </c>
      <c r="M15" s="108" t="e">
        <v>#NUM!</v>
      </c>
    </row>
    <row r="16" spans="1:13" x14ac:dyDescent="0.3">
      <c r="A16" s="5"/>
      <c r="B16" s="105"/>
      <c r="C16" s="105"/>
      <c r="D16" s="105"/>
      <c r="E16" s="105"/>
      <c r="F16" s="5"/>
      <c r="H16" s="108" t="s">
        <v>389</v>
      </c>
      <c r="I16" s="108">
        <v>0</v>
      </c>
      <c r="J16" s="108">
        <v>0</v>
      </c>
      <c r="K16" s="108">
        <v>65535</v>
      </c>
      <c r="L16" s="108"/>
      <c r="M16" s="108"/>
    </row>
    <row r="17" spans="1:16" ht="15" thickBot="1" x14ac:dyDescent="0.35">
      <c r="H17" s="109" t="s">
        <v>0</v>
      </c>
      <c r="I17" s="109">
        <v>4</v>
      </c>
      <c r="J17" s="109">
        <v>2.5719160113527997E+18</v>
      </c>
      <c r="K17" s="109"/>
      <c r="L17" s="109"/>
      <c r="M17" s="109"/>
    </row>
    <row r="18" spans="1:16" ht="15" thickBot="1" x14ac:dyDescent="0.35"/>
    <row r="19" spans="1:16" x14ac:dyDescent="0.3">
      <c r="H19" s="110"/>
      <c r="I19" s="110" t="s">
        <v>390</v>
      </c>
      <c r="J19" s="110" t="s">
        <v>381</v>
      </c>
      <c r="K19" s="110" t="s">
        <v>391</v>
      </c>
      <c r="L19" s="110" t="s">
        <v>392</v>
      </c>
      <c r="M19" s="110" t="s">
        <v>393</v>
      </c>
      <c r="N19" s="110" t="s">
        <v>394</v>
      </c>
      <c r="O19" s="110" t="s">
        <v>395</v>
      </c>
      <c r="P19" s="110" t="s">
        <v>396</v>
      </c>
    </row>
    <row r="20" spans="1:16" x14ac:dyDescent="0.3">
      <c r="H20" s="108" t="s">
        <v>397</v>
      </c>
      <c r="I20" s="108">
        <v>83793747323.536835</v>
      </c>
      <c r="J20" s="108">
        <v>0</v>
      </c>
      <c r="K20" s="108">
        <v>65535</v>
      </c>
      <c r="L20" s="108" t="e">
        <v>#NUM!</v>
      </c>
      <c r="M20" s="108">
        <v>83793747323.536835</v>
      </c>
      <c r="N20" s="108">
        <v>83793747323.536835</v>
      </c>
      <c r="O20" s="108">
        <v>83793747323.536835</v>
      </c>
      <c r="P20" s="108">
        <v>83793747323.536835</v>
      </c>
    </row>
    <row r="21" spans="1:16" x14ac:dyDescent="0.3">
      <c r="A21" s="5"/>
      <c r="B21" s="5" t="s">
        <v>398</v>
      </c>
      <c r="C21" s="5" t="s">
        <v>399</v>
      </c>
      <c r="H21" s="108" t="s">
        <v>373</v>
      </c>
      <c r="I21" s="108">
        <v>-218988283873.6369</v>
      </c>
      <c r="J21" s="108">
        <v>0</v>
      </c>
      <c r="K21" s="108">
        <v>65535</v>
      </c>
      <c r="L21" s="108" t="e">
        <v>#NUM!</v>
      </c>
      <c r="M21" s="108">
        <v>-218988283873.6369</v>
      </c>
      <c r="N21" s="108">
        <v>-218988283873.6369</v>
      </c>
      <c r="O21" s="108">
        <v>-218988283873.6369</v>
      </c>
      <c r="P21" s="108">
        <v>-218988283873.6369</v>
      </c>
    </row>
    <row r="22" spans="1:16" x14ac:dyDescent="0.3">
      <c r="A22" s="5" t="s">
        <v>373</v>
      </c>
      <c r="B22" s="5" t="s">
        <v>400</v>
      </c>
      <c r="C22" s="5" t="s">
        <v>401</v>
      </c>
      <c r="H22" s="108" t="s">
        <v>374</v>
      </c>
      <c r="I22" s="108">
        <v>-145129483779.08493</v>
      </c>
      <c r="J22" s="108">
        <v>0</v>
      </c>
      <c r="K22" s="108">
        <v>65535</v>
      </c>
      <c r="L22" s="108" t="e">
        <v>#NUM!</v>
      </c>
      <c r="M22" s="108">
        <v>-145129483779.08493</v>
      </c>
      <c r="N22" s="108">
        <v>-145129483779.08493</v>
      </c>
      <c r="O22" s="108">
        <v>-145129483779.08493</v>
      </c>
      <c r="P22" s="108">
        <v>-145129483779.08493</v>
      </c>
    </row>
    <row r="23" spans="1:16" x14ac:dyDescent="0.3">
      <c r="A23" s="5" t="s">
        <v>374</v>
      </c>
      <c r="B23" s="5" t="s">
        <v>402</v>
      </c>
      <c r="C23" s="5" t="s">
        <v>401</v>
      </c>
      <c r="H23" s="108" t="s">
        <v>375</v>
      </c>
      <c r="I23" s="108">
        <v>-2876433393646.7505</v>
      </c>
      <c r="J23" s="108">
        <v>0</v>
      </c>
      <c r="K23" s="108">
        <v>65535</v>
      </c>
      <c r="L23" s="108" t="e">
        <v>#NUM!</v>
      </c>
      <c r="M23" s="108">
        <v>-2876433393646.7505</v>
      </c>
      <c r="N23" s="108">
        <v>-2876433393646.7505</v>
      </c>
      <c r="O23" s="108">
        <v>-2876433393646.7505</v>
      </c>
      <c r="P23" s="108">
        <v>-2876433393646.7505</v>
      </c>
    </row>
    <row r="24" spans="1:16" ht="15" thickBot="1" x14ac:dyDescent="0.35">
      <c r="A24" s="5" t="s">
        <v>375</v>
      </c>
      <c r="B24" s="5" t="s">
        <v>400</v>
      </c>
      <c r="C24" s="5" t="s">
        <v>18</v>
      </c>
      <c r="H24" s="109" t="s">
        <v>376</v>
      </c>
      <c r="I24" s="109">
        <v>455627613.56924963</v>
      </c>
      <c r="J24" s="109">
        <v>0</v>
      </c>
      <c r="K24" s="109">
        <v>65535</v>
      </c>
      <c r="L24" s="109" t="e">
        <v>#NUM!</v>
      </c>
      <c r="M24" s="109">
        <v>455627613.56924963</v>
      </c>
      <c r="N24" s="109">
        <v>455627613.56924963</v>
      </c>
      <c r="O24" s="109">
        <v>455627613.56924963</v>
      </c>
      <c r="P24" s="109">
        <v>455627613.56924963</v>
      </c>
    </row>
    <row r="25" spans="1:16" x14ac:dyDescent="0.3">
      <c r="A25" s="5" t="s">
        <v>376</v>
      </c>
      <c r="B25" s="5" t="s">
        <v>403</v>
      </c>
      <c r="C25" s="5" t="s">
        <v>18</v>
      </c>
    </row>
  </sheetData>
  <mergeCells count="1">
    <mergeCell ref="A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13" workbookViewId="0">
      <selection activeCell="C22" sqref="C22"/>
    </sheetView>
  </sheetViews>
  <sheetFormatPr defaultRowHeight="14.4" x14ac:dyDescent="0.3"/>
  <cols>
    <col min="1" max="2" width="27" style="7" customWidth="1"/>
    <col min="3" max="3" width="16.109375" style="7" customWidth="1"/>
    <col min="4" max="4" width="18.5546875" style="7" customWidth="1"/>
    <col min="5" max="5" width="17" style="7" customWidth="1"/>
    <col min="6" max="6" width="18.33203125" style="7" customWidth="1"/>
    <col min="7" max="7" width="18.109375" style="7" customWidth="1"/>
    <col min="8" max="8" width="18" style="7" customWidth="1"/>
    <col min="9" max="9" width="16" style="7" customWidth="1"/>
    <col min="10" max="10" width="16.6640625" style="7" customWidth="1"/>
    <col min="11" max="11" width="16.5546875" style="7" customWidth="1"/>
    <col min="12" max="12" width="17.33203125" style="7" customWidth="1"/>
    <col min="13" max="16384" width="8.88671875" style="7"/>
  </cols>
  <sheetData>
    <row r="1" spans="1:12" ht="18" x14ac:dyDescent="0.35">
      <c r="C1" s="216" t="s">
        <v>8</v>
      </c>
      <c r="D1" s="216"/>
      <c r="E1" s="216"/>
      <c r="F1" s="124"/>
      <c r="G1" s="124"/>
      <c r="H1" s="124"/>
    </row>
    <row r="3" spans="1:12" ht="21" x14ac:dyDescent="0.4">
      <c r="B3" s="7" t="s">
        <v>419</v>
      </c>
      <c r="C3" s="125">
        <v>2015</v>
      </c>
      <c r="D3" s="126">
        <v>2016</v>
      </c>
      <c r="E3" s="126">
        <v>2017</v>
      </c>
      <c r="F3" s="126">
        <v>2018</v>
      </c>
      <c r="G3" s="126">
        <v>2019</v>
      </c>
      <c r="H3" s="126">
        <v>2020</v>
      </c>
      <c r="I3" s="126">
        <v>2021</v>
      </c>
      <c r="J3" s="126">
        <v>2022</v>
      </c>
      <c r="K3" s="126">
        <v>2023</v>
      </c>
      <c r="L3" s="127">
        <v>2024</v>
      </c>
    </row>
    <row r="4" spans="1:12" x14ac:dyDescent="0.3">
      <c r="A4" s="7" t="s">
        <v>9</v>
      </c>
      <c r="B4" s="7" t="s">
        <v>420</v>
      </c>
      <c r="C4" s="128">
        <f>'Assumption Sheet'!C17</f>
        <v>51200223000</v>
      </c>
      <c r="D4" s="128">
        <f>'Assumption Sheet'!D17</f>
        <v>47999179000</v>
      </c>
      <c r="E4" s="128">
        <f>'Assumption Sheet'!E17</f>
        <v>49247657000</v>
      </c>
      <c r="F4" s="128">
        <f>'Assumption Sheet'!F17</f>
        <v>53729124000</v>
      </c>
      <c r="G4" s="128">
        <f>'Assumption Sheet'!G17</f>
        <v>63499029000</v>
      </c>
      <c r="H4" s="128">
        <f>'Assumption Sheet'!H17</f>
        <v>48093591351.175766</v>
      </c>
      <c r="I4" s="128">
        <f>'Assumption Sheet'!I17</f>
        <v>52340500243.405777</v>
      </c>
      <c r="J4" s="128">
        <f>'Assumption Sheet'!J17</f>
        <v>53663766122.755684</v>
      </c>
      <c r="K4" s="128">
        <f>'Assumption Sheet'!K17</f>
        <v>54961654373.86866</v>
      </c>
      <c r="L4" s="128">
        <f>'Assumption Sheet'!L17</f>
        <v>55441659802.782272</v>
      </c>
    </row>
    <row r="5" spans="1:12" x14ac:dyDescent="0.3">
      <c r="A5" s="7" t="s">
        <v>23</v>
      </c>
      <c r="B5" s="7" t="s">
        <v>420</v>
      </c>
      <c r="C5" s="128">
        <f>'Assumption Sheet'!C49</f>
        <v>45153439000</v>
      </c>
      <c r="D5" s="128">
        <f>'Assumption Sheet'!D49</f>
        <v>41734871000</v>
      </c>
      <c r="E5" s="128">
        <f>'Assumption Sheet'!E49</f>
        <v>43867819000</v>
      </c>
      <c r="F5" s="128">
        <f>'Assumption Sheet'!F49</f>
        <v>48178678000</v>
      </c>
      <c r="G5" s="128">
        <f>'Assumption Sheet'!G49</f>
        <v>55842428000</v>
      </c>
      <c r="H5" s="128">
        <f>'Assumption Sheet'!H49</f>
        <v>53519701568.198441</v>
      </c>
      <c r="I5" s="128">
        <f>'Assumption Sheet'!I49</f>
        <v>52355530218.238571</v>
      </c>
      <c r="J5" s="128">
        <f>'Assumption Sheet'!J49</f>
        <v>55496991402.408768</v>
      </c>
      <c r="K5" s="128">
        <f>'Assumption Sheet'!K49</f>
        <v>58917403778.151657</v>
      </c>
      <c r="L5" s="128">
        <f>'Assumption Sheet'!L49</f>
        <v>62188151212.950928</v>
      </c>
    </row>
    <row r="6" spans="1:12" x14ac:dyDescent="0.3">
      <c r="A6" s="129" t="s">
        <v>421</v>
      </c>
      <c r="B6" s="129"/>
      <c r="C6" s="130">
        <f t="shared" ref="C6:L6" si="0">C4-C5</f>
        <v>6046784000</v>
      </c>
      <c r="D6" s="130">
        <f t="shared" si="0"/>
        <v>6264308000</v>
      </c>
      <c r="E6" s="130">
        <f t="shared" si="0"/>
        <v>5379838000</v>
      </c>
      <c r="F6" s="130">
        <f t="shared" si="0"/>
        <v>5550446000</v>
      </c>
      <c r="G6" s="130">
        <f t="shared" si="0"/>
        <v>7656601000</v>
      </c>
      <c r="H6" s="130">
        <f t="shared" si="0"/>
        <v>-5426110217.0226746</v>
      </c>
      <c r="I6" s="130">
        <f t="shared" si="0"/>
        <v>-15029974.832794189</v>
      </c>
      <c r="J6" s="130">
        <f t="shared" si="0"/>
        <v>-1833225279.6530838</v>
      </c>
      <c r="K6" s="130">
        <f t="shared" si="0"/>
        <v>-3955749404.2829971</v>
      </c>
      <c r="L6" s="130">
        <f t="shared" si="0"/>
        <v>-6746491410.1686554</v>
      </c>
    </row>
    <row r="7" spans="1:12" x14ac:dyDescent="0.3"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2" x14ac:dyDescent="0.3">
      <c r="A8" s="7" t="s">
        <v>51</v>
      </c>
      <c r="B8" s="7" t="s">
        <v>420</v>
      </c>
      <c r="C8" s="131">
        <f>'Assumption Sheet'!C69</f>
        <v>2426295000</v>
      </c>
      <c r="D8" s="131">
        <f>'Assumption Sheet'!D69</f>
        <v>2137894000</v>
      </c>
      <c r="E8" s="131">
        <f>'Assumption Sheet'!E69</f>
        <v>2367862000</v>
      </c>
      <c r="F8" s="131">
        <f>'Assumption Sheet'!F69</f>
        <v>2438118000</v>
      </c>
      <c r="G8" s="131">
        <f>'Assumption Sheet'!G69</f>
        <v>2769744000</v>
      </c>
      <c r="H8" s="131">
        <f>'Assumption Sheet'!H69</f>
        <v>2244210542.0555396</v>
      </c>
      <c r="I8" s="131">
        <f>'Assumption Sheet'!I69</f>
        <v>2393319761.1498604</v>
      </c>
      <c r="J8" s="131">
        <f>'Assumption Sheet'!J69</f>
        <v>2462695774.3677258</v>
      </c>
      <c r="K8" s="131">
        <f>'Assumption Sheet'!K69</f>
        <v>2494866514.9436407</v>
      </c>
      <c r="L8" s="131">
        <f>'Assumption Sheet'!L69</f>
        <v>2515074062.6096878</v>
      </c>
    </row>
    <row r="9" spans="1:12" x14ac:dyDescent="0.3">
      <c r="A9" s="7" t="s">
        <v>422</v>
      </c>
      <c r="B9" s="7" t="s">
        <v>420</v>
      </c>
      <c r="C9" s="132">
        <f>'Assumption Sheet'!C88</f>
        <v>1101658000</v>
      </c>
      <c r="D9" s="132">
        <f>'Assumption Sheet'!D88</f>
        <v>1117323000</v>
      </c>
      <c r="E9" s="132">
        <f>'Assumption Sheet'!E88</f>
        <v>1128721000</v>
      </c>
      <c r="F9" s="132">
        <f>'Assumption Sheet'!F88</f>
        <v>1074286000</v>
      </c>
      <c r="G9" s="132">
        <f>'Assumption Sheet'!G88</f>
        <v>1118891000</v>
      </c>
      <c r="H9" s="132">
        <f>'Assumption Sheet'!H88</f>
        <v>1063987506.5690637</v>
      </c>
      <c r="I9" s="132">
        <f>'Assumption Sheet'!I88</f>
        <v>1129687214.1957247</v>
      </c>
      <c r="J9" s="132">
        <f>'Assumption Sheet'!J88</f>
        <v>1139168630.5230196</v>
      </c>
      <c r="K9" s="132">
        <f>'Assumption Sheet'!K88</f>
        <v>1147352050.221271</v>
      </c>
      <c r="L9" s="132">
        <f>'Assumption Sheet'!L88</f>
        <v>1169422759.9253039</v>
      </c>
    </row>
    <row r="10" spans="1:12" x14ac:dyDescent="0.3">
      <c r="A10" s="7" t="s">
        <v>83</v>
      </c>
      <c r="B10" s="7" t="s">
        <v>420</v>
      </c>
      <c r="C10" s="133">
        <f>'Assumption Sheet'!C105</f>
        <v>366142000</v>
      </c>
      <c r="D10" s="133">
        <f>'Assumption Sheet'!D105</f>
        <v>316886000</v>
      </c>
      <c r="E10" s="133">
        <f>'Assumption Sheet'!E105</f>
        <v>207507000</v>
      </c>
      <c r="F10" s="133">
        <f>'Assumption Sheet'!F105</f>
        <v>189730000</v>
      </c>
      <c r="G10" s="133">
        <f>'Assumption Sheet'!G105</f>
        <v>361132000</v>
      </c>
      <c r="H10" s="133">
        <f>'Assumption Sheet'!H105</f>
        <v>287054090.3253482</v>
      </c>
      <c r="I10" s="133">
        <f>'Assumption Sheet'!I105</f>
        <v>270047872.0611335</v>
      </c>
      <c r="J10" s="133">
        <f>'Assumption Sheet'!J105</f>
        <v>260595047.42202303</v>
      </c>
      <c r="K10" s="133">
        <f>'Assumption Sheet'!K105</f>
        <v>271100184.5622344</v>
      </c>
      <c r="L10" s="133">
        <f>'Assumption Sheet'!L105</f>
        <v>287217028.85655218</v>
      </c>
    </row>
    <row r="11" spans="1:12" x14ac:dyDescent="0.3">
      <c r="A11" s="9"/>
      <c r="B11" s="9"/>
      <c r="C11" s="134">
        <f t="shared" ref="C11:L11" si="1">SUM(C8:C10)</f>
        <v>3894095000</v>
      </c>
      <c r="D11" s="134">
        <f t="shared" si="1"/>
        <v>3572103000</v>
      </c>
      <c r="E11" s="134">
        <f t="shared" si="1"/>
        <v>3704090000</v>
      </c>
      <c r="F11" s="134">
        <f t="shared" si="1"/>
        <v>3702134000</v>
      </c>
      <c r="G11" s="134">
        <f t="shared" si="1"/>
        <v>4249767000</v>
      </c>
      <c r="H11" s="134">
        <f t="shared" si="1"/>
        <v>3595252138.9499516</v>
      </c>
      <c r="I11" s="134">
        <f t="shared" si="1"/>
        <v>3793054847.4067183</v>
      </c>
      <c r="J11" s="134">
        <f t="shared" si="1"/>
        <v>3862459452.312768</v>
      </c>
      <c r="K11" s="134">
        <f t="shared" si="1"/>
        <v>3913318749.7271461</v>
      </c>
      <c r="L11" s="134">
        <f t="shared" si="1"/>
        <v>3971713851.3915439</v>
      </c>
    </row>
    <row r="12" spans="1:12" x14ac:dyDescent="0.3">
      <c r="C12" s="128">
        <f t="shared" ref="C12:L12" si="2">C6-C11</f>
        <v>2152689000</v>
      </c>
      <c r="D12" s="128">
        <f t="shared" si="2"/>
        <v>2692205000</v>
      </c>
      <c r="E12" s="128">
        <f t="shared" si="2"/>
        <v>1675748000</v>
      </c>
      <c r="F12" s="128">
        <f t="shared" si="2"/>
        <v>1848312000</v>
      </c>
      <c r="G12" s="128">
        <f t="shared" si="2"/>
        <v>3406834000</v>
      </c>
      <c r="H12" s="128">
        <f t="shared" si="2"/>
        <v>-9021362355.9726257</v>
      </c>
      <c r="I12" s="128">
        <f t="shared" si="2"/>
        <v>-3808084822.2395124</v>
      </c>
      <c r="J12" s="128">
        <f t="shared" si="2"/>
        <v>-5695684731.9658518</v>
      </c>
      <c r="K12" s="128">
        <f t="shared" si="2"/>
        <v>-7869068154.0101433</v>
      </c>
      <c r="L12" s="128">
        <f t="shared" si="2"/>
        <v>-10718205261.5602</v>
      </c>
    </row>
    <row r="13" spans="1:12" x14ac:dyDescent="0.3">
      <c r="A13" s="7" t="s">
        <v>91</v>
      </c>
      <c r="B13" s="7" t="s">
        <v>420</v>
      </c>
      <c r="C13" s="128">
        <f>'Assumption Sheet'!C124</f>
        <v>3982009000</v>
      </c>
      <c r="D13" s="128">
        <f>'Assumption Sheet'!D124</f>
        <v>4079054000</v>
      </c>
      <c r="E13" s="128">
        <f>'Assumption Sheet'!E124</f>
        <v>4259666000</v>
      </c>
      <c r="F13" s="128">
        <f>'Assumption Sheet'!F124</f>
        <v>4102639000</v>
      </c>
      <c r="G13" s="128">
        <f>'Assumption Sheet'!G124</f>
        <v>5158380000</v>
      </c>
      <c r="H13" s="128">
        <f>'Assumption Sheet'!H124</f>
        <v>4222862000</v>
      </c>
      <c r="I13" s="128">
        <f>'Assumption Sheet'!I124</f>
        <v>4279875200</v>
      </c>
      <c r="J13" s="128">
        <f>'Assumption Sheet'!J124</f>
        <v>4325401040</v>
      </c>
      <c r="K13" s="128">
        <f>'Assumption Sheet'!K124</f>
        <v>4407879048</v>
      </c>
      <c r="L13" s="128">
        <f>'Assumption Sheet'!L124</f>
        <v>4470971457.6000004</v>
      </c>
    </row>
    <row r="14" spans="1:12" x14ac:dyDescent="0.3">
      <c r="A14" s="135" t="s">
        <v>423</v>
      </c>
      <c r="B14" s="135"/>
      <c r="C14" s="136">
        <f t="shared" ref="C14:L14" si="3">C12+C13</f>
        <v>6134698000</v>
      </c>
      <c r="D14" s="136">
        <f t="shared" si="3"/>
        <v>6771259000</v>
      </c>
      <c r="E14" s="136">
        <f t="shared" si="3"/>
        <v>5935414000</v>
      </c>
      <c r="F14" s="136">
        <f t="shared" si="3"/>
        <v>5950951000</v>
      </c>
      <c r="G14" s="136">
        <f t="shared" si="3"/>
        <v>8565214000</v>
      </c>
      <c r="H14" s="136">
        <f t="shared" si="3"/>
        <v>-4798500355.9726257</v>
      </c>
      <c r="I14" s="136">
        <f t="shared" si="3"/>
        <v>471790377.76048756</v>
      </c>
      <c r="J14" s="136">
        <f t="shared" si="3"/>
        <v>-1370283691.9658518</v>
      </c>
      <c r="K14" s="136">
        <f t="shared" si="3"/>
        <v>-3461189106.0101433</v>
      </c>
      <c r="L14" s="136">
        <f t="shared" si="3"/>
        <v>-6247233803.9601994</v>
      </c>
    </row>
    <row r="15" spans="1:12" x14ac:dyDescent="0.3">
      <c r="C15" s="128"/>
      <c r="D15" s="128"/>
      <c r="E15" s="128"/>
      <c r="F15" s="128"/>
      <c r="G15" s="128"/>
      <c r="H15" s="128"/>
      <c r="I15" s="128"/>
      <c r="J15" s="128"/>
      <c r="K15" s="128"/>
      <c r="L15" s="128"/>
    </row>
    <row r="16" spans="1:12" x14ac:dyDescent="0.3">
      <c r="A16" s="7" t="s">
        <v>108</v>
      </c>
      <c r="B16" s="7" t="s">
        <v>420</v>
      </c>
      <c r="C16" s="128">
        <f>'Assumption Sheet'!C134</f>
        <v>1744773000</v>
      </c>
      <c r="D16" s="128">
        <f>'Assumption Sheet'!D134</f>
        <v>1046221000</v>
      </c>
      <c r="E16" s="128">
        <f>'Assumption Sheet'!E134</f>
        <v>915072000</v>
      </c>
      <c r="F16" s="128">
        <f>'Assumption Sheet'!F134</f>
        <v>993824000</v>
      </c>
      <c r="G16" s="128">
        <f>'Assumption Sheet'!G134</f>
        <v>1668166000</v>
      </c>
      <c r="H16" s="128">
        <f>'Assumption Sheet'!H134</f>
        <v>843826800</v>
      </c>
      <c r="I16" s="128">
        <f>'Assumption Sheet'!I134</f>
        <v>812602760</v>
      </c>
      <c r="J16" s="128">
        <f>'Assumption Sheet'!J134</f>
        <v>858418312</v>
      </c>
      <c r="K16" s="128">
        <f>'Assumption Sheet'!K134</f>
        <v>916451774.39999998</v>
      </c>
      <c r="L16" s="128">
        <f>'Assumption Sheet'!L134</f>
        <v>959724729.27999997</v>
      </c>
    </row>
    <row r="17" spans="1:13" x14ac:dyDescent="0.3">
      <c r="A17" s="135" t="s">
        <v>424</v>
      </c>
      <c r="B17" s="135"/>
      <c r="C17" s="136">
        <f t="shared" ref="C17:L17" si="4">C14-C16</f>
        <v>4389925000</v>
      </c>
      <c r="D17" s="136">
        <f t="shared" si="4"/>
        <v>5725038000</v>
      </c>
      <c r="E17" s="136">
        <f t="shared" si="4"/>
        <v>5020342000</v>
      </c>
      <c r="F17" s="136">
        <f t="shared" si="4"/>
        <v>4957127000</v>
      </c>
      <c r="G17" s="136">
        <f t="shared" si="4"/>
        <v>6897048000</v>
      </c>
      <c r="H17" s="136">
        <f t="shared" si="4"/>
        <v>-5642327155.9726257</v>
      </c>
      <c r="I17" s="136">
        <f t="shared" si="4"/>
        <v>-340812382.23951244</v>
      </c>
      <c r="J17" s="136">
        <f t="shared" si="4"/>
        <v>-2228702003.9658518</v>
      </c>
      <c r="K17" s="136">
        <f t="shared" si="4"/>
        <v>-4377640880.4101429</v>
      </c>
      <c r="L17" s="136">
        <f t="shared" si="4"/>
        <v>-7206958533.2401991</v>
      </c>
    </row>
    <row r="18" spans="1:13" x14ac:dyDescent="0.3">
      <c r="C18" s="128"/>
      <c r="D18" s="128"/>
      <c r="E18" s="128"/>
      <c r="F18" s="128"/>
      <c r="G18" s="128"/>
      <c r="H18" s="128"/>
      <c r="I18" s="128"/>
      <c r="J18" s="128"/>
      <c r="K18" s="128"/>
      <c r="L18" s="128"/>
    </row>
    <row r="19" spans="1:13" x14ac:dyDescent="0.3">
      <c r="A19" s="9" t="s">
        <v>118</v>
      </c>
      <c r="B19" s="7" t="s">
        <v>420</v>
      </c>
      <c r="C19" s="134">
        <f>'Assumption Sheet'!C137</f>
        <v>478000000</v>
      </c>
      <c r="D19" s="134">
        <f>'Assumption Sheet'!D137</f>
        <v>802000000</v>
      </c>
      <c r="E19" s="134">
        <f>'Assumption Sheet'!E137</f>
        <v>758000000</v>
      </c>
      <c r="F19" s="134">
        <f>'Assumption Sheet'!F137</f>
        <v>860000000</v>
      </c>
      <c r="G19" s="134">
        <f>'Assumption Sheet'!G137</f>
        <v>1038000000</v>
      </c>
      <c r="H19" s="134">
        <f>'Assumption Sheet'!H137</f>
        <v>709755933.87982202</v>
      </c>
      <c r="I19" s="134">
        <f>'Assumption Sheet'!I137</f>
        <v>829188092.09444082</v>
      </c>
      <c r="J19" s="134">
        <f>'Assumption Sheet'!J137</f>
        <v>840852338.4059881</v>
      </c>
      <c r="K19" s="134">
        <f>'Assumption Sheet'!K137</f>
        <v>864237081.11571038</v>
      </c>
      <c r="L19" s="134">
        <f>'Assumption Sheet'!L137</f>
        <v>868659589.84830976</v>
      </c>
    </row>
    <row r="20" spans="1:13" x14ac:dyDescent="0.3">
      <c r="A20" s="137" t="s">
        <v>425</v>
      </c>
      <c r="B20" s="137"/>
      <c r="C20" s="138">
        <f t="shared" ref="C20:L20" si="5">C17-C19</f>
        <v>3911925000</v>
      </c>
      <c r="D20" s="138">
        <f t="shared" si="5"/>
        <v>4923038000</v>
      </c>
      <c r="E20" s="138">
        <f t="shared" si="5"/>
        <v>4262342000</v>
      </c>
      <c r="F20" s="138">
        <f t="shared" si="5"/>
        <v>4097127000</v>
      </c>
      <c r="G20" s="138">
        <f t="shared" si="5"/>
        <v>5859048000</v>
      </c>
      <c r="H20" s="138">
        <f t="shared" si="5"/>
        <v>-6352083089.8524475</v>
      </c>
      <c r="I20" s="138">
        <f t="shared" si="5"/>
        <v>-1170000474.3339534</v>
      </c>
      <c r="J20" s="138">
        <f t="shared" si="5"/>
        <v>-3069554342.37184</v>
      </c>
      <c r="K20" s="138">
        <f t="shared" si="5"/>
        <v>-5241877961.5258532</v>
      </c>
      <c r="L20" s="138">
        <f t="shared" si="5"/>
        <v>-8075618123.0885086</v>
      </c>
    </row>
    <row r="21" spans="1:13" x14ac:dyDescent="0.3">
      <c r="C21" s="128"/>
      <c r="D21" s="128"/>
      <c r="E21" s="128"/>
      <c r="F21" s="128"/>
      <c r="G21" s="128"/>
      <c r="H21" s="128"/>
      <c r="I21" s="128"/>
      <c r="J21" s="128"/>
      <c r="K21" s="128"/>
      <c r="L21" s="128"/>
    </row>
    <row r="22" spans="1:13" x14ac:dyDescent="0.3">
      <c r="A22" s="8" t="s">
        <v>426</v>
      </c>
      <c r="B22" s="7" t="s">
        <v>420</v>
      </c>
      <c r="C22" s="139">
        <f>C20*'Assumption Sheet'!C291</f>
        <v>1582199000</v>
      </c>
      <c r="D22" s="139">
        <f>D20*'Assumption Sheet'!D291</f>
        <v>1757999000</v>
      </c>
      <c r="E22" s="139">
        <f>E20*'Assumption Sheet'!E291</f>
        <v>1757999000</v>
      </c>
      <c r="F22" s="139">
        <f>F20*'Assumption Sheet'!F291</f>
        <v>1757999000</v>
      </c>
      <c r="G22" s="139">
        <f>G20*'Assumption Sheet'!G291</f>
        <v>1757999000</v>
      </c>
      <c r="H22" s="139">
        <f>H20*'Assumption Sheet'!H291</f>
        <v>1757999000</v>
      </c>
      <c r="I22" s="139">
        <f>I20*'Assumption Sheet'!I291</f>
        <v>1757999000</v>
      </c>
      <c r="J22" s="139">
        <f>J20*'Assumption Sheet'!J291</f>
        <v>1757999000</v>
      </c>
      <c r="K22" s="139">
        <f>K20*'Assumption Sheet'!K291</f>
        <v>1757999000</v>
      </c>
      <c r="L22" s="139">
        <f>L20*'Assumption Sheet'!L291</f>
        <v>1757999000</v>
      </c>
      <c r="M22" s="8"/>
    </row>
    <row r="23" spans="1:13" x14ac:dyDescent="0.3">
      <c r="A23" s="137" t="s">
        <v>427</v>
      </c>
      <c r="B23" s="137"/>
      <c r="C23" s="138">
        <f t="shared" ref="C23:L23" si="6">C20-C22</f>
        <v>2329726000</v>
      </c>
      <c r="D23" s="138">
        <f t="shared" si="6"/>
        <v>3165039000</v>
      </c>
      <c r="E23" s="138">
        <f t="shared" si="6"/>
        <v>2504343000</v>
      </c>
      <c r="F23" s="138">
        <f t="shared" si="6"/>
        <v>2339128000</v>
      </c>
      <c r="G23" s="138">
        <f t="shared" si="6"/>
        <v>4101049000</v>
      </c>
      <c r="H23" s="138">
        <f t="shared" si="6"/>
        <v>-8110082089.8524475</v>
      </c>
      <c r="I23" s="138">
        <f t="shared" si="6"/>
        <v>-2927999474.3339534</v>
      </c>
      <c r="J23" s="138">
        <f t="shared" si="6"/>
        <v>-4827553342.3718395</v>
      </c>
      <c r="K23" s="138">
        <f t="shared" si="6"/>
        <v>-6999876961.5258532</v>
      </c>
      <c r="L23" s="138">
        <f t="shared" si="6"/>
        <v>-9833617123.0885086</v>
      </c>
      <c r="M23" s="140"/>
    </row>
    <row r="25" spans="1:13" x14ac:dyDescent="0.3">
      <c r="A25" s="7" t="s">
        <v>120</v>
      </c>
      <c r="B25" s="7" t="s">
        <v>420</v>
      </c>
      <c r="C25" s="141">
        <f>'Assumption Sheet'!C143</f>
        <v>11.126071362806732</v>
      </c>
      <c r="D25" s="141">
        <f>'Assumption Sheet'!D143</f>
        <v>14.00182061512154</v>
      </c>
      <c r="E25" s="141">
        <f>'Assumption Sheet'!E143</f>
        <v>12.122707174776709</v>
      </c>
      <c r="F25" s="141">
        <f>'Assumption Sheet'!F143</f>
        <v>11.652812204856243</v>
      </c>
      <c r="G25" s="141">
        <f>'Assumption Sheet'!G143</f>
        <v>16.663966248358559</v>
      </c>
      <c r="H25" s="141">
        <f>'Assumption Sheet'!H143</f>
        <v>-18.06622820227285</v>
      </c>
      <c r="I25" s="141">
        <f>'Assumption Sheet'!I143</f>
        <v>-3.3276478388407988</v>
      </c>
      <c r="J25" s="141">
        <f>'Assumption Sheet'!J143</f>
        <v>-8.7302493440550073</v>
      </c>
      <c r="K25" s="141">
        <f>'Assumption Sheet'!K143</f>
        <v>-14.90864683629173</v>
      </c>
      <c r="L25" s="141">
        <f>'Assumption Sheet'!L143</f>
        <v>-22.968207094015892</v>
      </c>
    </row>
  </sheetData>
  <mergeCells count="1"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4" workbookViewId="0">
      <selection activeCell="E30" sqref="E30"/>
    </sheetView>
  </sheetViews>
  <sheetFormatPr defaultRowHeight="14.4" x14ac:dyDescent="0.3"/>
  <cols>
    <col min="1" max="1" width="24.88671875" style="7" customWidth="1"/>
    <col min="2" max="2" width="8.88671875" style="7"/>
    <col min="3" max="4" width="17.109375" style="7" customWidth="1"/>
    <col min="5" max="5" width="17" style="7" customWidth="1"/>
    <col min="6" max="6" width="19" style="7" customWidth="1"/>
    <col min="7" max="7" width="19.109375" style="7" customWidth="1"/>
    <col min="8" max="8" width="17.33203125" style="7" bestFit="1" customWidth="1"/>
    <col min="9" max="9" width="18.109375" style="7" customWidth="1"/>
    <col min="10" max="10" width="16.6640625" style="7" customWidth="1"/>
    <col min="11" max="12" width="17.88671875" style="7" bestFit="1" customWidth="1"/>
    <col min="13" max="16384" width="8.88671875" style="7"/>
  </cols>
  <sheetData>
    <row r="1" spans="1:12" ht="18" x14ac:dyDescent="0.35">
      <c r="C1" s="216" t="s">
        <v>428</v>
      </c>
      <c r="D1" s="216"/>
      <c r="E1" s="216"/>
      <c r="F1" s="216"/>
      <c r="G1" s="216"/>
    </row>
    <row r="3" spans="1:12" ht="21" x14ac:dyDescent="0.4">
      <c r="C3" s="142">
        <v>2015</v>
      </c>
      <c r="D3" s="142">
        <v>2016</v>
      </c>
      <c r="E3" s="142">
        <v>2017</v>
      </c>
      <c r="F3" s="142">
        <v>2018</v>
      </c>
      <c r="G3" s="142">
        <v>2019</v>
      </c>
      <c r="H3" s="142">
        <v>2020</v>
      </c>
      <c r="I3" s="142">
        <v>2021</v>
      </c>
      <c r="J3" s="142">
        <v>2022</v>
      </c>
      <c r="K3" s="142">
        <v>2023</v>
      </c>
      <c r="L3" s="142">
        <v>2024</v>
      </c>
    </row>
    <row r="5" spans="1:12" x14ac:dyDescent="0.3">
      <c r="A5" s="143" t="s">
        <v>429</v>
      </c>
    </row>
    <row r="6" spans="1:12" x14ac:dyDescent="0.3">
      <c r="A6" s="7" t="s">
        <v>430</v>
      </c>
      <c r="C6" s="144">
        <f>'Assumption Sheet'!C147</f>
        <v>3515999000</v>
      </c>
      <c r="D6" s="144">
        <f>'Assumption Sheet'!D147</f>
        <v>3515999000</v>
      </c>
      <c r="E6" s="144">
        <f>'Assumption Sheet'!E147</f>
        <v>3515999000</v>
      </c>
      <c r="F6" s="144">
        <f>'Assumption Sheet'!F147</f>
        <v>3515999000</v>
      </c>
      <c r="G6" s="144">
        <f>'Assumption Sheet'!G147</f>
        <v>3515999000</v>
      </c>
      <c r="H6" s="144">
        <f>'Assumption Sheet'!H147</f>
        <v>3515999000</v>
      </c>
      <c r="I6" s="144">
        <f>'Assumption Sheet'!I147</f>
        <v>3515999000</v>
      </c>
      <c r="J6" s="144">
        <f>'Assumption Sheet'!J147</f>
        <v>3515999000</v>
      </c>
      <c r="K6" s="144">
        <f>'Assumption Sheet'!K147</f>
        <v>3515999000</v>
      </c>
      <c r="L6" s="144">
        <f>'Assumption Sheet'!L147</f>
        <v>3515999000</v>
      </c>
    </row>
    <row r="7" spans="1:12" x14ac:dyDescent="0.3">
      <c r="A7" s="7" t="s">
        <v>431</v>
      </c>
      <c r="C7" s="145">
        <f>'Assumption Sheet'!C158</f>
        <v>72626824000</v>
      </c>
      <c r="D7" s="145">
        <f>'Assumption Sheet'!D158</f>
        <v>78639156000</v>
      </c>
      <c r="E7" s="145">
        <f>'Assumption Sheet'!E158</f>
        <v>85246797000</v>
      </c>
      <c r="F7" s="145">
        <f>'Assumption Sheet'!F158</f>
        <v>72197146000</v>
      </c>
      <c r="G7" s="145">
        <f>'Assumption Sheet'!G158</f>
        <v>63099271000</v>
      </c>
      <c r="H7" s="145">
        <f>'Assumption Sheet'!H158</f>
        <v>74361838800</v>
      </c>
      <c r="I7" s="145">
        <f>'Assumption Sheet'!I158</f>
        <v>74708841760</v>
      </c>
      <c r="J7" s="145">
        <f>'Assumption Sheet'!J158</f>
        <v>73922778912</v>
      </c>
      <c r="K7" s="145">
        <f>'Assumption Sheet'!K158</f>
        <v>71657975294.399994</v>
      </c>
      <c r="L7" s="145">
        <f>'Assumption Sheet'!L158</f>
        <v>71550141153.279999</v>
      </c>
    </row>
    <row r="8" spans="1:12" x14ac:dyDescent="0.3">
      <c r="A8" s="146" t="s">
        <v>432</v>
      </c>
      <c r="B8" s="147"/>
      <c r="C8" s="148">
        <f t="shared" ref="C8" si="0">C6+C7</f>
        <v>76142823000</v>
      </c>
      <c r="D8" s="148">
        <f t="shared" ref="D8:L8" si="1">D6+D7</f>
        <v>82155155000</v>
      </c>
      <c r="E8" s="148">
        <f t="shared" si="1"/>
        <v>88762796000</v>
      </c>
      <c r="F8" s="148">
        <f t="shared" si="1"/>
        <v>75713145000</v>
      </c>
      <c r="G8" s="148">
        <f t="shared" si="1"/>
        <v>66615270000</v>
      </c>
      <c r="H8" s="148">
        <f t="shared" si="1"/>
        <v>77877837800</v>
      </c>
      <c r="I8" s="148">
        <f t="shared" si="1"/>
        <v>78224840760</v>
      </c>
      <c r="J8" s="148">
        <f t="shared" si="1"/>
        <v>77438777912</v>
      </c>
      <c r="K8" s="148">
        <f t="shared" si="1"/>
        <v>75173974294.399994</v>
      </c>
      <c r="L8" s="148">
        <f t="shared" si="1"/>
        <v>75066140153.279999</v>
      </c>
    </row>
    <row r="10" spans="1:12" x14ac:dyDescent="0.3">
      <c r="A10" s="143" t="s">
        <v>433</v>
      </c>
    </row>
    <row r="11" spans="1:12" x14ac:dyDescent="0.3">
      <c r="A11" s="143" t="s">
        <v>434</v>
      </c>
    </row>
    <row r="12" spans="1:12" x14ac:dyDescent="0.3">
      <c r="A12" s="149" t="s">
        <v>155</v>
      </c>
      <c r="C12" s="144">
        <f>'Assumption Sheet'!C165</f>
        <v>5582220000</v>
      </c>
      <c r="D12" s="144">
        <f>'Assumption Sheet'!D165</f>
        <v>4629456000</v>
      </c>
      <c r="E12" s="144">
        <f>'Assumption Sheet'!E165</f>
        <v>5245629000</v>
      </c>
      <c r="F12" s="144">
        <f>'Assumption Sheet'!F165</f>
        <v>5190839000</v>
      </c>
      <c r="G12" s="144">
        <f>'Assumption Sheet'!G165</f>
        <v>5259927000</v>
      </c>
      <c r="H12" s="144">
        <f>'Assumption Sheet'!H165</f>
        <v>0</v>
      </c>
      <c r="I12" s="144">
        <f>'Assumption Sheet'!I165</f>
        <v>0</v>
      </c>
      <c r="J12" s="144">
        <f>'Assumption Sheet'!J165</f>
        <v>0</v>
      </c>
      <c r="K12" s="144">
        <f>'Assumption Sheet'!K165</f>
        <v>0</v>
      </c>
      <c r="L12" s="144">
        <f>'Assumption Sheet'!L165</f>
        <v>0</v>
      </c>
    </row>
    <row r="13" spans="1:12" x14ac:dyDescent="0.3">
      <c r="A13" s="149" t="s">
        <v>435</v>
      </c>
      <c r="C13" s="145">
        <f>'Assumption Sheet'!C167</f>
        <v>247462000</v>
      </c>
      <c r="D13" s="145">
        <f>'Assumption Sheet'!D167</f>
        <v>261567000</v>
      </c>
      <c r="E13" s="145">
        <f>'Assumption Sheet'!E167</f>
        <v>783292000</v>
      </c>
      <c r="F13" s="145">
        <f>'Assumption Sheet'!F167</f>
        <v>571833000</v>
      </c>
      <c r="G13" s="145">
        <f>'Assumption Sheet'!G167</f>
        <v>215440000</v>
      </c>
      <c r="H13" s="145">
        <f>'Assumption Sheet'!H167</f>
        <v>415918800</v>
      </c>
      <c r="I13" s="145">
        <f>'Assumption Sheet'!I167</f>
        <v>449610160</v>
      </c>
      <c r="J13" s="145">
        <f>'Assumption Sheet'!J167</f>
        <v>487218792</v>
      </c>
      <c r="K13" s="145">
        <f>'Assumption Sheet'!K167</f>
        <v>428004150.39999998</v>
      </c>
      <c r="L13" s="145">
        <f>'Assumption Sheet'!L167</f>
        <v>399238380.48000002</v>
      </c>
    </row>
    <row r="14" spans="1:12" x14ac:dyDescent="0.3">
      <c r="A14" s="149"/>
      <c r="C14" s="144">
        <f t="shared" ref="C14" si="2">C12+C13</f>
        <v>5829682000</v>
      </c>
      <c r="D14" s="144">
        <f t="shared" ref="D14:L14" si="3">D12+D13</f>
        <v>4891023000</v>
      </c>
      <c r="E14" s="144">
        <f t="shared" si="3"/>
        <v>6028921000</v>
      </c>
      <c r="F14" s="144">
        <f t="shared" si="3"/>
        <v>5762672000</v>
      </c>
      <c r="G14" s="144">
        <f t="shared" si="3"/>
        <v>5475367000</v>
      </c>
      <c r="H14" s="144">
        <f t="shared" si="3"/>
        <v>415918800</v>
      </c>
      <c r="I14" s="144">
        <f t="shared" si="3"/>
        <v>449610160</v>
      </c>
      <c r="J14" s="144">
        <f t="shared" si="3"/>
        <v>487218792</v>
      </c>
      <c r="K14" s="144">
        <f t="shared" si="3"/>
        <v>428004150.39999998</v>
      </c>
      <c r="L14" s="144">
        <f t="shared" si="3"/>
        <v>399238380.48000002</v>
      </c>
    </row>
    <row r="15" spans="1:12" x14ac:dyDescent="0.3">
      <c r="A15" s="143" t="s">
        <v>436</v>
      </c>
    </row>
    <row r="16" spans="1:12" x14ac:dyDescent="0.3">
      <c r="A16" s="149" t="s">
        <v>437</v>
      </c>
      <c r="C16" s="144">
        <f>'Assumption Sheet'!C182</f>
        <v>4858315000</v>
      </c>
      <c r="D16" s="144">
        <f>'Assumption Sheet'!D182</f>
        <v>5737896000</v>
      </c>
      <c r="E16" s="144">
        <f>'Assumption Sheet'!E182</f>
        <v>5762119000</v>
      </c>
      <c r="F16" s="144">
        <f>'Assumption Sheet'!F182</f>
        <v>6416602000</v>
      </c>
      <c r="G16" s="144">
        <f>'Assumption Sheet'!G182</f>
        <v>8359680000</v>
      </c>
      <c r="H16" s="144">
        <f>'Assumption Sheet'!H182</f>
        <v>6048111400</v>
      </c>
      <c r="I16" s="144">
        <f>'Assumption Sheet'!I182</f>
        <v>6386002880</v>
      </c>
      <c r="J16" s="144">
        <f>'Assumption Sheet'!J182</f>
        <v>6593566056</v>
      </c>
      <c r="K16" s="144">
        <f>'Assumption Sheet'!K182</f>
        <v>6760792467.1999998</v>
      </c>
      <c r="L16" s="144">
        <f>'Assumption Sheet'!L182</f>
        <v>6829630560.6399994</v>
      </c>
    </row>
    <row r="17" spans="1:12" x14ac:dyDescent="0.3">
      <c r="A17" s="149" t="s">
        <v>438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 x14ac:dyDescent="0.3">
      <c r="A18" s="149" t="s">
        <v>439</v>
      </c>
      <c r="C18" s="144">
        <f>'Assumption Sheet'!C187</f>
        <v>221394000</v>
      </c>
      <c r="D18" s="144">
        <f>'Assumption Sheet'!D187</f>
        <v>113320000</v>
      </c>
      <c r="E18" s="144">
        <f>'Assumption Sheet'!E187</f>
        <v>110751000</v>
      </c>
      <c r="F18" s="144">
        <f>'Assumption Sheet'!F187</f>
        <v>109378000</v>
      </c>
      <c r="G18" s="144">
        <f>'Assumption Sheet'!G187</f>
        <v>235337000</v>
      </c>
      <c r="H18" s="144">
        <f>'Assumption Sheet'!H187</f>
        <v>158036000</v>
      </c>
      <c r="I18" s="144">
        <f>'Assumption Sheet'!I187</f>
        <v>145364400</v>
      </c>
      <c r="J18" s="144">
        <f>'Assumption Sheet'!J187</f>
        <v>151773280</v>
      </c>
      <c r="K18" s="144">
        <f>'Assumption Sheet'!K187</f>
        <v>159977736</v>
      </c>
      <c r="L18" s="144">
        <f>'Assumption Sheet'!L187</f>
        <v>170097683.20000002</v>
      </c>
    </row>
    <row r="19" spans="1:12" x14ac:dyDescent="0.3">
      <c r="A19" s="7" t="s">
        <v>156</v>
      </c>
      <c r="C19" s="144">
        <f>'Assumption Sheet'!C193</f>
        <v>11524143000</v>
      </c>
      <c r="D19" s="144">
        <f>'Assumption Sheet'!D193</f>
        <v>10475657000</v>
      </c>
      <c r="E19" s="144">
        <f>'Assumption Sheet'!E193</f>
        <v>14697393000</v>
      </c>
      <c r="F19" s="144">
        <f>'Assumption Sheet'!F193</f>
        <v>12507590000</v>
      </c>
      <c r="G19" s="144">
        <f>'Assumption Sheet'!G193</f>
        <v>17982262000</v>
      </c>
      <c r="H19" s="144">
        <f>'Assumption Sheet'!H193</f>
        <v>13437409000</v>
      </c>
      <c r="I19" s="144">
        <f>'Assumption Sheet'!I193</f>
        <v>13820062200</v>
      </c>
      <c r="J19" s="144">
        <f>'Assumption Sheet'!J193</f>
        <v>14488943240</v>
      </c>
      <c r="K19" s="144">
        <f>'Assumption Sheet'!K193</f>
        <v>14447253288</v>
      </c>
      <c r="L19" s="144">
        <f>'Assumption Sheet'!L193</f>
        <v>14835185945.600002</v>
      </c>
    </row>
    <row r="20" spans="1:12" x14ac:dyDescent="0.3">
      <c r="A20" s="149" t="s">
        <v>440</v>
      </c>
      <c r="C20" s="144">
        <f>'Assumption Sheet'!C196</f>
        <v>1783250000</v>
      </c>
      <c r="D20" s="144">
        <f>'Assumption Sheet'!D196</f>
        <v>1980768000</v>
      </c>
      <c r="E20" s="144">
        <f>'Assumption Sheet'!E196</f>
        <v>2093024000</v>
      </c>
      <c r="F20" s="144">
        <f>'Assumption Sheet'!F196</f>
        <v>2144900000</v>
      </c>
      <c r="G20" s="144">
        <f>'Assumption Sheet'!G196</f>
        <v>1784470000</v>
      </c>
      <c r="H20" s="144">
        <f>'Assumption Sheet'!H196</f>
        <v>1957282400</v>
      </c>
      <c r="I20" s="144">
        <f>'Assumption Sheet'!I196</f>
        <v>1992088880</v>
      </c>
      <c r="J20" s="144">
        <f>'Assumption Sheet'!J196</f>
        <v>1994353056</v>
      </c>
      <c r="K20" s="144">
        <f>'Assumption Sheet'!K196</f>
        <v>1974618867.2</v>
      </c>
      <c r="L20" s="144">
        <f>'Assumption Sheet'!L196</f>
        <v>1940562640.6400001</v>
      </c>
    </row>
    <row r="21" spans="1:12" x14ac:dyDescent="0.3">
      <c r="A21" s="149" t="s">
        <v>441</v>
      </c>
      <c r="C21" s="144">
        <f>'Assumption Sheet'!C200</f>
        <v>780393000</v>
      </c>
      <c r="D21" s="144">
        <f>'Assumption Sheet'!D200</f>
        <v>1245400000</v>
      </c>
      <c r="E21" s="144">
        <f>'Assumption Sheet'!E200</f>
        <v>0</v>
      </c>
      <c r="F21" s="144">
        <f>'Assumption Sheet'!F200</f>
        <v>0</v>
      </c>
      <c r="G21" s="144">
        <f>'Assumption Sheet'!G200</f>
        <v>0</v>
      </c>
      <c r="H21" s="144">
        <f>'Assumption Sheet'!H200</f>
        <v>0</v>
      </c>
      <c r="I21" s="144">
        <f>'Assumption Sheet'!I200</f>
        <v>0</v>
      </c>
      <c r="J21" s="144">
        <f>'Assumption Sheet'!J200</f>
        <v>0</v>
      </c>
      <c r="K21" s="144">
        <f>'Assumption Sheet'!K200</f>
        <v>0</v>
      </c>
      <c r="L21" s="144">
        <f>'Assumption Sheet'!L200</f>
        <v>0</v>
      </c>
    </row>
    <row r="22" spans="1:12" x14ac:dyDescent="0.3">
      <c r="A22" s="149" t="s">
        <v>442</v>
      </c>
      <c r="C22" s="145">
        <f>'Assumption Sheet'!C198</f>
        <v>0</v>
      </c>
      <c r="D22" s="145">
        <f>'Assumption Sheet'!D198</f>
        <v>0</v>
      </c>
      <c r="E22" s="145">
        <f>'Assumption Sheet'!E198</f>
        <v>75271000</v>
      </c>
      <c r="F22" s="145">
        <f>'Assumption Sheet'!F198</f>
        <v>81746000</v>
      </c>
      <c r="G22" s="145">
        <f>'Assumption Sheet'!G198</f>
        <v>93006000</v>
      </c>
      <c r="H22" s="145">
        <f>'Assumption Sheet'!H198</f>
        <v>50004600</v>
      </c>
      <c r="I22" s="145">
        <f>'Assumption Sheet'!I198</f>
        <v>60005520</v>
      </c>
      <c r="J22" s="145">
        <f>'Assumption Sheet'!J198</f>
        <v>72006624</v>
      </c>
      <c r="K22" s="145">
        <f>'Assumption Sheet'!K198</f>
        <v>71353748.799999997</v>
      </c>
      <c r="L22" s="145">
        <f>'Assumption Sheet'!L198</f>
        <v>69275298.560000002</v>
      </c>
    </row>
    <row r="23" spans="1:12" x14ac:dyDescent="0.3">
      <c r="A23" s="9"/>
      <c r="B23" s="9"/>
      <c r="C23" s="145">
        <f t="shared" ref="C23" si="4">SUM(C16:C22)</f>
        <v>19167495000</v>
      </c>
      <c r="D23" s="145">
        <f t="shared" ref="D23:L23" si="5">SUM(D16:D22)</f>
        <v>19553041000</v>
      </c>
      <c r="E23" s="145">
        <f t="shared" si="5"/>
        <v>22738558000</v>
      </c>
      <c r="F23" s="145">
        <f t="shared" si="5"/>
        <v>21260216000</v>
      </c>
      <c r="G23" s="145">
        <f t="shared" si="5"/>
        <v>28454755000</v>
      </c>
      <c r="H23" s="145">
        <f t="shared" si="5"/>
        <v>21650843400</v>
      </c>
      <c r="I23" s="145">
        <f t="shared" si="5"/>
        <v>22403523880</v>
      </c>
      <c r="J23" s="145">
        <f t="shared" si="5"/>
        <v>23300642256</v>
      </c>
      <c r="K23" s="145">
        <f t="shared" si="5"/>
        <v>23413996107.200001</v>
      </c>
      <c r="L23" s="145">
        <f t="shared" si="5"/>
        <v>23844752128.640003</v>
      </c>
    </row>
    <row r="24" spans="1:12" x14ac:dyDescent="0.3">
      <c r="A24" s="146" t="s">
        <v>443</v>
      </c>
      <c r="B24" s="147"/>
      <c r="C24" s="148">
        <f t="shared" ref="C24" si="6">C23+C14</f>
        <v>24997177000</v>
      </c>
      <c r="D24" s="148">
        <f t="shared" ref="D24:L24" si="7">D23+D14</f>
        <v>24444064000</v>
      </c>
      <c r="E24" s="148">
        <f t="shared" si="7"/>
        <v>28767479000</v>
      </c>
      <c r="F24" s="148">
        <f t="shared" si="7"/>
        <v>27022888000</v>
      </c>
      <c r="G24" s="148">
        <f t="shared" si="7"/>
        <v>33930122000</v>
      </c>
      <c r="H24" s="148">
        <f t="shared" si="7"/>
        <v>22066762200</v>
      </c>
      <c r="I24" s="148">
        <f t="shared" si="7"/>
        <v>22853134040</v>
      </c>
      <c r="J24" s="148">
        <f t="shared" si="7"/>
        <v>23787861048</v>
      </c>
      <c r="K24" s="148">
        <f t="shared" si="7"/>
        <v>23842000257.600002</v>
      </c>
      <c r="L24" s="148">
        <f t="shared" si="7"/>
        <v>24243990509.120003</v>
      </c>
    </row>
    <row r="26" spans="1:12" x14ac:dyDescent="0.3">
      <c r="A26" s="150" t="s">
        <v>444</v>
      </c>
      <c r="B26" s="151"/>
      <c r="C26" s="152">
        <f t="shared" ref="C26" si="8">C24+C8</f>
        <v>101140000000</v>
      </c>
      <c r="D26" s="152">
        <f t="shared" ref="D26:L26" si="9">D24+D8</f>
        <v>106599219000</v>
      </c>
      <c r="E26" s="152">
        <f t="shared" si="9"/>
        <v>117530275000</v>
      </c>
      <c r="F26" s="152">
        <f t="shared" si="9"/>
        <v>102736033000</v>
      </c>
      <c r="G26" s="152">
        <f t="shared" si="9"/>
        <v>100545392000</v>
      </c>
      <c r="H26" s="152">
        <f t="shared" si="9"/>
        <v>99944600000</v>
      </c>
      <c r="I26" s="152">
        <f t="shared" si="9"/>
        <v>101077974800</v>
      </c>
      <c r="J26" s="152">
        <f t="shared" si="9"/>
        <v>101226638960</v>
      </c>
      <c r="K26" s="152">
        <f t="shared" si="9"/>
        <v>99015974552</v>
      </c>
      <c r="L26" s="152">
        <f t="shared" si="9"/>
        <v>99310130662.399994</v>
      </c>
    </row>
    <row r="28" spans="1:12" x14ac:dyDescent="0.3">
      <c r="A28" s="143" t="s">
        <v>445</v>
      </c>
    </row>
    <row r="29" spans="1:12" x14ac:dyDescent="0.3">
      <c r="A29" s="143" t="s">
        <v>446</v>
      </c>
    </row>
    <row r="30" spans="1:12" x14ac:dyDescent="0.3">
      <c r="A30" s="7" t="s">
        <v>447</v>
      </c>
      <c r="C30" s="144">
        <f>'Assumption Sheet'!C207</f>
        <v>24357269000</v>
      </c>
      <c r="D30" s="144">
        <f>'Assumption Sheet'!D207</f>
        <v>24715095000</v>
      </c>
      <c r="E30" s="144">
        <f>'Assumption Sheet'!E207</f>
        <v>27767699000</v>
      </c>
      <c r="F30" s="144">
        <f>'Assumption Sheet'!F207</f>
        <v>28180049000</v>
      </c>
      <c r="G30" s="144">
        <f>'Assumption Sheet'!G207</f>
        <v>28968219000</v>
      </c>
      <c r="H30" s="144">
        <f>'Assumption Sheet'!H207</f>
        <v>26761428000</v>
      </c>
      <c r="I30" s="144">
        <f>'Assumption Sheet'!I207</f>
        <v>27278498000</v>
      </c>
      <c r="J30" s="144">
        <f>'Assumption Sheet'!J207</f>
        <v>27791178600</v>
      </c>
      <c r="K30" s="144">
        <f>'Assumption Sheet'!K207</f>
        <v>27795874520</v>
      </c>
      <c r="L30" s="144">
        <f>'Assumption Sheet'!L207</f>
        <v>27719039624</v>
      </c>
    </row>
    <row r="31" spans="1:12" x14ac:dyDescent="0.3">
      <c r="A31" s="7" t="s">
        <v>448</v>
      </c>
      <c r="C31" s="144">
        <f>'Assumption Sheet'!C218</f>
        <v>479242000</v>
      </c>
      <c r="D31" s="144">
        <f>'Assumption Sheet'!D218</f>
        <v>472765000</v>
      </c>
      <c r="E31" s="144">
        <f>'Assumption Sheet'!E218</f>
        <v>466935000</v>
      </c>
      <c r="F31" s="144">
        <f>'Assumption Sheet'!F218</f>
        <v>464896000</v>
      </c>
      <c r="G31" s="144">
        <f>'Assumption Sheet'!G218</f>
        <v>459974000</v>
      </c>
      <c r="H31" s="144">
        <f>'Assumption Sheet'!H218</f>
        <v>453261709.6746518</v>
      </c>
      <c r="I31" s="144">
        <f>'Assumption Sheet'!I218</f>
        <v>447835197.6135183</v>
      </c>
      <c r="J31" s="144">
        <f>'Assumption Sheet'!J218</f>
        <v>442703982.19149524</v>
      </c>
      <c r="K31" s="144">
        <f>'Assumption Sheet'!K218</f>
        <v>437824996.02926087</v>
      </c>
      <c r="L31" s="144">
        <f>'Assumption Sheet'!L218</f>
        <v>433189605.25270867</v>
      </c>
    </row>
    <row r="32" spans="1:12" x14ac:dyDescent="0.3">
      <c r="A32" s="7" t="s">
        <v>449</v>
      </c>
      <c r="C32" s="144">
        <f>'Assumption Sheet'!C220</f>
        <v>51960454000</v>
      </c>
      <c r="D32" s="144">
        <f>'Assumption Sheet'!D220</f>
        <v>55399080000</v>
      </c>
      <c r="E32" s="144">
        <f>'Assumption Sheet'!E220</f>
        <v>60008322000</v>
      </c>
      <c r="F32" s="144">
        <f>'Assumption Sheet'!F220</f>
        <v>44757279000</v>
      </c>
      <c r="G32" s="144">
        <f>'Assumption Sheet'!G220</f>
        <v>34930333000</v>
      </c>
      <c r="H32" s="144">
        <f>'Assumption Sheet'!H220+8250039331.91428</f>
        <v>57661132931.914276</v>
      </c>
      <c r="I32" s="144">
        <f>'Assumption Sheet'!I220</f>
        <v>48901221520</v>
      </c>
      <c r="J32" s="144">
        <f>'Assumption Sheet'!J220</f>
        <v>47601649824</v>
      </c>
      <c r="K32" s="144">
        <f>'Assumption Sheet'!K220</f>
        <v>45120315388.800003</v>
      </c>
      <c r="L32" s="144">
        <f>'Assumption Sheet'!L220</f>
        <v>45192922666.559998</v>
      </c>
    </row>
    <row r="33" spans="1:13" x14ac:dyDescent="0.3">
      <c r="A33" s="7" t="s">
        <v>136</v>
      </c>
      <c r="C33" s="144">
        <f>'Assumption Sheet'!C225</f>
        <v>94284000</v>
      </c>
      <c r="D33" s="144">
        <f>'Assumption Sheet'!D225</f>
        <v>97762000</v>
      </c>
      <c r="E33" s="144">
        <f>'Assumption Sheet'!E225</f>
        <v>167526000</v>
      </c>
      <c r="F33" s="144">
        <f>'Assumption Sheet'!F225</f>
        <v>221481000</v>
      </c>
      <c r="G33" s="144">
        <f>'Assumption Sheet'!G225</f>
        <v>275246000</v>
      </c>
      <c r="H33" s="144">
        <f>'Assumption Sheet'!H225</f>
        <v>171259800</v>
      </c>
      <c r="I33" s="144">
        <f>'Assumption Sheet'!I225</f>
        <v>186654960</v>
      </c>
      <c r="J33" s="144">
        <f>'Assumption Sheet'!J225</f>
        <v>204433552</v>
      </c>
      <c r="K33" s="144">
        <f>'Assumption Sheet'!K225</f>
        <v>211815062.40000001</v>
      </c>
      <c r="L33" s="144">
        <f>'Assumption Sheet'!L225</f>
        <v>209881874.88</v>
      </c>
    </row>
    <row r="34" spans="1:13" x14ac:dyDescent="0.3">
      <c r="A34" s="7" t="s">
        <v>450</v>
      </c>
      <c r="C34" s="145">
        <f>'Assumption Sheet'!C228</f>
        <v>58307000</v>
      </c>
      <c r="D34" s="145">
        <f>'Assumption Sheet'!D228</f>
        <v>63687000</v>
      </c>
      <c r="E34" s="145">
        <f>'Assumption Sheet'!E228</f>
        <v>121646000</v>
      </c>
      <c r="F34" s="145">
        <f>'Assumption Sheet'!F228</f>
        <v>69643000</v>
      </c>
      <c r="G34" s="145">
        <f>'Assumption Sheet'!G228</f>
        <v>114360000</v>
      </c>
      <c r="H34" s="145">
        <f>'Assumption Sheet'!H228</f>
        <v>85528600</v>
      </c>
      <c r="I34" s="145">
        <f>'Assumption Sheet'!I228</f>
        <v>90972920</v>
      </c>
      <c r="J34" s="145">
        <f>'Assumption Sheet'!J228</f>
        <v>96430104</v>
      </c>
      <c r="K34" s="145">
        <f>'Assumption Sheet'!K228</f>
        <v>91386924.799999997</v>
      </c>
      <c r="L34" s="145">
        <f>'Assumption Sheet'!L228</f>
        <v>95735709.760000005</v>
      </c>
    </row>
    <row r="35" spans="1:13" x14ac:dyDescent="0.3">
      <c r="C35" s="144">
        <f t="shared" ref="C35" si="10">SUM(C30:C34)</f>
        <v>76949556000</v>
      </c>
      <c r="D35" s="144">
        <f t="shared" ref="D35:L35" si="11">SUM(D30:D34)</f>
        <v>80748389000</v>
      </c>
      <c r="E35" s="144">
        <f t="shared" si="11"/>
        <v>88532128000</v>
      </c>
      <c r="F35" s="144">
        <f t="shared" si="11"/>
        <v>73693348000</v>
      </c>
      <c r="G35" s="144">
        <f t="shared" si="11"/>
        <v>64748132000</v>
      </c>
      <c r="H35" s="144">
        <f t="shared" si="11"/>
        <v>85132611041.588928</v>
      </c>
      <c r="I35" s="144">
        <f t="shared" si="11"/>
        <v>76905182597.613525</v>
      </c>
      <c r="J35" s="144">
        <f t="shared" si="11"/>
        <v>76136396062.191498</v>
      </c>
      <c r="K35" s="144">
        <f t="shared" si="11"/>
        <v>73657216892.029266</v>
      </c>
      <c r="L35" s="144">
        <f t="shared" si="11"/>
        <v>73650769480.452713</v>
      </c>
    </row>
    <row r="36" spans="1:13" x14ac:dyDescent="0.3">
      <c r="A36" s="143" t="s">
        <v>451</v>
      </c>
    </row>
    <row r="37" spans="1:13" x14ac:dyDescent="0.3">
      <c r="A37" s="7" t="s">
        <v>452</v>
      </c>
      <c r="C37" s="144">
        <f>'Assumption Sheet'!C236</f>
        <v>1335763000</v>
      </c>
      <c r="D37" s="144">
        <f>'Assumption Sheet'!D236</f>
        <v>1269509000</v>
      </c>
      <c r="E37" s="144">
        <f>'Assumption Sheet'!E236</f>
        <v>2106878000</v>
      </c>
      <c r="F37" s="144">
        <f>'Assumption Sheet'!F236</f>
        <v>1714031000</v>
      </c>
      <c r="G37" s="144">
        <f>'Assumption Sheet'!G236</f>
        <v>3102988000</v>
      </c>
      <c r="H37" s="144">
        <f>'Assumption Sheet'!H236</f>
        <v>1906394200</v>
      </c>
      <c r="I37" s="144">
        <f>'Assumption Sheet'!I236</f>
        <v>2020182240</v>
      </c>
      <c r="J37" s="144">
        <f>'Assumption Sheet'!J236</f>
        <v>2170150488</v>
      </c>
      <c r="K37" s="144">
        <f>'Assumption Sheet'!K236</f>
        <v>2182762385.5999999</v>
      </c>
      <c r="L37" s="144">
        <f>'Assumption Sheet'!L236</f>
        <v>2276495462.7199998</v>
      </c>
    </row>
    <row r="38" spans="1:13" x14ac:dyDescent="0.3">
      <c r="A38" s="7" t="s">
        <v>453</v>
      </c>
      <c r="C38" s="144">
        <f>'Assumption Sheet'!C242</f>
        <v>10350193000</v>
      </c>
      <c r="D38" s="144">
        <f>'Assumption Sheet'!D242</f>
        <v>9933736000</v>
      </c>
      <c r="E38" s="144">
        <f>'Assumption Sheet'!E242</f>
        <v>12722712000</v>
      </c>
      <c r="F38" s="144">
        <f>'Assumption Sheet'!F242</f>
        <v>12243652000</v>
      </c>
      <c r="G38" s="144">
        <f>'Assumption Sheet'!G242</f>
        <v>17008459000</v>
      </c>
      <c r="H38" s="144">
        <f>'Assumption Sheet'!H242</f>
        <v>12451750400</v>
      </c>
      <c r="I38" s="144">
        <f>'Assumption Sheet'!I242</f>
        <v>12872061880</v>
      </c>
      <c r="J38" s="144">
        <f>'Assumption Sheet'!J242</f>
        <v>13459727056</v>
      </c>
      <c r="K38" s="144">
        <f>'Assumption Sheet'!K242</f>
        <v>13607130067.199999</v>
      </c>
      <c r="L38" s="144">
        <f>'Assumption Sheet'!L242</f>
        <v>13879825680.639999</v>
      </c>
    </row>
    <row r="39" spans="1:13" x14ac:dyDescent="0.3">
      <c r="A39" s="7" t="s">
        <v>454</v>
      </c>
      <c r="C39" s="144">
        <f>'Assumption Sheet'!C255</f>
        <v>3014466000</v>
      </c>
      <c r="D39" s="144">
        <f>'Assumption Sheet'!D255</f>
        <v>2253369000</v>
      </c>
      <c r="E39" s="144">
        <f>'Assumption Sheet'!E255</f>
        <v>2245620000</v>
      </c>
      <c r="F39" s="144">
        <f>'Assumption Sheet'!F255</f>
        <v>4029789000</v>
      </c>
      <c r="G39" s="144">
        <f>'Assumption Sheet'!G255</f>
        <v>4711061000</v>
      </c>
      <c r="H39" s="144">
        <f>'Assumption Sheet'!H255</f>
        <v>3253904800</v>
      </c>
      <c r="I39" s="144">
        <f>'Assumption Sheet'!I255</f>
        <v>3301792560</v>
      </c>
      <c r="J39" s="144">
        <f>'Assumption Sheet'!J255</f>
        <v>3511477272</v>
      </c>
      <c r="K39" s="144">
        <f>'Assumption Sheet'!K255</f>
        <v>3764648726.4000001</v>
      </c>
      <c r="L39" s="144">
        <f>'Assumption Sheet'!L255</f>
        <v>3711620671.6799998</v>
      </c>
    </row>
    <row r="40" spans="1:13" x14ac:dyDescent="0.3">
      <c r="A40" s="7" t="s">
        <v>455</v>
      </c>
      <c r="C40" s="144">
        <f>'Assumption Sheet'!C260</f>
        <v>5575273000</v>
      </c>
      <c r="D40" s="144">
        <f>'Assumption Sheet'!D260</f>
        <v>6111644000</v>
      </c>
      <c r="E40" s="144">
        <f>'Assumption Sheet'!E260</f>
        <v>6442363000</v>
      </c>
      <c r="F40" s="144">
        <f>'Assumption Sheet'!F260</f>
        <v>4848088000</v>
      </c>
      <c r="G40" s="144">
        <f>'Assumption Sheet'!G260</f>
        <v>8040700000</v>
      </c>
      <c r="H40" s="144">
        <f>'Assumption Sheet'!H260</f>
        <v>6203613600</v>
      </c>
      <c r="I40" s="144">
        <f>'Assumption Sheet'!I260</f>
        <v>6329281720</v>
      </c>
      <c r="J40" s="144">
        <f>'Assumption Sheet'!J260</f>
        <v>6372809264</v>
      </c>
      <c r="K40" s="144">
        <f>'Assumption Sheet'!K260</f>
        <v>6358898516.8000002</v>
      </c>
      <c r="L40" s="144">
        <f>'Assumption Sheet'!L260</f>
        <v>6661060620.1599998</v>
      </c>
    </row>
    <row r="41" spans="1:13" x14ac:dyDescent="0.3">
      <c r="A41" s="7" t="s">
        <v>456</v>
      </c>
      <c r="C41" s="144">
        <f>'Assumption Sheet'!C265</f>
        <v>44849000</v>
      </c>
      <c r="D41" s="144">
        <f>'Assumption Sheet'!D265</f>
        <v>65433000</v>
      </c>
      <c r="E41" s="144">
        <f>'Assumption Sheet'!E265</f>
        <v>60454000</v>
      </c>
      <c r="F41" s="144">
        <f>'Assumption Sheet'!F265</f>
        <v>90616000</v>
      </c>
      <c r="G41" s="144">
        <f>'Assumption Sheet'!G265</f>
        <v>74969000</v>
      </c>
      <c r="H41" s="144">
        <f>'Assumption Sheet'!H265</f>
        <v>67264200</v>
      </c>
      <c r="I41" s="144">
        <f>'Assumption Sheet'!I265</f>
        <v>71747240</v>
      </c>
      <c r="J41" s="144">
        <f>'Assumption Sheet'!J265</f>
        <v>73010088</v>
      </c>
      <c r="K41" s="144">
        <f>'Assumption Sheet'!K265</f>
        <v>75521305.599999994</v>
      </c>
      <c r="L41" s="144">
        <f>'Assumption Sheet'!L265</f>
        <v>72502366.719999999</v>
      </c>
    </row>
    <row r="42" spans="1:13" x14ac:dyDescent="0.3">
      <c r="A42" s="7" t="s">
        <v>457</v>
      </c>
      <c r="C42" s="144">
        <f>'Assumption Sheet'!C274</f>
        <v>1625281000</v>
      </c>
      <c r="D42" s="144">
        <f>'Assumption Sheet'!D274</f>
        <v>2023092000</v>
      </c>
      <c r="E42" s="144">
        <f>'Assumption Sheet'!E274</f>
        <v>2828285000</v>
      </c>
      <c r="F42" s="144">
        <f>'Assumption Sheet'!F274</f>
        <v>3420370000</v>
      </c>
      <c r="G42" s="144">
        <f>'Assumption Sheet'!G274</f>
        <v>2253678000</v>
      </c>
      <c r="H42" s="144">
        <f>'Assumption Sheet'!H274</f>
        <v>2430141200</v>
      </c>
      <c r="I42" s="144">
        <f>'Assumption Sheet'!I274</f>
        <v>2591113240</v>
      </c>
      <c r="J42" s="144">
        <f>'Assumption Sheet'!J274</f>
        <v>2704717488</v>
      </c>
      <c r="K42" s="144">
        <f>'Assumption Sheet'!K274</f>
        <v>2680003985.5999999</v>
      </c>
      <c r="L42" s="144">
        <f>'Assumption Sheet'!L274</f>
        <v>2531930782.7200003</v>
      </c>
    </row>
    <row r="43" spans="1:13" x14ac:dyDescent="0.3">
      <c r="A43" s="7" t="s">
        <v>458</v>
      </c>
      <c r="C43" s="144">
        <f>'Assumption Sheet'!C276</f>
        <v>2540000</v>
      </c>
      <c r="D43" s="144">
        <f>'Assumption Sheet'!D276</f>
        <v>13662000</v>
      </c>
      <c r="E43" s="144">
        <f>'Assumption Sheet'!E276</f>
        <v>11917000</v>
      </c>
      <c r="F43" s="144">
        <f>'Assumption Sheet'!F276</f>
        <v>9792000</v>
      </c>
      <c r="G43" s="144">
        <f>'Assumption Sheet'!G276</f>
        <v>28780000</v>
      </c>
      <c r="H43" s="144">
        <f>'Assumption Sheet'!H276</f>
        <v>13338200</v>
      </c>
      <c r="I43" s="144">
        <f>'Assumption Sheet'!I276</f>
        <v>15497840</v>
      </c>
      <c r="J43" s="144">
        <f>'Assumption Sheet'!J276</f>
        <v>15865008</v>
      </c>
      <c r="K43" s="144">
        <f>'Assumption Sheet'!K276</f>
        <v>16654609.6</v>
      </c>
      <c r="L43" s="144">
        <f>'Assumption Sheet'!L276</f>
        <v>18027131.52</v>
      </c>
    </row>
    <row r="44" spans="1:13" x14ac:dyDescent="0.3">
      <c r="A44" s="7" t="s">
        <v>459</v>
      </c>
      <c r="C44" s="144">
        <f>'Assumption Sheet'!C279</f>
        <v>2189860000</v>
      </c>
      <c r="D44" s="144">
        <f>'Assumption Sheet'!D279</f>
        <v>2065217000</v>
      </c>
      <c r="E44" s="144">
        <f>'Assumption Sheet'!E279</f>
        <v>2535973000</v>
      </c>
      <c r="F44" s="144">
        <f>'Assumption Sheet'!F279</f>
        <v>2581520000</v>
      </c>
      <c r="G44" s="144">
        <f>'Assumption Sheet'!G279</f>
        <v>0</v>
      </c>
      <c r="H44" s="144">
        <f>'Assumption Sheet'!H279</f>
        <v>0</v>
      </c>
      <c r="I44" s="144">
        <f>'Assumption Sheet'!I279</f>
        <v>0</v>
      </c>
      <c r="J44" s="144">
        <f>'Assumption Sheet'!J279</f>
        <v>0</v>
      </c>
      <c r="K44" s="144">
        <f>'Assumption Sheet'!K279</f>
        <v>0</v>
      </c>
      <c r="L44" s="144">
        <f>'Assumption Sheet'!L279</f>
        <v>0</v>
      </c>
    </row>
    <row r="45" spans="1:13" x14ac:dyDescent="0.3">
      <c r="A45" s="7" t="s">
        <v>460</v>
      </c>
      <c r="C45" s="145">
        <f>'Assumption Sheet'!C288</f>
        <v>52219000</v>
      </c>
      <c r="D45" s="145">
        <f>'Assumption Sheet'!D288</f>
        <v>2115168000</v>
      </c>
      <c r="E45" s="145">
        <f>'Assumption Sheet'!E288</f>
        <v>43945000</v>
      </c>
      <c r="F45" s="145">
        <f>'Assumption Sheet'!F288</f>
        <v>104827000</v>
      </c>
      <c r="G45" s="145">
        <f>'Assumption Sheet'!G288</f>
        <v>576625000</v>
      </c>
      <c r="H45" s="145">
        <f>'Assumption Sheet'!H288</f>
        <v>-11514417641.588934</v>
      </c>
      <c r="I45" s="145">
        <f>'Assumption Sheet'!I288</f>
        <v>-19411549698.574371</v>
      </c>
      <c r="J45" s="145">
        <f>'Assumption Sheet'!J288</f>
        <v>-29948607115.685158</v>
      </c>
      <c r="K45" s="145">
        <f>'Assumption Sheet'!K288</f>
        <v>-42652282929.243584</v>
      </c>
      <c r="L45" s="145">
        <f>'Assumption Sheet'!L288</f>
        <v>-58902956285.091431</v>
      </c>
      <c r="M45" s="4"/>
    </row>
    <row r="46" spans="1:13" x14ac:dyDescent="0.3">
      <c r="A46" s="9"/>
      <c r="B46" s="9"/>
      <c r="C46" s="145">
        <f t="shared" ref="C46" si="12">SUM(C37:C45)</f>
        <v>24190444000</v>
      </c>
      <c r="D46" s="145">
        <f t="shared" ref="D46:L46" si="13">SUM(D37:D45)</f>
        <v>25850830000</v>
      </c>
      <c r="E46" s="145">
        <f t="shared" si="13"/>
        <v>28998147000</v>
      </c>
      <c r="F46" s="145">
        <f t="shared" si="13"/>
        <v>29042685000</v>
      </c>
      <c r="G46" s="145">
        <f t="shared" si="13"/>
        <v>35797260000</v>
      </c>
      <c r="H46" s="145">
        <f t="shared" si="13"/>
        <v>14811988958.411066</v>
      </c>
      <c r="I46" s="145">
        <f t="shared" si="13"/>
        <v>7790127021.4256287</v>
      </c>
      <c r="J46" s="145">
        <f t="shared" si="13"/>
        <v>-1640850451.6851578</v>
      </c>
      <c r="K46" s="145">
        <f t="shared" si="13"/>
        <v>-13966663332.443588</v>
      </c>
      <c r="L46" s="145">
        <f t="shared" si="13"/>
        <v>-29751493568.931431</v>
      </c>
    </row>
    <row r="47" spans="1:13" x14ac:dyDescent="0.3">
      <c r="A47" s="150" t="s">
        <v>461</v>
      </c>
      <c r="B47" s="151"/>
      <c r="C47" s="152">
        <f t="shared" ref="C47" si="14">C46+C35</f>
        <v>101140000000</v>
      </c>
      <c r="D47" s="152">
        <f t="shared" ref="D47:L47" si="15">D46+D35</f>
        <v>106599219000</v>
      </c>
      <c r="E47" s="152">
        <f t="shared" si="15"/>
        <v>117530275000</v>
      </c>
      <c r="F47" s="152">
        <f t="shared" si="15"/>
        <v>102736033000</v>
      </c>
      <c r="G47" s="152">
        <f t="shared" si="15"/>
        <v>100545392000</v>
      </c>
      <c r="H47" s="152">
        <f t="shared" si="15"/>
        <v>99944600000</v>
      </c>
      <c r="I47" s="152">
        <f t="shared" si="15"/>
        <v>84695309619.039154</v>
      </c>
      <c r="J47" s="152">
        <f t="shared" si="15"/>
        <v>74495545610.506348</v>
      </c>
      <c r="K47" s="152">
        <f t="shared" si="15"/>
        <v>59690553559.585678</v>
      </c>
      <c r="L47" s="152">
        <f t="shared" si="15"/>
        <v>43899275911.521286</v>
      </c>
    </row>
    <row r="49" spans="1:13" x14ac:dyDescent="0.3">
      <c r="A49" s="7" t="s">
        <v>462</v>
      </c>
      <c r="C49" s="144">
        <f t="shared" ref="C49:L49" si="16">C47-C26</f>
        <v>0</v>
      </c>
      <c r="D49" s="144">
        <f t="shared" si="16"/>
        <v>0</v>
      </c>
      <c r="E49" s="144">
        <f t="shared" si="16"/>
        <v>0</v>
      </c>
      <c r="F49" s="144">
        <f t="shared" si="16"/>
        <v>0</v>
      </c>
      <c r="G49" s="144">
        <f t="shared" si="16"/>
        <v>0</v>
      </c>
      <c r="H49" s="144">
        <f t="shared" si="16"/>
        <v>0</v>
      </c>
      <c r="I49" s="144">
        <f t="shared" si="16"/>
        <v>-16382665180.960846</v>
      </c>
      <c r="J49" s="144">
        <f t="shared" si="16"/>
        <v>-26731093349.493652</v>
      </c>
      <c r="K49" s="144">
        <f t="shared" si="16"/>
        <v>-39325420992.414322</v>
      </c>
      <c r="L49" s="144">
        <f t="shared" si="16"/>
        <v>-55410854750.878708</v>
      </c>
    </row>
    <row r="51" spans="1:13" x14ac:dyDescent="0.3">
      <c r="I51" s="144">
        <f>I49-H49</f>
        <v>-16382665180.960846</v>
      </c>
      <c r="J51" s="144">
        <f>J49-I49</f>
        <v>-10348428168.532806</v>
      </c>
      <c r="K51" s="144">
        <f>K49-J49</f>
        <v>-12594327642.92067</v>
      </c>
      <c r="L51" s="144">
        <f>L49-K49</f>
        <v>-16085433758.464386</v>
      </c>
    </row>
    <row r="54" spans="1:13" x14ac:dyDescent="0.3">
      <c r="A54" s="11"/>
      <c r="B54" s="11"/>
      <c r="C54" s="11"/>
      <c r="D54" s="11"/>
      <c r="E54" s="11"/>
      <c r="F54" s="153"/>
      <c r="G54" s="153"/>
      <c r="H54" s="11"/>
      <c r="I54" s="11"/>
      <c r="J54" s="11"/>
      <c r="K54" s="11"/>
      <c r="L54" s="11"/>
      <c r="M54" s="4"/>
    </row>
    <row r="55" spans="1:13" x14ac:dyDescent="0.3">
      <c r="H55" s="144"/>
      <c r="I55" s="144"/>
      <c r="J55" s="144"/>
      <c r="K55" s="144"/>
      <c r="L55" s="144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G55" sqref="G55"/>
    </sheetView>
  </sheetViews>
  <sheetFormatPr defaultRowHeight="14.4" x14ac:dyDescent="0.3"/>
  <cols>
    <col min="1" max="1" width="40" style="7" customWidth="1"/>
    <col min="2" max="2" width="28.33203125" style="7" bestFit="1" customWidth="1"/>
    <col min="3" max="3" width="17.109375" style="7" bestFit="1" customWidth="1"/>
    <col min="4" max="6" width="17.44140625" style="7" bestFit="1" customWidth="1"/>
    <col min="7" max="7" width="17.88671875" style="7" bestFit="1" customWidth="1"/>
    <col min="8" max="8" width="17.109375" style="7" bestFit="1" customWidth="1"/>
    <col min="9" max="10" width="17.44140625" style="7" bestFit="1" customWidth="1"/>
    <col min="11" max="12" width="17.88671875" style="7" bestFit="1" customWidth="1"/>
    <col min="13" max="16384" width="8.88671875" style="7"/>
  </cols>
  <sheetData>
    <row r="1" spans="1:12" ht="18" x14ac:dyDescent="0.35">
      <c r="C1" s="216" t="s">
        <v>463</v>
      </c>
      <c r="D1" s="216"/>
      <c r="E1" s="216"/>
      <c r="F1" s="216"/>
      <c r="G1" s="216"/>
      <c r="H1" s="216"/>
    </row>
    <row r="3" spans="1:12" ht="21" x14ac:dyDescent="0.4">
      <c r="B3" s="7" t="s">
        <v>464</v>
      </c>
      <c r="C3" s="154">
        <v>2015</v>
      </c>
      <c r="D3" s="154">
        <v>2016</v>
      </c>
      <c r="E3" s="154">
        <v>2017</v>
      </c>
      <c r="F3" s="154">
        <v>2018</v>
      </c>
      <c r="G3" s="154">
        <v>2019</v>
      </c>
      <c r="H3" s="154">
        <v>2020</v>
      </c>
      <c r="I3" s="154">
        <v>2021</v>
      </c>
      <c r="J3" s="154">
        <v>2022</v>
      </c>
      <c r="K3" s="154">
        <v>2023</v>
      </c>
      <c r="L3" s="154">
        <v>2024</v>
      </c>
    </row>
    <row r="4" spans="1:12" x14ac:dyDescent="0.3">
      <c r="A4" s="143" t="s">
        <v>465</v>
      </c>
    </row>
    <row r="6" spans="1:12" x14ac:dyDescent="0.3">
      <c r="A6" s="7" t="s">
        <v>466</v>
      </c>
      <c r="B6" s="7" t="s">
        <v>467</v>
      </c>
      <c r="C6" s="144">
        <f>-'Assumption Sheet'!C315</f>
        <v>-1818433000</v>
      </c>
      <c r="D6" s="144">
        <f>-'Assumption Sheet'!D315</f>
        <v>-1154295000</v>
      </c>
      <c r="E6" s="144">
        <f>-'Assumption Sheet'!E315</f>
        <v>-917641000</v>
      </c>
      <c r="F6" s="144">
        <f>-'Assumption Sheet'!F315</f>
        <v>-995197000</v>
      </c>
      <c r="G6" s="144">
        <f>-'Assumption Sheet'!G315</f>
        <v>-1542207000</v>
      </c>
      <c r="H6" s="144">
        <f>-'Assumption Sheet'!H315</f>
        <v>-1285554600</v>
      </c>
      <c r="I6" s="144">
        <f>-'Assumption Sheet'!I315</f>
        <v>-1178978920</v>
      </c>
      <c r="J6" s="144">
        <f>-'Assumption Sheet'!J315</f>
        <v>-1183915704</v>
      </c>
      <c r="K6" s="144">
        <f>-'Assumption Sheet'!K315</f>
        <v>-1237170644.8</v>
      </c>
      <c r="L6" s="144">
        <f>-'Assumption Sheet'!L315</f>
        <v>-1285565373.76</v>
      </c>
    </row>
    <row r="7" spans="1:12" x14ac:dyDescent="0.3">
      <c r="A7" s="7" t="s">
        <v>468</v>
      </c>
      <c r="B7" s="7" t="s">
        <v>467</v>
      </c>
      <c r="C7" s="144">
        <f>-'Assumption Sheet'!C308</f>
        <v>-771332000</v>
      </c>
      <c r="D7" s="144">
        <f>-'Assumption Sheet'!D308</f>
        <v>-917685000</v>
      </c>
      <c r="E7" s="144">
        <f>-'Assumption Sheet'!E308</f>
        <v>-525943000</v>
      </c>
      <c r="F7" s="144">
        <f>-'Assumption Sheet'!F308</f>
        <v>-780715000</v>
      </c>
      <c r="G7" s="144">
        <f>-'Assumption Sheet'!G308</f>
        <v>-853336000</v>
      </c>
      <c r="H7" s="144">
        <f>-'Assumption Sheet'!H308</f>
        <v>-814728293.72938788</v>
      </c>
      <c r="I7" s="144">
        <f>-'Assumption Sheet'!I308</f>
        <v>-46544227.639591299</v>
      </c>
      <c r="J7" s="144">
        <f>-'Assumption Sheet'!J308</f>
        <v>-286745278.81913185</v>
      </c>
      <c r="K7" s="144">
        <f>-'Assumption Sheet'!K308</f>
        <v>-615536275.73647881</v>
      </c>
      <c r="L7" s="144">
        <f>-'Assumption Sheet'!L308</f>
        <v>-891679623.93781483</v>
      </c>
    </row>
    <row r="8" spans="1:12" x14ac:dyDescent="0.3">
      <c r="A8" s="7" t="s">
        <v>252</v>
      </c>
      <c r="B8" s="7" t="s">
        <v>467</v>
      </c>
      <c r="C8" s="144">
        <f>-'Assumption Sheet'!C311</f>
        <v>166690000</v>
      </c>
      <c r="D8" s="144">
        <f>-'Assumption Sheet'!D311</f>
        <v>-8550000</v>
      </c>
      <c r="E8" s="144">
        <f>'Assumption Sheet'!E311</f>
        <v>123558000</v>
      </c>
      <c r="F8" s="144">
        <f>'Assumption Sheet'!F311</f>
        <v>-7427000</v>
      </c>
      <c r="G8" s="144">
        <f>'Assumption Sheet'!G311</f>
        <v>13720000</v>
      </c>
      <c r="H8" s="144">
        <f>'Assumption Sheet'!H311</f>
        <v>-5657800</v>
      </c>
      <c r="I8" s="144">
        <f>'Assumption Sheet'!I311</f>
        <v>26548640</v>
      </c>
      <c r="J8" s="144">
        <f>'Assumption Sheet'!J311</f>
        <v>30148368</v>
      </c>
      <c r="K8" s="144">
        <f>'Assumption Sheet'!K311</f>
        <v>11466441.6</v>
      </c>
      <c r="L8" s="144">
        <f>'Assumption Sheet'!L311</f>
        <v>15245129.919999998</v>
      </c>
    </row>
    <row r="9" spans="1:12" x14ac:dyDescent="0.3">
      <c r="A9" s="4" t="s">
        <v>271</v>
      </c>
      <c r="B9" s="7" t="s">
        <v>467</v>
      </c>
      <c r="C9" s="144">
        <f>'Assumption Sheet'!C341</f>
        <v>8382000</v>
      </c>
      <c r="D9" s="10">
        <f>-'Assumption Sheet'!D341</f>
        <v>-5266000</v>
      </c>
      <c r="E9" s="10">
        <f>-'Assumption Sheet'!E341</f>
        <v>-85936000</v>
      </c>
      <c r="F9" s="10">
        <f>-'Assumption Sheet'!F341</f>
        <v>-79545000</v>
      </c>
      <c r="G9" s="10">
        <f>-'Assumption Sheet'!G341</f>
        <v>-68813000</v>
      </c>
      <c r="H9" s="10">
        <f>'Assumption Sheet'!H341</f>
        <v>49588400</v>
      </c>
      <c r="I9" s="10">
        <f>'Assumption Sheet'!I341</f>
        <v>57829680</v>
      </c>
      <c r="J9" s="144">
        <f>'Assumption Sheet'!J341</f>
        <v>68342416</v>
      </c>
      <c r="K9" s="144">
        <f>'Assumption Sheet'!K341</f>
        <v>64823699.200000003</v>
      </c>
      <c r="L9" s="144">
        <f>'Assumption Sheet'!L341</f>
        <v>61879439.039999999</v>
      </c>
    </row>
    <row r="10" spans="1:12" x14ac:dyDescent="0.3">
      <c r="A10" s="4" t="s">
        <v>469</v>
      </c>
      <c r="B10" s="7" t="s">
        <v>467</v>
      </c>
      <c r="C10" s="145">
        <v>578000</v>
      </c>
      <c r="D10" s="26">
        <f>-('Assumption Sheet'!D228-'Assumption Sheet'!C228)</f>
        <v>-5380000</v>
      </c>
      <c r="E10" s="26">
        <f>-('Assumption Sheet'!E228-'Assumption Sheet'!D228)</f>
        <v>-57959000</v>
      </c>
      <c r="F10" s="145">
        <f>-('Assumption Sheet'!F228-'Assumption Sheet'!E228)</f>
        <v>52003000</v>
      </c>
      <c r="G10" s="145">
        <f>-('Assumption Sheet'!G228-'Assumption Sheet'!F228)</f>
        <v>-44717000</v>
      </c>
      <c r="H10" s="145">
        <f>'Assumption Sheet'!H228-'Assumption Sheet'!G228</f>
        <v>-28831400</v>
      </c>
      <c r="I10" s="145">
        <f>'Assumption Sheet'!I228-'Assumption Sheet'!H228</f>
        <v>5444320</v>
      </c>
      <c r="J10" s="145">
        <f>'Assumption Sheet'!J228-'Assumption Sheet'!I228</f>
        <v>5457184</v>
      </c>
      <c r="K10" s="145">
        <f>'Assumption Sheet'!K228-'Assumption Sheet'!J228</f>
        <v>-5043179.200000003</v>
      </c>
      <c r="L10" s="145">
        <f>'Assumption Sheet'!L228-'Assumption Sheet'!K228</f>
        <v>4348784.9600000083</v>
      </c>
    </row>
    <row r="11" spans="1:12" x14ac:dyDescent="0.3">
      <c r="A11" s="4"/>
      <c r="C11" s="144">
        <f t="shared" ref="C11:L11" si="0">SUM(C6:C10)</f>
        <v>-2414115000</v>
      </c>
      <c r="D11" s="144">
        <f t="shared" si="0"/>
        <v>-2091176000</v>
      </c>
      <c r="E11" s="144">
        <f t="shared" si="0"/>
        <v>-1463921000</v>
      </c>
      <c r="F11" s="144">
        <f t="shared" si="0"/>
        <v>-1810881000</v>
      </c>
      <c r="G11" s="144">
        <f t="shared" si="0"/>
        <v>-2495353000</v>
      </c>
      <c r="H11" s="144">
        <f t="shared" si="0"/>
        <v>-2085183693.7293878</v>
      </c>
      <c r="I11" s="144">
        <f t="shared" si="0"/>
        <v>-1135700507.6395912</v>
      </c>
      <c r="J11" s="144">
        <f t="shared" si="0"/>
        <v>-1366713014.8191319</v>
      </c>
      <c r="K11" s="144">
        <f t="shared" si="0"/>
        <v>-1781459958.9364789</v>
      </c>
      <c r="L11" s="144">
        <f t="shared" si="0"/>
        <v>-2095771643.7778149</v>
      </c>
    </row>
    <row r="12" spans="1:12" x14ac:dyDescent="0.3">
      <c r="A12" s="4" t="s">
        <v>470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</row>
    <row r="13" spans="1:12" x14ac:dyDescent="0.3">
      <c r="A13" s="4" t="s">
        <v>471</v>
      </c>
      <c r="B13" s="7" t="s">
        <v>472</v>
      </c>
      <c r="C13" s="144">
        <f>'INCOME STATEMENT'!C17</f>
        <v>4389925000</v>
      </c>
      <c r="D13" s="144">
        <f>'INCOME STATEMENT'!D17</f>
        <v>5725038000</v>
      </c>
      <c r="E13" s="144">
        <f>'INCOME STATEMENT'!E17</f>
        <v>5020342000</v>
      </c>
      <c r="F13" s="144">
        <f>'INCOME STATEMENT'!F17</f>
        <v>4957127000</v>
      </c>
      <c r="G13" s="144">
        <f>'INCOME STATEMENT'!G17</f>
        <v>6897048000</v>
      </c>
      <c r="H13" s="144">
        <f>'INCOME STATEMENT'!H17</f>
        <v>-5642327155.9726257</v>
      </c>
      <c r="I13" s="144">
        <f>'INCOME STATEMENT'!I17</f>
        <v>-340812382.23951244</v>
      </c>
      <c r="J13" s="144">
        <f>'INCOME STATEMENT'!J17</f>
        <v>-2228702003.9658518</v>
      </c>
      <c r="K13" s="144">
        <f>'INCOME STATEMENT'!K17</f>
        <v>-4377640880.4101429</v>
      </c>
      <c r="L13" s="144">
        <f>'INCOME STATEMENT'!L17</f>
        <v>-7206958533.2401991</v>
      </c>
    </row>
    <row r="14" spans="1:12" x14ac:dyDescent="0.3">
      <c r="A14" s="7" t="s">
        <v>361</v>
      </c>
      <c r="B14" s="7" t="s">
        <v>420</v>
      </c>
      <c r="C14" s="144">
        <f>'Depreciation Schedule'!C260</f>
        <v>2125348000</v>
      </c>
      <c r="D14" s="144">
        <f>'Depreciation Schedule'!D260</f>
        <v>2166357000</v>
      </c>
      <c r="E14" s="144">
        <f>'Depreciation Schedule'!E260</f>
        <v>2297686000</v>
      </c>
      <c r="F14" s="144">
        <f>'Depreciation Schedule'!F260</f>
        <v>2444824000</v>
      </c>
      <c r="G14" s="144">
        <f>'Depreciation Schedule'!G260</f>
        <v>2646227000</v>
      </c>
      <c r="H14" s="144">
        <f>'Depreciation Schedule'!H260</f>
        <v>0</v>
      </c>
      <c r="I14" s="144">
        <f>'Depreciation Schedule'!I260</f>
        <v>0</v>
      </c>
      <c r="J14" s="144">
        <f>'Depreciation Schedule'!J260</f>
        <v>0</v>
      </c>
      <c r="K14" s="144">
        <f>'Depreciation Schedule'!K260</f>
        <v>0</v>
      </c>
      <c r="L14" s="144">
        <f>'Depreciation Schedule'!L260</f>
        <v>0</v>
      </c>
    </row>
    <row r="15" spans="1:12" x14ac:dyDescent="0.3">
      <c r="A15" s="7" t="s">
        <v>95</v>
      </c>
      <c r="B15" s="7" t="s">
        <v>473</v>
      </c>
      <c r="C15" s="144">
        <f>-'Assumption Sheet'!C111</f>
        <v>-24144000</v>
      </c>
      <c r="D15" s="144">
        <f>-'Assumption Sheet'!D111</f>
        <v>0</v>
      </c>
      <c r="E15" s="144">
        <f>-'Assumption Sheet'!E111</f>
        <v>0</v>
      </c>
      <c r="F15" s="144">
        <f>-'Assumption Sheet'!F111</f>
        <v>0</v>
      </c>
      <c r="G15" s="144">
        <f>-'Assumption Sheet'!G111</f>
        <v>0</v>
      </c>
      <c r="H15" s="144">
        <f>-'Assumption Sheet'!H111</f>
        <v>0</v>
      </c>
      <c r="I15" s="144">
        <f>-'Assumption Sheet'!I111</f>
        <v>0</v>
      </c>
      <c r="J15" s="144">
        <f>-'Assumption Sheet'!J111</f>
        <v>0</v>
      </c>
      <c r="K15" s="144">
        <f>-'Assumption Sheet'!K111</f>
        <v>0</v>
      </c>
      <c r="L15" s="144">
        <f>-'Assumption Sheet'!L111</f>
        <v>0</v>
      </c>
    </row>
    <row r="16" spans="1:12" x14ac:dyDescent="0.3">
      <c r="A16" s="7" t="s">
        <v>474</v>
      </c>
      <c r="B16" s="7" t="s">
        <v>67</v>
      </c>
      <c r="C16" s="144">
        <f>'Depreciation Schedule'!C262</f>
        <v>0</v>
      </c>
      <c r="D16" s="144">
        <f>'Depreciation Schedule'!D262</f>
        <v>0</v>
      </c>
      <c r="E16" s="144">
        <f>'Depreciation Schedule'!E262</f>
        <v>0</v>
      </c>
      <c r="F16" s="144">
        <f>'Depreciation Schedule'!F262</f>
        <v>0</v>
      </c>
      <c r="G16" s="144">
        <f>'Depreciation Schedule'!G262</f>
        <v>14513000</v>
      </c>
      <c r="H16" s="144">
        <f>'Depreciation Schedule'!H262</f>
        <v>0</v>
      </c>
      <c r="I16" s="144">
        <f>'Depreciation Schedule'!I262</f>
        <v>0</v>
      </c>
      <c r="J16" s="144">
        <f>'Depreciation Schedule'!J262</f>
        <v>0</v>
      </c>
      <c r="K16" s="144">
        <f>'Depreciation Schedule'!K262</f>
        <v>0</v>
      </c>
      <c r="L16" s="144">
        <f>'Depreciation Schedule'!L262</f>
        <v>0</v>
      </c>
    </row>
    <row r="17" spans="1:12" x14ac:dyDescent="0.3">
      <c r="A17" s="7" t="s">
        <v>85</v>
      </c>
      <c r="B17" s="7" t="s">
        <v>420</v>
      </c>
      <c r="C17" s="144">
        <f>'Assumption Sheet'!C100</f>
        <v>127600000</v>
      </c>
      <c r="D17" s="144">
        <f>'Assumption Sheet'!D100</f>
        <v>4004000</v>
      </c>
      <c r="E17" s="144">
        <f>'Assumption Sheet'!E100</f>
        <v>5504000</v>
      </c>
      <c r="F17" s="144">
        <f>'Assumption Sheet'!F100</f>
        <v>0</v>
      </c>
      <c r="G17" s="144">
        <f>'Assumption Sheet'!G100</f>
        <v>0</v>
      </c>
      <c r="H17" s="144">
        <f>'Assumption Sheet'!H100</f>
        <v>27421600</v>
      </c>
      <c r="I17" s="144">
        <f>'Assumption Sheet'!I100</f>
        <v>7385920</v>
      </c>
      <c r="J17" s="144">
        <f>'Assumption Sheet'!J100</f>
        <v>8062304</v>
      </c>
      <c r="K17" s="144">
        <f>'Assumption Sheet'!K100</f>
        <v>8573964.8000000007</v>
      </c>
      <c r="L17" s="144">
        <f>'Assumption Sheet'!L100</f>
        <v>10288757.76</v>
      </c>
    </row>
    <row r="18" spans="1:12" x14ac:dyDescent="0.3">
      <c r="A18" s="7" t="s">
        <v>475</v>
      </c>
      <c r="C18" s="144">
        <f>-'[1]Assumption Sheet'!C121</f>
        <v>0</v>
      </c>
      <c r="D18" s="144">
        <f>-'[1]Assumption Sheet'!D121</f>
        <v>0</v>
      </c>
      <c r="E18" s="144">
        <f>-'[1]Assumption Sheet'!E121</f>
        <v>-346655000</v>
      </c>
      <c r="F18" s="144">
        <f>-'[1]Assumption Sheet'!F121</f>
        <v>0</v>
      </c>
      <c r="G18" s="144">
        <f>-'[1]Assumption Sheet'!G121</f>
        <v>0</v>
      </c>
      <c r="H18" s="144">
        <f>-'[1]Assumption Sheet'!H121</f>
        <v>0</v>
      </c>
      <c r="I18" s="144">
        <f>-'[1]Assumption Sheet'!I121</f>
        <v>0</v>
      </c>
      <c r="J18" s="144">
        <f>-'[1]Assumption Sheet'!J121</f>
        <v>0</v>
      </c>
      <c r="K18" s="144">
        <f>-'[1]Assumption Sheet'!K121</f>
        <v>0</v>
      </c>
      <c r="L18" s="144">
        <f>-'[1]Assumption Sheet'!L121</f>
        <v>0</v>
      </c>
    </row>
    <row r="19" spans="1:12" x14ac:dyDescent="0.3">
      <c r="A19" s="7" t="s">
        <v>476</v>
      </c>
      <c r="B19" s="7" t="s">
        <v>420</v>
      </c>
      <c r="C19" s="144">
        <f>-'Assumption Sheet'!C120</f>
        <v>-1096000</v>
      </c>
      <c r="D19" s="144">
        <f>-'Assumption Sheet'!D120</f>
        <v>-859000</v>
      </c>
      <c r="E19" s="144">
        <f>-'Assumption Sheet'!E120</f>
        <v>-619000</v>
      </c>
      <c r="F19" s="144">
        <f>-'Assumption Sheet'!F120</f>
        <v>-147000</v>
      </c>
      <c r="G19" s="144">
        <f>-'Assumption Sheet'!G120</f>
        <v>-66000</v>
      </c>
      <c r="H19" s="144">
        <f>-'Assumption Sheet'!H120</f>
        <v>-557400</v>
      </c>
      <c r="I19" s="144">
        <f>-'Assumption Sheet'!I120</f>
        <v>-449680</v>
      </c>
      <c r="J19" s="144">
        <f>-'Assumption Sheet'!J120</f>
        <v>-367816</v>
      </c>
      <c r="K19" s="144">
        <f>-'Assumption Sheet'!K120</f>
        <v>-317579.2</v>
      </c>
      <c r="L19" s="144">
        <f>-'Assumption Sheet'!L120</f>
        <v>-351695.04</v>
      </c>
    </row>
    <row r="20" spans="1:12" x14ac:dyDescent="0.3">
      <c r="A20" s="7" t="s">
        <v>477</v>
      </c>
      <c r="C20" s="144">
        <f>'[1]Assumption Sheet'!C103</f>
        <v>0</v>
      </c>
      <c r="D20" s="144">
        <f>'[1]Assumption Sheet'!D103</f>
        <v>0</v>
      </c>
      <c r="E20" s="144">
        <f>'[1]Assumption Sheet'!E103</f>
        <v>0</v>
      </c>
      <c r="F20" s="144">
        <f>'[1]Assumption Sheet'!F103</f>
        <v>0</v>
      </c>
      <c r="G20" s="144">
        <f>'[1]Assumption Sheet'!G103</f>
        <v>9950000</v>
      </c>
      <c r="H20" s="144">
        <f>'[1]Assumption Sheet'!H103</f>
        <v>0</v>
      </c>
      <c r="I20" s="144">
        <f>'[1]Assumption Sheet'!I103</f>
        <v>0</v>
      </c>
      <c r="J20" s="144">
        <f>'[1]Assumption Sheet'!J103</f>
        <v>0</v>
      </c>
      <c r="K20" s="144">
        <f>'[1]Assumption Sheet'!K103</f>
        <v>0</v>
      </c>
      <c r="L20" s="144">
        <f>'[1]Assumption Sheet'!L103</f>
        <v>0</v>
      </c>
    </row>
    <row r="21" spans="1:12" x14ac:dyDescent="0.3">
      <c r="A21" s="7" t="s">
        <v>478</v>
      </c>
      <c r="B21" s="7" t="s">
        <v>420</v>
      </c>
      <c r="C21" s="144">
        <f>'[1]Assumption Sheet'!C319</f>
        <v>0</v>
      </c>
      <c r="D21" s="144">
        <f>'[1]Assumption Sheet'!D319</f>
        <v>0</v>
      </c>
      <c r="E21" s="144">
        <f>'[1]Assumption Sheet'!E319</f>
        <v>0</v>
      </c>
      <c r="F21" s="144">
        <f>'[1]Assumption Sheet'!F319</f>
        <v>0</v>
      </c>
      <c r="G21" s="144">
        <f>'[1]Assumption Sheet'!G319</f>
        <v>0</v>
      </c>
      <c r="H21" s="144">
        <f>'[1]Assumption Sheet'!H319</f>
        <v>0</v>
      </c>
      <c r="I21" s="144">
        <f>'[1]Assumption Sheet'!I319</f>
        <v>0</v>
      </c>
      <c r="J21" s="144">
        <f>'[1]Assumption Sheet'!J319</f>
        <v>0</v>
      </c>
      <c r="K21" s="144">
        <f>'[1]Assumption Sheet'!K319</f>
        <v>0</v>
      </c>
      <c r="L21" s="144">
        <f>'[1]Assumption Sheet'!L319</f>
        <v>0</v>
      </c>
    </row>
    <row r="22" spans="1:12" x14ac:dyDescent="0.3">
      <c r="A22" s="7" t="s">
        <v>98</v>
      </c>
      <c r="B22" s="7" t="s">
        <v>420</v>
      </c>
      <c r="C22" s="144">
        <f>-'Assumption Sheet'!C114</f>
        <v>-215382000</v>
      </c>
      <c r="D22" s="144">
        <f>-'Assumption Sheet'!D114</f>
        <v>-118324000</v>
      </c>
      <c r="E22" s="144">
        <f>-'Assumption Sheet'!E114</f>
        <v>-134790000</v>
      </c>
      <c r="F22" s="144">
        <f>-'Assumption Sheet'!F114</f>
        <v>-177205000</v>
      </c>
      <c r="G22" s="144">
        <f>-'Assumption Sheet'!G114</f>
        <v>-362482000</v>
      </c>
      <c r="H22" s="144">
        <f>-'Assumption Sheet'!H114</f>
        <v>-201636600</v>
      </c>
      <c r="I22" s="144">
        <f>-'Assumption Sheet'!I114</f>
        <v>-198887520</v>
      </c>
      <c r="J22" s="144">
        <f>-'Assumption Sheet'!J114</f>
        <v>-215000224</v>
      </c>
      <c r="K22" s="144">
        <f>-'Assumption Sheet'!K114</f>
        <v>-231042268.80000001</v>
      </c>
      <c r="L22" s="144">
        <f>-'Assumption Sheet'!L114</f>
        <v>-241809722.56</v>
      </c>
    </row>
    <row r="23" spans="1:12" x14ac:dyDescent="0.3">
      <c r="A23" s="7" t="s">
        <v>96</v>
      </c>
      <c r="B23" s="7" t="s">
        <v>420</v>
      </c>
      <c r="C23" s="144">
        <f>-'Assumption Sheet'!C112</f>
        <v>-188833000</v>
      </c>
      <c r="D23" s="144">
        <f>-'Assumption Sheet'!D112</f>
        <v>0</v>
      </c>
      <c r="E23" s="144">
        <f>-'Assumption Sheet'!E112</f>
        <v>-143040000</v>
      </c>
      <c r="F23" s="144">
        <f>-'Assumption Sheet'!F112</f>
        <v>-256593000</v>
      </c>
      <c r="G23" s="144">
        <f>-'Assumption Sheet'!G112</f>
        <v>-1437722000</v>
      </c>
      <c r="H23" s="144">
        <f>-'Assumption Sheet'!H112</f>
        <v>-405237600</v>
      </c>
      <c r="I23" s="144">
        <f>-'Assumption Sheet'!I112</f>
        <v>-448518520</v>
      </c>
      <c r="J23" s="144">
        <f>-'Assumption Sheet'!J112</f>
        <v>-538222224</v>
      </c>
      <c r="K23" s="144">
        <f>-'Assumption Sheet'!K112</f>
        <v>-617258668.79999995</v>
      </c>
      <c r="L23" s="144">
        <f>-'Assumption Sheet'!L112</f>
        <v>-689391802.56000006</v>
      </c>
    </row>
    <row r="24" spans="1:12" x14ac:dyDescent="0.3">
      <c r="A24" s="7" t="s">
        <v>479</v>
      </c>
      <c r="B24" s="7" t="s">
        <v>420</v>
      </c>
      <c r="C24" s="144">
        <f>-'Assumption Sheet'!C117</f>
        <v>-20069000</v>
      </c>
      <c r="D24" s="144">
        <f>-'Assumption Sheet'!D117</f>
        <v>-26808000</v>
      </c>
      <c r="E24" s="144">
        <f>-'Assumption Sheet'!E117</f>
        <v>0</v>
      </c>
      <c r="F24" s="144">
        <f>-'Assumption Sheet'!F117</f>
        <v>-10222000</v>
      </c>
      <c r="G24" s="144">
        <f>-'Assumption Sheet'!G117</f>
        <v>-35434000</v>
      </c>
      <c r="H24" s="144">
        <f>-'Assumption Sheet'!H117</f>
        <v>0</v>
      </c>
      <c r="I24" s="144">
        <f>-'Assumption Sheet'!I117</f>
        <v>0</v>
      </c>
      <c r="J24" s="144">
        <f>-'Assumption Sheet'!J117</f>
        <v>0</v>
      </c>
      <c r="K24" s="144">
        <f>-'Assumption Sheet'!K117</f>
        <v>0</v>
      </c>
      <c r="L24" s="144">
        <f>-'Assumption Sheet'!L117</f>
        <v>0</v>
      </c>
    </row>
    <row r="25" spans="1:12" x14ac:dyDescent="0.3">
      <c r="A25" s="7" t="s">
        <v>480</v>
      </c>
      <c r="B25" s="7" t="s">
        <v>420</v>
      </c>
      <c r="C25" s="144">
        <f>-'Assumption Sheet'!C109</f>
        <v>-2947006000</v>
      </c>
      <c r="D25" s="144">
        <f>-'Assumption Sheet'!D109</f>
        <v>-3700227000</v>
      </c>
      <c r="E25" s="144">
        <f>-'Assumption Sheet'!E109</f>
        <v>-3403733000</v>
      </c>
      <c r="F25" s="144">
        <f>-'Assumption Sheet'!F109</f>
        <v>-3391397000</v>
      </c>
      <c r="G25" s="144">
        <f>-'Assumption Sheet'!G109</f>
        <v>-3029845000</v>
      </c>
      <c r="H25" s="144">
        <f>-'Assumption Sheet'!H109</f>
        <v>-3294441600</v>
      </c>
      <c r="I25" s="144">
        <f>-'Assumption Sheet'!I109</f>
        <v>-3363928720</v>
      </c>
      <c r="J25" s="144">
        <f>-'Assumption Sheet'!J109</f>
        <v>-3296669064</v>
      </c>
      <c r="K25" s="144">
        <f>-'Assumption Sheet'!K109</f>
        <v>-3275256276.8000002</v>
      </c>
      <c r="L25" s="144">
        <f>-'Assumption Sheet'!L109</f>
        <v>-3252028132.1599998</v>
      </c>
    </row>
    <row r="26" spans="1:12" x14ac:dyDescent="0.3">
      <c r="A26" s="7" t="s">
        <v>481</v>
      </c>
      <c r="B26" s="7" t="s">
        <v>420</v>
      </c>
      <c r="C26" s="144">
        <f>'Assumption Sheet'!C113</f>
        <v>0</v>
      </c>
      <c r="D26" s="144">
        <f>'Assumption Sheet'!D113</f>
        <v>0</v>
      </c>
      <c r="E26" s="144">
        <f>'Assumption Sheet'!E113</f>
        <v>0</v>
      </c>
      <c r="F26" s="144">
        <f>'Assumption Sheet'!F113</f>
        <v>0</v>
      </c>
      <c r="G26" s="144">
        <f>'Assumption Sheet'!G113</f>
        <v>4106000</v>
      </c>
      <c r="H26" s="144">
        <f>'Assumption Sheet'!H113</f>
        <v>0</v>
      </c>
      <c r="I26" s="144">
        <f>'Assumption Sheet'!I113</f>
        <v>0</v>
      </c>
      <c r="J26" s="144">
        <f>'Assumption Sheet'!J113</f>
        <v>0</v>
      </c>
      <c r="K26" s="144">
        <f>'Assumption Sheet'!K113</f>
        <v>0</v>
      </c>
      <c r="L26" s="144">
        <f>'Assumption Sheet'!L113</f>
        <v>0</v>
      </c>
    </row>
    <row r="27" spans="1:12" x14ac:dyDescent="0.3">
      <c r="A27" s="7" t="s">
        <v>482</v>
      </c>
      <c r="B27" s="7" t="s">
        <v>420</v>
      </c>
      <c r="C27" s="144">
        <f>'Assumption Sheet'!C134</f>
        <v>1744773000</v>
      </c>
      <c r="D27" s="144">
        <f>'Assumption Sheet'!D134</f>
        <v>1046221000</v>
      </c>
      <c r="E27" s="144">
        <f>'Assumption Sheet'!E134</f>
        <v>915072000</v>
      </c>
      <c r="F27" s="144">
        <f>'Assumption Sheet'!F134</f>
        <v>993824000</v>
      </c>
      <c r="G27" s="144">
        <f>'Assumption Sheet'!G134</f>
        <v>1668166000</v>
      </c>
      <c r="H27" s="144">
        <f>'Assumption Sheet'!H134</f>
        <v>843826800</v>
      </c>
      <c r="I27" s="144">
        <f>'Assumption Sheet'!I134</f>
        <v>812602760</v>
      </c>
      <c r="J27" s="144">
        <f>'Assumption Sheet'!J134</f>
        <v>858418312</v>
      </c>
      <c r="K27" s="144">
        <f>'Assumption Sheet'!K134</f>
        <v>916451774.39999998</v>
      </c>
      <c r="L27" s="144">
        <f>'Assumption Sheet'!L134</f>
        <v>959724729.27999997</v>
      </c>
    </row>
    <row r="28" spans="1:12" x14ac:dyDescent="0.3">
      <c r="A28" s="7" t="s">
        <v>483</v>
      </c>
      <c r="B28" s="7" t="s">
        <v>420</v>
      </c>
      <c r="C28" s="144">
        <f>'Assumption Sheet'!C306</f>
        <v>2721150000</v>
      </c>
      <c r="D28" s="144">
        <f>'Assumption Sheet'!D306</f>
        <v>1695503000</v>
      </c>
      <c r="E28" s="144">
        <f>'Assumption Sheet'!E306</f>
        <v>-4129076000</v>
      </c>
      <c r="F28" s="144">
        <f>'Assumption Sheet'!F306</f>
        <v>-595522000</v>
      </c>
      <c r="G28" s="144">
        <f>'Assumption Sheet'!G306</f>
        <v>-2965794000</v>
      </c>
      <c r="H28" s="144">
        <f>'Assumption Sheet'!H306</f>
        <v>6567218000</v>
      </c>
      <c r="I28" s="144">
        <f>'Assumption Sheet'!I306</f>
        <v>-535219000</v>
      </c>
      <c r="J28" s="144">
        <f>'Assumption Sheet'!J306</f>
        <v>-898149600</v>
      </c>
      <c r="K28" s="144">
        <f>'Assumption Sheet'!K306</f>
        <v>-209846919.99999917</v>
      </c>
      <c r="L28" s="144">
        <f>'Assumption Sheet'!L306</f>
        <v>-395632504.0000006</v>
      </c>
    </row>
    <row r="29" spans="1:12" x14ac:dyDescent="0.3">
      <c r="C29" s="155">
        <f t="shared" ref="C29:L29" si="1">SUM(C12:C28)</f>
        <v>7712266000</v>
      </c>
      <c r="D29" s="21">
        <f t="shared" si="1"/>
        <v>6790905000</v>
      </c>
      <c r="E29" s="21">
        <f t="shared" si="1"/>
        <v>80691000</v>
      </c>
      <c r="F29" s="21">
        <f t="shared" si="1"/>
        <v>3964689000</v>
      </c>
      <c r="G29" s="21">
        <f t="shared" si="1"/>
        <v>3408667000</v>
      </c>
      <c r="H29" s="155">
        <f t="shared" si="1"/>
        <v>-2105733955.9726257</v>
      </c>
      <c r="I29" s="155">
        <f t="shared" si="1"/>
        <v>-4067827142.2395124</v>
      </c>
      <c r="J29" s="155">
        <f t="shared" si="1"/>
        <v>-6310630315.9658518</v>
      </c>
      <c r="K29" s="155">
        <f t="shared" si="1"/>
        <v>-7786336854.8101425</v>
      </c>
      <c r="L29" s="155">
        <f t="shared" si="1"/>
        <v>-10816158902.520199</v>
      </c>
    </row>
    <row r="30" spans="1:12" x14ac:dyDescent="0.3">
      <c r="C30" s="144"/>
      <c r="D30" s="144"/>
      <c r="E30" s="144"/>
      <c r="F30" s="144"/>
      <c r="G30" s="144"/>
      <c r="H30" s="144"/>
      <c r="I30" s="144"/>
      <c r="J30" s="144"/>
      <c r="K30" s="144"/>
      <c r="L30" s="144"/>
    </row>
    <row r="31" spans="1:12" x14ac:dyDescent="0.3">
      <c r="A31" s="151" t="s">
        <v>484</v>
      </c>
      <c r="B31" s="151"/>
      <c r="C31" s="152">
        <f t="shared" ref="C31:L31" si="2">SUM(C29,C6:C10)</f>
        <v>5298151000</v>
      </c>
      <c r="D31" s="152">
        <f t="shared" si="2"/>
        <v>4699729000</v>
      </c>
      <c r="E31" s="152">
        <f t="shared" si="2"/>
        <v>-1383230000</v>
      </c>
      <c r="F31" s="152">
        <f t="shared" si="2"/>
        <v>2153808000</v>
      </c>
      <c r="G31" s="152">
        <f t="shared" si="2"/>
        <v>913314000</v>
      </c>
      <c r="H31" s="152">
        <f t="shared" si="2"/>
        <v>-4190917649.7020135</v>
      </c>
      <c r="I31" s="152">
        <f t="shared" si="2"/>
        <v>-5203527649.8791037</v>
      </c>
      <c r="J31" s="152">
        <f t="shared" si="2"/>
        <v>-7677343330.7849836</v>
      </c>
      <c r="K31" s="152">
        <f t="shared" si="2"/>
        <v>-9567796813.7466202</v>
      </c>
      <c r="L31" s="152">
        <f t="shared" si="2"/>
        <v>-12911930546.298014</v>
      </c>
    </row>
    <row r="32" spans="1:12" x14ac:dyDescent="0.3">
      <c r="C32" s="144"/>
      <c r="D32" s="144"/>
      <c r="E32" s="144"/>
      <c r="F32" s="144"/>
      <c r="G32" s="144"/>
      <c r="H32" s="144"/>
      <c r="I32" s="144"/>
      <c r="J32" s="144"/>
      <c r="K32" s="144"/>
      <c r="L32" s="144"/>
    </row>
    <row r="33" spans="1:12" x14ac:dyDescent="0.3">
      <c r="A33" s="143" t="s">
        <v>485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4"/>
    </row>
    <row r="34" spans="1:12" x14ac:dyDescent="0.3">
      <c r="C34" s="144"/>
      <c r="D34" s="144"/>
      <c r="E34" s="144"/>
      <c r="F34" s="144"/>
      <c r="G34" s="144"/>
      <c r="H34" s="144"/>
      <c r="I34" s="144"/>
      <c r="J34" s="144"/>
      <c r="K34" s="144"/>
      <c r="L34" s="144"/>
    </row>
    <row r="35" spans="1:12" x14ac:dyDescent="0.3">
      <c r="A35" s="7" t="s">
        <v>486</v>
      </c>
      <c r="B35" s="7" t="s">
        <v>101</v>
      </c>
      <c r="C35" s="144">
        <f>-'Depreciation Schedule'!C263</f>
        <v>-3915523000</v>
      </c>
      <c r="D35" s="144">
        <f>-'Depreciation Schedule'!D263</f>
        <v>-2595237000</v>
      </c>
      <c r="E35" s="144">
        <f>-'Depreciation Schedule'!E263</f>
        <v>-5497691000</v>
      </c>
      <c r="F35" s="144">
        <f>-'Depreciation Schedule'!F263</f>
        <v>-2942778000</v>
      </c>
      <c r="G35" s="144">
        <f>-'Depreciation Schedule'!G263</f>
        <v>-3557636000</v>
      </c>
      <c r="H35" s="144">
        <f>-'Depreciation Schedule'!H263</f>
        <v>-3698365362.3649611</v>
      </c>
      <c r="I35" s="144">
        <f>-'Depreciation Schedule'!I263</f>
        <v>-3646763520.7388716</v>
      </c>
      <c r="J35" s="144">
        <f>-'Depreciation Schedule'!J263</f>
        <v>-3874713378.3368645</v>
      </c>
      <c r="K35" s="144">
        <f>-'Depreciation Schedule'!K263</f>
        <v>-3549787826.850512</v>
      </c>
      <c r="L35" s="144">
        <f>-'Depreciation Schedule'!L263</f>
        <v>-3669043198.7889795</v>
      </c>
    </row>
    <row r="36" spans="1:12" x14ac:dyDescent="0.3">
      <c r="A36" s="4" t="s">
        <v>487</v>
      </c>
      <c r="B36" s="7" t="s">
        <v>420</v>
      </c>
      <c r="C36" s="144">
        <f>'Assumption Sheet'!C321</f>
        <v>94408000</v>
      </c>
      <c r="D36" s="144">
        <f>'Assumption Sheet'!D321</f>
        <v>104339000</v>
      </c>
      <c r="E36" s="144">
        <f>'Assumption Sheet'!E321</f>
        <v>151007000</v>
      </c>
      <c r="F36" s="144">
        <f>'Assumption Sheet'!F321</f>
        <v>97865000</v>
      </c>
      <c r="G36" s="144">
        <f>'Assumption Sheet'!G321</f>
        <v>149082000</v>
      </c>
      <c r="H36" s="144">
        <f>'Assumption Sheet'!H321</f>
        <v>92503370.478039652</v>
      </c>
      <c r="I36" s="144">
        <f>'Assumption Sheet'!I321</f>
        <v>101183513.63253632</v>
      </c>
      <c r="J36" s="144">
        <f>'Assumption Sheet'!J321</f>
        <v>113550772.01106165</v>
      </c>
      <c r="K36" s="144">
        <f>'Assumption Sheet'!K321</f>
        <v>117778203.03870207</v>
      </c>
      <c r="L36" s="144">
        <f>'Assumption Sheet'!L321</f>
        <v>125923840.43914585</v>
      </c>
    </row>
    <row r="37" spans="1:12" x14ac:dyDescent="0.3">
      <c r="A37" s="7" t="s">
        <v>259</v>
      </c>
      <c r="B37" s="7" t="str">
        <f>B36</f>
        <v>From Assumption Sheet</v>
      </c>
      <c r="C37" s="144">
        <f>'Assumption Sheet'!C324</f>
        <v>221406000</v>
      </c>
      <c r="D37" s="144">
        <f>'Assumption Sheet'!D324</f>
        <v>0</v>
      </c>
      <c r="E37" s="144">
        <f>'Assumption Sheet'!E324</f>
        <v>0</v>
      </c>
      <c r="F37" s="144">
        <f>'Assumption Sheet'!F324</f>
        <v>0</v>
      </c>
      <c r="G37" s="144">
        <f>'Assumption Sheet'!G324</f>
        <v>0</v>
      </c>
      <c r="H37" s="144">
        <f>'Assumption Sheet'!H324</f>
        <v>0</v>
      </c>
      <c r="I37" s="144">
        <f>'Assumption Sheet'!I324</f>
        <v>0</v>
      </c>
      <c r="J37" s="144">
        <f>'Assumption Sheet'!J324</f>
        <v>0</v>
      </c>
      <c r="K37" s="144">
        <f>'Assumption Sheet'!K324</f>
        <v>0</v>
      </c>
      <c r="L37" s="144">
        <f>'Assumption Sheet'!L324</f>
        <v>0</v>
      </c>
    </row>
    <row r="38" spans="1:12" x14ac:dyDescent="0.3">
      <c r="A38" s="7" t="s">
        <v>269</v>
      </c>
      <c r="B38" s="7" t="str">
        <f>B37</f>
        <v>From Assumption Sheet</v>
      </c>
      <c r="C38" s="144">
        <f>-'Assumption Sheet'!C336</f>
        <v>-1400603000</v>
      </c>
      <c r="D38" s="144">
        <f>-'Assumption Sheet'!D336</f>
        <v>-632389000</v>
      </c>
      <c r="E38" s="144">
        <f>-'Assumption Sheet'!E336</f>
        <v>-460479000</v>
      </c>
      <c r="F38" s="144">
        <f>-'Assumption Sheet'!F336</f>
        <v>-394742000</v>
      </c>
      <c r="G38" s="144">
        <f>-'Assumption Sheet'!G336</f>
        <v>-604609000</v>
      </c>
      <c r="H38" s="144">
        <f>-'Assumption Sheet'!H336</f>
        <v>-698564400</v>
      </c>
      <c r="I38" s="144">
        <f>-'Assumption Sheet'!I336</f>
        <v>-558156680</v>
      </c>
      <c r="J38" s="144">
        <f>-'Assumption Sheet'!J336</f>
        <v>-543310216</v>
      </c>
      <c r="K38" s="144">
        <f>-'Assumption Sheet'!K336</f>
        <v>-559876459.20000005</v>
      </c>
      <c r="L38" s="144">
        <f>-'Assumption Sheet'!L336</f>
        <v>-592903351.03999996</v>
      </c>
    </row>
    <row r="39" spans="1:12" x14ac:dyDescent="0.3">
      <c r="A39" s="7" t="s">
        <v>270</v>
      </c>
      <c r="B39" s="7" t="str">
        <f>B38</f>
        <v>From Assumption Sheet</v>
      </c>
      <c r="C39" s="144">
        <f>-'Assumption Sheet'!C338</f>
        <v>-13143489000</v>
      </c>
      <c r="D39" s="144">
        <f>-'Assumption Sheet'!D338</f>
        <v>-15509708000</v>
      </c>
      <c r="E39" s="144">
        <f>-'Assumption Sheet'!E338</f>
        <v>-21792896000</v>
      </c>
      <c r="F39" s="144">
        <f>-'Assumption Sheet'!F338</f>
        <v>-29636193000</v>
      </c>
      <c r="G39" s="144">
        <f>-'Assumption Sheet'!G338</f>
        <v>-33979020000</v>
      </c>
      <c r="H39" s="144">
        <f>-'Assumption Sheet'!H338</f>
        <v>-22812261200</v>
      </c>
      <c r="I39" s="144">
        <f>-'Assumption Sheet'!I338</f>
        <v>-24746015640</v>
      </c>
      <c r="J39" s="144">
        <f>-'Assumption Sheet'!J338</f>
        <v>-26593277168</v>
      </c>
      <c r="K39" s="144">
        <f>-'Assumption Sheet'!K338</f>
        <v>-27553353401.599998</v>
      </c>
      <c r="L39" s="144">
        <f>-'Assumption Sheet'!L338</f>
        <v>-27136785481.920002</v>
      </c>
    </row>
    <row r="40" spans="1:12" x14ac:dyDescent="0.3">
      <c r="A40" s="7" t="s">
        <v>272</v>
      </c>
      <c r="B40" s="7" t="str">
        <f>B39</f>
        <v>From Assumption Sheet</v>
      </c>
      <c r="C40" s="144">
        <f>'Assumption Sheet'!C344</f>
        <v>11929192000</v>
      </c>
      <c r="D40" s="144">
        <f>'Assumption Sheet'!D344</f>
        <v>15556374000</v>
      </c>
      <c r="E40" s="144">
        <f>'Assumption Sheet'!E344</f>
        <v>20174125000</v>
      </c>
      <c r="F40" s="144">
        <f>'Assumption Sheet'!F344</f>
        <v>31156436000</v>
      </c>
      <c r="G40" s="144">
        <f>'Assumption Sheet'!G344</f>
        <v>30660227000</v>
      </c>
      <c r="H40" s="144">
        <f>'Assumption Sheet'!H344</f>
        <v>21895270800</v>
      </c>
      <c r="I40" s="144">
        <f>'Assumption Sheet'!I344</f>
        <v>23888486560</v>
      </c>
      <c r="J40" s="144">
        <f>'Assumption Sheet'!J344</f>
        <v>25554909072</v>
      </c>
      <c r="K40" s="144">
        <f>'Assumption Sheet'!K344</f>
        <v>26631065886.400002</v>
      </c>
      <c r="L40" s="144">
        <f>'Assumption Sheet'!L344</f>
        <v>25725991863.68</v>
      </c>
    </row>
    <row r="41" spans="1:12" x14ac:dyDescent="0.3">
      <c r="A41" s="7" t="s">
        <v>268</v>
      </c>
      <c r="B41" s="7" t="s">
        <v>420</v>
      </c>
      <c r="C41" s="144">
        <f>'Assumption Sheet'!C334</f>
        <v>225271000</v>
      </c>
      <c r="D41" s="144">
        <f>'Assumption Sheet'!D334</f>
        <v>112374000</v>
      </c>
      <c r="E41" s="144">
        <f>'Assumption Sheet'!E334</f>
        <v>131364000</v>
      </c>
      <c r="F41" s="144">
        <f>'Assumption Sheet'!F334</f>
        <v>179330000</v>
      </c>
      <c r="G41" s="144">
        <f>'Assumption Sheet'!G334</f>
        <v>344315000</v>
      </c>
      <c r="H41" s="144">
        <f>'Assumption Sheet'!H334</f>
        <v>198530800</v>
      </c>
      <c r="I41" s="144">
        <f>'Assumption Sheet'!I334</f>
        <v>193182760</v>
      </c>
      <c r="J41" s="144">
        <f>'Assumption Sheet'!J334</f>
        <v>209344512</v>
      </c>
      <c r="K41" s="144">
        <f>'Assumption Sheet'!K334</f>
        <v>224940614.40000001</v>
      </c>
      <c r="L41" s="144">
        <f>'Assumption Sheet'!L334</f>
        <v>234062737.28000003</v>
      </c>
    </row>
    <row r="42" spans="1:12" x14ac:dyDescent="0.3">
      <c r="A42" s="7" t="s">
        <v>488</v>
      </c>
      <c r="B42" s="7" t="s">
        <v>420</v>
      </c>
      <c r="C42" s="144">
        <f>'Assumption Sheet'!C109</f>
        <v>2947006000</v>
      </c>
      <c r="D42" s="144">
        <f>'Assumption Sheet'!D109</f>
        <v>3700227000</v>
      </c>
      <c r="E42" s="144">
        <f>'Assumption Sheet'!E109</f>
        <v>3403733000</v>
      </c>
      <c r="F42" s="144">
        <f>'Assumption Sheet'!F109</f>
        <v>3391397000</v>
      </c>
      <c r="G42" s="144">
        <f>'Assumption Sheet'!G109</f>
        <v>3029845000</v>
      </c>
      <c r="H42" s="144">
        <f>'Assumption Sheet'!H109</f>
        <v>3294441600</v>
      </c>
      <c r="I42" s="144">
        <f>'Assumption Sheet'!I109</f>
        <v>3363928720</v>
      </c>
      <c r="J42" s="144">
        <f>'Assumption Sheet'!J109</f>
        <v>3296669064</v>
      </c>
      <c r="K42" s="144">
        <f>'Assumption Sheet'!K109</f>
        <v>3275256276.8000002</v>
      </c>
      <c r="L42" s="144">
        <f>'Assumption Sheet'!L109</f>
        <v>3252028132.1599998</v>
      </c>
    </row>
    <row r="43" spans="1:12" x14ac:dyDescent="0.3">
      <c r="A43" s="147" t="s">
        <v>489</v>
      </c>
      <c r="B43" s="147"/>
      <c r="C43" s="148">
        <f t="shared" ref="C43:L43" si="3">SUM(C35:C42)</f>
        <v>-3042332000</v>
      </c>
      <c r="D43" s="148">
        <f t="shared" si="3"/>
        <v>735980000</v>
      </c>
      <c r="E43" s="148">
        <f t="shared" si="3"/>
        <v>-3890837000</v>
      </c>
      <c r="F43" s="148">
        <f t="shared" si="3"/>
        <v>1851315000</v>
      </c>
      <c r="G43" s="148">
        <f t="shared" si="3"/>
        <v>-3957796000</v>
      </c>
      <c r="H43" s="148">
        <f t="shared" si="3"/>
        <v>-1728444391.8869209</v>
      </c>
      <c r="I43" s="148">
        <f t="shared" si="3"/>
        <v>-1404154287.1063347</v>
      </c>
      <c r="J43" s="148">
        <f t="shared" si="3"/>
        <v>-1836827342.3258018</v>
      </c>
      <c r="K43" s="148">
        <f t="shared" si="3"/>
        <v>-1413976707.0118074</v>
      </c>
      <c r="L43" s="148">
        <f t="shared" si="3"/>
        <v>-2060725458.1898375</v>
      </c>
    </row>
    <row r="44" spans="1:12" x14ac:dyDescent="0.3">
      <c r="C44" s="144"/>
      <c r="D44" s="144"/>
      <c r="E44" s="144"/>
      <c r="F44" s="144"/>
      <c r="G44" s="144"/>
      <c r="H44" s="144"/>
      <c r="I44" s="144"/>
      <c r="J44" s="144"/>
      <c r="K44" s="144"/>
      <c r="L44" s="144"/>
    </row>
    <row r="45" spans="1:12" x14ac:dyDescent="0.3">
      <c r="A45" s="143" t="s">
        <v>490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</row>
    <row r="46" spans="1:12" x14ac:dyDescent="0.3">
      <c r="C46" s="144"/>
      <c r="D46" s="144"/>
      <c r="E46" s="144"/>
      <c r="F46" s="144"/>
      <c r="G46" s="144"/>
      <c r="H46" s="144"/>
      <c r="I46" s="144"/>
      <c r="J46" s="144"/>
      <c r="K46" s="144"/>
      <c r="L46" s="144"/>
    </row>
    <row r="47" spans="1:12" x14ac:dyDescent="0.3">
      <c r="A47" s="7" t="s">
        <v>273</v>
      </c>
      <c r="B47" s="7" t="s">
        <v>473</v>
      </c>
      <c r="C47" s="144">
        <f>'Assumption Sheet'!C346</f>
        <v>1769541000</v>
      </c>
      <c r="D47" s="144">
        <f>'Assumption Sheet'!D346</f>
        <v>1209108000</v>
      </c>
      <c r="E47" s="144">
        <f>'Assumption Sheet'!E346</f>
        <v>3213739000</v>
      </c>
      <c r="F47" s="144">
        <f>'Assumption Sheet'!F346</f>
        <v>2090111000</v>
      </c>
      <c r="G47" s="144">
        <f>'Assumption Sheet'!G346</f>
        <v>1870498000</v>
      </c>
      <c r="H47" s="144">
        <f>'Assumption Sheet'!H346</f>
        <v>0</v>
      </c>
      <c r="I47" s="144">
        <f>'Assumption Sheet'!I346</f>
        <v>0</v>
      </c>
      <c r="J47" s="144">
        <f>'Assumption Sheet'!J346</f>
        <v>0</v>
      </c>
      <c r="K47" s="144">
        <f>'Assumption Sheet'!K346</f>
        <v>0</v>
      </c>
      <c r="L47" s="144">
        <f>'Assumption Sheet'!L346</f>
        <v>0</v>
      </c>
    </row>
    <row r="48" spans="1:12" x14ac:dyDescent="0.3">
      <c r="A48" s="7" t="s">
        <v>274</v>
      </c>
      <c r="B48" s="7" t="s">
        <v>473</v>
      </c>
      <c r="C48" s="144">
        <f>-'Assumption Sheet'!C348</f>
        <v>-2364659000</v>
      </c>
      <c r="D48" s="144">
        <f>-'Assumption Sheet'!D348</f>
        <v>-1964354000</v>
      </c>
      <c r="E48" s="144">
        <f>-'Assumption Sheet'!E348</f>
        <v>-2485310000</v>
      </c>
      <c r="F48" s="144">
        <f>-'Assumption Sheet'!F348</f>
        <v>-2093025000</v>
      </c>
      <c r="G48" s="144">
        <f>-'Assumption Sheet'!G348</f>
        <v>-2161839000</v>
      </c>
      <c r="H48" s="144">
        <f>-'Assumption Sheet'!H348</f>
        <v>0</v>
      </c>
      <c r="I48" s="144">
        <f>-'Assumption Sheet'!I348</f>
        <v>0</v>
      </c>
      <c r="J48" s="144">
        <f>-'Assumption Sheet'!J348</f>
        <v>0</v>
      </c>
      <c r="K48" s="144">
        <f>-'Assumption Sheet'!K348</f>
        <v>0</v>
      </c>
      <c r="L48" s="144">
        <f>-'Assumption Sheet'!L348</f>
        <v>0</v>
      </c>
    </row>
    <row r="49" spans="1:12" x14ac:dyDescent="0.3">
      <c r="A49" s="7" t="s">
        <v>491</v>
      </c>
      <c r="B49" s="7" t="s">
        <v>473</v>
      </c>
      <c r="C49" s="144">
        <v>-66368000</v>
      </c>
      <c r="D49" s="144">
        <f>'[1]Assumption Sheet'!D129</f>
        <v>0</v>
      </c>
      <c r="E49" s="144">
        <f>'[1]Assumption Sheet'!E129</f>
        <v>0</v>
      </c>
      <c r="F49" s="144">
        <f>'[1]Assumption Sheet'!F129</f>
        <v>0</v>
      </c>
      <c r="G49" s="144">
        <f>'[1]Assumption Sheet'!G129</f>
        <v>0</v>
      </c>
      <c r="H49" s="144">
        <f>'[1]Assumption Sheet'!H129</f>
        <v>0</v>
      </c>
      <c r="I49" s="144">
        <f>'[1]Assumption Sheet'!I129</f>
        <v>0</v>
      </c>
      <c r="J49" s="144">
        <f>'[1]Assumption Sheet'!J129</f>
        <v>0</v>
      </c>
      <c r="K49" s="144">
        <f>'[1]Assumption Sheet'!K129</f>
        <v>0</v>
      </c>
      <c r="L49" s="144">
        <f>'[1]Assumption Sheet'!L129</f>
        <v>0</v>
      </c>
    </row>
    <row r="50" spans="1:12" x14ac:dyDescent="0.3">
      <c r="A50" s="7" t="s">
        <v>492</v>
      </c>
      <c r="B50" s="7" t="s">
        <v>473</v>
      </c>
      <c r="C50" s="144">
        <v>-2943981000</v>
      </c>
      <c r="D50" s="144">
        <f>'[1]Assumption Sheet'!D193-'[1]Assumption Sheet'!C193</f>
        <v>-1048486000</v>
      </c>
      <c r="E50" s="144">
        <f>'[1]Assumption Sheet'!E193-'[1]Assumption Sheet'!D193</f>
        <v>4221736000</v>
      </c>
      <c r="F50" s="144">
        <f>'[1]Assumption Sheet'!F193-'[1]Assumption Sheet'!E193</f>
        <v>-2189803000</v>
      </c>
      <c r="G50" s="144">
        <f>'[1]Assumption Sheet'!G193-'[1]Assumption Sheet'!F193</f>
        <v>5474672000</v>
      </c>
      <c r="H50" s="144">
        <f>'[1]Assumption Sheet'!H193-'[1]Assumption Sheet'!G193</f>
        <v>-4544853000</v>
      </c>
      <c r="I50" s="144">
        <f>'[1]Assumption Sheet'!I193-'[1]Assumption Sheet'!H193</f>
        <v>382653200</v>
      </c>
      <c r="J50" s="144">
        <f>'[1]Assumption Sheet'!J193-'[1]Assumption Sheet'!I193</f>
        <v>668881040</v>
      </c>
      <c r="K50" s="144">
        <f>'[1]Assumption Sheet'!K193-'[1]Assumption Sheet'!J193</f>
        <v>-41689952</v>
      </c>
      <c r="L50" s="144">
        <f>'[1]Assumption Sheet'!L193-'[1]Assumption Sheet'!K193</f>
        <v>387932657.60000229</v>
      </c>
    </row>
    <row r="51" spans="1:12" x14ac:dyDescent="0.3">
      <c r="A51" s="7" t="s">
        <v>493</v>
      </c>
      <c r="B51" s="7" t="s">
        <v>473</v>
      </c>
      <c r="C51" s="144">
        <f>-'Assumption Sheet'!C313</f>
        <v>-1400449000</v>
      </c>
      <c r="D51" s="144">
        <f>-'Assumption Sheet'!D313</f>
        <v>-1573781000</v>
      </c>
      <c r="E51" s="144">
        <f>-'Assumption Sheet'!E313</f>
        <v>-1749545000</v>
      </c>
      <c r="F51" s="144">
        <f>-'Assumption Sheet'!F313</f>
        <v>-1751524000</v>
      </c>
      <c r="G51" s="144">
        <f>-'Assumption Sheet'!G313</f>
        <v>-1658839000</v>
      </c>
      <c r="H51" s="144">
        <f>-'Assumption Sheet'!H313</f>
        <v>-1626827600</v>
      </c>
      <c r="I51" s="144">
        <f>-'Assumption Sheet'!I313</f>
        <v>-1672103320</v>
      </c>
      <c r="J51" s="144">
        <f>-'Assumption Sheet'!J313</f>
        <v>-1691767784</v>
      </c>
      <c r="K51" s="144">
        <f>-'Assumption Sheet'!K313</f>
        <v>-1680212340.8</v>
      </c>
      <c r="L51" s="144">
        <f>-'Assumption Sheet'!L313</f>
        <v>-1665950008.96</v>
      </c>
    </row>
    <row r="52" spans="1:12" x14ac:dyDescent="0.3">
      <c r="A52" s="151" t="s">
        <v>494</v>
      </c>
      <c r="B52" s="151"/>
      <c r="C52" s="152">
        <f t="shared" ref="C52:L52" si="4">SUM(C47:C51)</f>
        <v>-5005916000</v>
      </c>
      <c r="D52" s="152">
        <f t="shared" si="4"/>
        <v>-3377513000</v>
      </c>
      <c r="E52" s="152">
        <f t="shared" si="4"/>
        <v>3200620000</v>
      </c>
      <c r="F52" s="152">
        <f t="shared" si="4"/>
        <v>-3944241000</v>
      </c>
      <c r="G52" s="152">
        <f t="shared" si="4"/>
        <v>3524492000</v>
      </c>
      <c r="H52" s="152">
        <f t="shared" si="4"/>
        <v>-6171680600</v>
      </c>
      <c r="I52" s="152">
        <f t="shared" si="4"/>
        <v>-1289450120</v>
      </c>
      <c r="J52" s="152">
        <f t="shared" si="4"/>
        <v>-1022886744</v>
      </c>
      <c r="K52" s="152">
        <f t="shared" si="4"/>
        <v>-1721902292.8</v>
      </c>
      <c r="L52" s="152">
        <f t="shared" si="4"/>
        <v>-1278017351.3599977</v>
      </c>
    </row>
    <row r="53" spans="1:12" x14ac:dyDescent="0.3">
      <c r="C53" s="144"/>
      <c r="D53" s="144"/>
      <c r="E53" s="144"/>
      <c r="F53" s="144"/>
      <c r="G53" s="144"/>
      <c r="H53" s="144"/>
      <c r="I53" s="144"/>
      <c r="J53" s="144"/>
      <c r="K53" s="144"/>
      <c r="L53" s="144"/>
    </row>
    <row r="54" spans="1:12" x14ac:dyDescent="0.3">
      <c r="A54" s="7" t="s">
        <v>495</v>
      </c>
      <c r="C54" s="144">
        <f t="shared" ref="C54:L54" si="5">C31+C43+C52</f>
        <v>-2750097000</v>
      </c>
      <c r="D54" s="144">
        <f t="shared" si="5"/>
        <v>2058196000</v>
      </c>
      <c r="E54" s="144">
        <f t="shared" si="5"/>
        <v>-2073447000</v>
      </c>
      <c r="F54" s="144">
        <f t="shared" si="5"/>
        <v>60882000</v>
      </c>
      <c r="G54" s="144">
        <f t="shared" si="5"/>
        <v>480010000</v>
      </c>
      <c r="H54" s="144">
        <f t="shared" si="5"/>
        <v>-12091042641.588934</v>
      </c>
      <c r="I54" s="144">
        <f t="shared" si="5"/>
        <v>-7897132056.9854383</v>
      </c>
      <c r="J54" s="144">
        <f t="shared" si="5"/>
        <v>-10537057417.110786</v>
      </c>
      <c r="K54" s="144">
        <f t="shared" si="5"/>
        <v>-12703675813.558426</v>
      </c>
      <c r="L54" s="144">
        <f t="shared" si="5"/>
        <v>-16250673355.847847</v>
      </c>
    </row>
    <row r="55" spans="1:12" x14ac:dyDescent="0.3">
      <c r="A55" s="7" t="s">
        <v>496</v>
      </c>
      <c r="C55" s="144">
        <v>2802316000</v>
      </c>
      <c r="D55" s="144">
        <f t="shared" ref="D55:L55" si="6">C56</f>
        <v>52219000</v>
      </c>
      <c r="E55" s="144">
        <f t="shared" si="6"/>
        <v>2110415000</v>
      </c>
      <c r="F55" s="144">
        <f t="shared" si="6"/>
        <v>36968000</v>
      </c>
      <c r="G55" s="144">
        <f t="shared" si="6"/>
        <v>97850000</v>
      </c>
      <c r="H55" s="144">
        <f t="shared" si="6"/>
        <v>577860000</v>
      </c>
      <c r="I55" s="144">
        <f t="shared" si="6"/>
        <v>-11513182641.588934</v>
      </c>
      <c r="J55" s="144">
        <f t="shared" si="6"/>
        <v>-19410314698.574371</v>
      </c>
      <c r="K55" s="144">
        <f t="shared" si="6"/>
        <v>-29947372115.685158</v>
      </c>
      <c r="L55" s="144">
        <f t="shared" si="6"/>
        <v>-42651047929.243584</v>
      </c>
    </row>
    <row r="56" spans="1:12" x14ac:dyDescent="0.3">
      <c r="A56" s="151" t="s">
        <v>497</v>
      </c>
      <c r="B56" s="151"/>
      <c r="C56" s="152">
        <f t="shared" ref="C56:L56" si="7">C54+C55</f>
        <v>52219000</v>
      </c>
      <c r="D56" s="152">
        <f t="shared" si="7"/>
        <v>2110415000</v>
      </c>
      <c r="E56" s="152">
        <f t="shared" si="7"/>
        <v>36968000</v>
      </c>
      <c r="F56" s="152">
        <f t="shared" si="7"/>
        <v>97850000</v>
      </c>
      <c r="G56" s="152">
        <f t="shared" si="7"/>
        <v>577860000</v>
      </c>
      <c r="H56" s="152">
        <f t="shared" si="7"/>
        <v>-11513182641.588934</v>
      </c>
      <c r="I56" s="152">
        <f t="shared" si="7"/>
        <v>-19410314698.574371</v>
      </c>
      <c r="J56" s="152">
        <f t="shared" si="7"/>
        <v>-29947372115.685158</v>
      </c>
      <c r="K56" s="152">
        <f t="shared" si="7"/>
        <v>-42651047929.243584</v>
      </c>
      <c r="L56" s="152">
        <f t="shared" si="7"/>
        <v>-58901721285.091431</v>
      </c>
    </row>
    <row r="57" spans="1:12" x14ac:dyDescent="0.3">
      <c r="C57" s="144"/>
      <c r="D57" s="144"/>
      <c r="E57" s="144"/>
      <c r="F57" s="144"/>
      <c r="G57" s="144"/>
      <c r="H57" s="144"/>
      <c r="I57" s="144"/>
      <c r="J57" s="144"/>
      <c r="K57" s="144"/>
      <c r="L57" s="144"/>
    </row>
    <row r="58" spans="1:12" x14ac:dyDescent="0.3">
      <c r="C58" s="144"/>
      <c r="D58" s="144"/>
      <c r="E58" s="144"/>
      <c r="F58" s="144"/>
      <c r="G58" s="144"/>
      <c r="H58" s="144"/>
      <c r="I58" s="144"/>
      <c r="J58" s="144"/>
      <c r="K58" s="144"/>
      <c r="L58" s="144"/>
    </row>
    <row r="59" spans="1:12" x14ac:dyDescent="0.3">
      <c r="C59" s="144"/>
      <c r="D59" s="144"/>
      <c r="E59" s="144"/>
      <c r="F59" s="144"/>
      <c r="G59" s="144"/>
      <c r="H59" s="144"/>
      <c r="I59" s="144"/>
      <c r="J59" s="144"/>
      <c r="K59" s="144"/>
      <c r="L59" s="144"/>
    </row>
    <row r="60" spans="1:12" x14ac:dyDescent="0.3">
      <c r="C60" s="144"/>
      <c r="D60" s="144"/>
      <c r="E60" s="144"/>
      <c r="F60" s="144"/>
      <c r="G60" s="144"/>
      <c r="H60" s="144"/>
      <c r="I60" s="144"/>
      <c r="J60" s="144"/>
      <c r="K60" s="144"/>
      <c r="L60" s="144"/>
    </row>
  </sheetData>
  <mergeCells count="1"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9"/>
  <sheetViews>
    <sheetView topLeftCell="A13" workbookViewId="0">
      <selection activeCell="D26" sqref="D26"/>
    </sheetView>
  </sheetViews>
  <sheetFormatPr defaultColWidth="9.109375" defaultRowHeight="14.4" x14ac:dyDescent="0.3"/>
  <cols>
    <col min="1" max="1" width="23.109375" style="4" customWidth="1"/>
    <col min="2" max="2" width="36.88671875" style="4" customWidth="1"/>
    <col min="3" max="3" width="23.109375" style="4" customWidth="1"/>
    <col min="4" max="4" width="17.44140625" style="4" bestFit="1" customWidth="1"/>
    <col min="5" max="5" width="17.88671875" style="4" bestFit="1" customWidth="1"/>
    <col min="6" max="6" width="16.6640625" style="4" customWidth="1"/>
    <col min="7" max="7" width="29.5546875" style="4" customWidth="1"/>
    <col min="8" max="8" width="18.6640625" style="4" customWidth="1"/>
    <col min="9" max="9" width="9.109375" style="4"/>
    <col min="10" max="10" width="22.109375" style="4" customWidth="1"/>
    <col min="11" max="16384" width="9.109375" style="4"/>
  </cols>
  <sheetData>
    <row r="4" spans="1:8" ht="23.4" x14ac:dyDescent="0.45">
      <c r="A4" s="156"/>
      <c r="B4" s="156"/>
      <c r="C4" s="156"/>
      <c r="D4" s="156"/>
      <c r="E4" s="156"/>
      <c r="F4" s="156"/>
    </row>
    <row r="5" spans="1:8" x14ac:dyDescent="0.3">
      <c r="A5" s="217" t="s">
        <v>498</v>
      </c>
      <c r="B5" s="218"/>
      <c r="C5" s="157" t="s">
        <v>499</v>
      </c>
      <c r="G5" s="217" t="s">
        <v>500</v>
      </c>
      <c r="H5" s="219"/>
    </row>
    <row r="6" spans="1:8" x14ac:dyDescent="0.3">
      <c r="A6" s="38" t="s">
        <v>501</v>
      </c>
      <c r="B6" s="38" t="s">
        <v>502</v>
      </c>
      <c r="C6" s="158">
        <v>0.13250000000000001</v>
      </c>
      <c r="G6" s="38" t="s">
        <v>503</v>
      </c>
      <c r="H6" s="38">
        <f>CORREL('Market Prices'!D3:D246,'Stock Prices'!E3:E246)</f>
        <v>-0.31911401585627347</v>
      </c>
    </row>
    <row r="7" spans="1:8" x14ac:dyDescent="0.3">
      <c r="A7" s="38" t="s">
        <v>504</v>
      </c>
      <c r="B7" s="38" t="s">
        <v>505</v>
      </c>
      <c r="C7" s="38">
        <f>H6*H7/H8</f>
        <v>-1.7562676641767194E-3</v>
      </c>
      <c r="G7" s="38" t="s">
        <v>506</v>
      </c>
      <c r="H7" s="38">
        <f>STDEV('Stock Prices'!E3:E246)</f>
        <v>13.260719617171224</v>
      </c>
    </row>
    <row r="8" spans="1:8" x14ac:dyDescent="0.3">
      <c r="A8" s="38" t="s">
        <v>507</v>
      </c>
      <c r="B8" s="38" t="s">
        <v>508</v>
      </c>
      <c r="C8" s="159">
        <f>'Market Prices'!D3/'Market Prices'!D246-1</f>
        <v>0.23103554465603082</v>
      </c>
      <c r="G8" s="38" t="s">
        <v>509</v>
      </c>
      <c r="H8" s="38">
        <f>STDEV('Market Prices'!D3:D246)</f>
        <v>2409.4741231617718</v>
      </c>
    </row>
    <row r="9" spans="1:8" x14ac:dyDescent="0.3">
      <c r="A9" s="38" t="s">
        <v>510</v>
      </c>
      <c r="B9" s="38" t="s">
        <v>511</v>
      </c>
      <c r="C9" s="158">
        <f>C6+C7*(C8-C6)</f>
        <v>0.13232694520914859</v>
      </c>
    </row>
    <row r="10" spans="1:8" x14ac:dyDescent="0.3">
      <c r="A10" s="38" t="s">
        <v>512</v>
      </c>
      <c r="B10" s="38" t="s">
        <v>513</v>
      </c>
      <c r="C10" s="38" t="s">
        <v>514</v>
      </c>
    </row>
    <row r="11" spans="1:8" x14ac:dyDescent="0.3">
      <c r="A11" s="38" t="s">
        <v>515</v>
      </c>
      <c r="B11" s="38" t="s">
        <v>516</v>
      </c>
      <c r="C11" s="159">
        <f>Regression!B11</f>
        <v>2.35E-2</v>
      </c>
    </row>
    <row r="12" spans="1:8" x14ac:dyDescent="0.3">
      <c r="A12" s="38" t="s">
        <v>517</v>
      </c>
      <c r="B12" s="38"/>
      <c r="C12" s="160">
        <f>C36</f>
        <v>0.15280264640540456</v>
      </c>
    </row>
    <row r="13" spans="1:8" x14ac:dyDescent="0.3">
      <c r="A13" s="38" t="s">
        <v>518</v>
      </c>
      <c r="B13" s="38"/>
      <c r="C13" s="160">
        <f>C37</f>
        <v>0.84719735359459547</v>
      </c>
    </row>
    <row r="14" spans="1:8" x14ac:dyDescent="0.3">
      <c r="A14" s="38" t="s">
        <v>519</v>
      </c>
      <c r="B14" s="38"/>
      <c r="C14" s="69">
        <f>'Finance Schedule'!B30</f>
        <v>0.1</v>
      </c>
    </row>
    <row r="15" spans="1:8" x14ac:dyDescent="0.3">
      <c r="A15" s="38" t="s">
        <v>520</v>
      </c>
      <c r="B15" s="38"/>
      <c r="C15" s="161">
        <f>-'Assumption Sheet'!H137/'INCOME STATEMENT'!H17</f>
        <v>0.12579134712678214</v>
      </c>
    </row>
    <row r="16" spans="1:8" x14ac:dyDescent="0.3">
      <c r="A16" s="162" t="s">
        <v>521</v>
      </c>
      <c r="B16" s="38"/>
      <c r="C16" s="159">
        <f>(C9*C13)+(C12*C14*(1-C15))</f>
        <v>0.12546517735740084</v>
      </c>
    </row>
    <row r="17" spans="1:7" x14ac:dyDescent="0.3">
      <c r="A17" s="11"/>
    </row>
    <row r="18" spans="1:7" x14ac:dyDescent="0.3">
      <c r="A18" s="162"/>
      <c r="B18" s="38"/>
      <c r="C18" s="162">
        <v>2020</v>
      </c>
      <c r="D18" s="162">
        <v>2021</v>
      </c>
      <c r="E18" s="162">
        <v>2022</v>
      </c>
      <c r="F18" s="162">
        <v>2023</v>
      </c>
      <c r="G18" s="162">
        <v>2024</v>
      </c>
    </row>
    <row r="19" spans="1:7" x14ac:dyDescent="0.3">
      <c r="A19" s="162" t="s">
        <v>305</v>
      </c>
      <c r="B19" s="38"/>
      <c r="C19" s="162">
        <v>1</v>
      </c>
      <c r="D19" s="162">
        <v>2</v>
      </c>
      <c r="E19" s="162">
        <v>3</v>
      </c>
      <c r="F19" s="162">
        <v>4</v>
      </c>
      <c r="G19" s="162">
        <v>5</v>
      </c>
    </row>
    <row r="20" spans="1:7" x14ac:dyDescent="0.3">
      <c r="A20" s="38" t="s">
        <v>522</v>
      </c>
      <c r="B20" s="38" t="s">
        <v>523</v>
      </c>
      <c r="C20" s="163">
        <f>'CASHFLOW STATEMENT'!H31</f>
        <v>-4190917649.7020135</v>
      </c>
      <c r="D20" s="163">
        <f>'CASHFLOW STATEMENT'!I31</f>
        <v>-5203527649.8791037</v>
      </c>
      <c r="E20" s="163">
        <f>'CASHFLOW STATEMENT'!J31</f>
        <v>-7677343330.7849836</v>
      </c>
      <c r="F20" s="163">
        <f>'CASHFLOW STATEMENT'!K31</f>
        <v>-9567796813.7466202</v>
      </c>
      <c r="G20" s="163">
        <f>'CASHFLOW STATEMENT'!L31</f>
        <v>-12911930546.298014</v>
      </c>
    </row>
    <row r="21" spans="1:7" x14ac:dyDescent="0.3">
      <c r="A21" s="38" t="s">
        <v>524</v>
      </c>
      <c r="B21" s="38" t="s">
        <v>525</v>
      </c>
      <c r="C21" s="163">
        <f>-'CASHFLOW STATEMENT'!H35</f>
        <v>3698365362.3649611</v>
      </c>
      <c r="D21" s="163">
        <f>-'CASHFLOW STATEMENT'!I35</f>
        <v>3646763520.7388716</v>
      </c>
      <c r="E21" s="163">
        <f>-'CASHFLOW STATEMENT'!J35</f>
        <v>3874713378.3368645</v>
      </c>
      <c r="F21" s="163">
        <f>-'CASHFLOW STATEMENT'!K35</f>
        <v>3549787826.850512</v>
      </c>
      <c r="G21" s="163">
        <f>-'CASHFLOW STATEMENT'!L35</f>
        <v>3669043198.7889795</v>
      </c>
    </row>
    <row r="22" spans="1:7" x14ac:dyDescent="0.3">
      <c r="A22" s="162" t="s">
        <v>526</v>
      </c>
      <c r="B22" s="38"/>
      <c r="C22" s="163">
        <f>C20-C21</f>
        <v>-7889283012.0669746</v>
      </c>
      <c r="D22" s="163">
        <f>D20-D21</f>
        <v>-8850291170.6179752</v>
      </c>
      <c r="E22" s="163">
        <f>E20-E21</f>
        <v>-11552056709.121849</v>
      </c>
      <c r="F22" s="163">
        <f>F20-F21</f>
        <v>-13117584640.597132</v>
      </c>
      <c r="G22" s="163">
        <f>G20-G21</f>
        <v>-16580973745.086994</v>
      </c>
    </row>
    <row r="23" spans="1:7" x14ac:dyDescent="0.3">
      <c r="A23" s="162" t="s">
        <v>527</v>
      </c>
      <c r="B23" s="38"/>
      <c r="C23" s="163"/>
      <c r="D23" s="163"/>
      <c r="E23" s="163"/>
      <c r="F23" s="163"/>
      <c r="G23" s="163">
        <f>G22*(1+C11)/(C16-C11)</f>
        <v>-166435513259.71167</v>
      </c>
    </row>
    <row r="24" spans="1:7" x14ac:dyDescent="0.3">
      <c r="A24" s="162" t="s">
        <v>528</v>
      </c>
      <c r="B24" s="38"/>
      <c r="C24" s="163"/>
      <c r="D24" s="163"/>
      <c r="E24" s="163"/>
      <c r="F24" s="163"/>
      <c r="G24" s="163">
        <f>G23/G25</f>
        <v>-166435513259.71167</v>
      </c>
    </row>
    <row r="25" spans="1:7" x14ac:dyDescent="0.3">
      <c r="A25" s="38" t="s">
        <v>529</v>
      </c>
      <c r="B25" s="38"/>
      <c r="C25" s="164">
        <f>(1+$E$14)^C19</f>
        <v>1</v>
      </c>
      <c r="D25" s="164">
        <f>(1+$E$14)^D19</f>
        <v>1</v>
      </c>
      <c r="E25" s="164">
        <f>(1+$E$14)^E19</f>
        <v>1</v>
      </c>
      <c r="F25" s="164">
        <f>(1+$E$14)^F19</f>
        <v>1</v>
      </c>
      <c r="G25" s="164">
        <f>(1+$E$14)^G19</f>
        <v>1</v>
      </c>
    </row>
    <row r="26" spans="1:7" x14ac:dyDescent="0.3">
      <c r="A26" s="162" t="s">
        <v>530</v>
      </c>
      <c r="B26" s="38"/>
      <c r="C26" s="163">
        <f>C22/C25</f>
        <v>-7889283012.0669746</v>
      </c>
      <c r="D26" s="163">
        <f>D22/D25</f>
        <v>-8850291170.6179752</v>
      </c>
      <c r="E26" s="163">
        <f>E22/E25</f>
        <v>-11552056709.121849</v>
      </c>
      <c r="F26" s="163">
        <f>F22/F25</f>
        <v>-13117584640.597132</v>
      </c>
      <c r="G26" s="163">
        <f>G22/G25</f>
        <v>-16580973745.086994</v>
      </c>
    </row>
    <row r="28" spans="1:7" x14ac:dyDescent="0.3">
      <c r="A28" s="38" t="s">
        <v>531</v>
      </c>
      <c r="B28" s="38"/>
      <c r="C28" s="163">
        <f>SUM(C26:G26)+G24</f>
        <v>-224425702537.20258</v>
      </c>
    </row>
    <row r="29" spans="1:7" x14ac:dyDescent="0.3">
      <c r="A29" s="38" t="s">
        <v>532</v>
      </c>
      <c r="B29" s="38"/>
      <c r="C29" s="163">
        <v>351599848</v>
      </c>
    </row>
    <row r="30" spans="1:7" x14ac:dyDescent="0.3">
      <c r="A30" s="162" t="s">
        <v>533</v>
      </c>
      <c r="B30" s="38"/>
      <c r="C30" s="165">
        <f>C28/C29</f>
        <v>-638.29863355686825</v>
      </c>
    </row>
    <row r="31" spans="1:7" ht="15" thickBot="1" x14ac:dyDescent="0.35"/>
    <row r="32" spans="1:7" ht="15" thickBot="1" x14ac:dyDescent="0.35">
      <c r="A32" s="166" t="s">
        <v>534</v>
      </c>
      <c r="B32" s="38" t="s">
        <v>535</v>
      </c>
    </row>
    <row r="35" spans="1:3" ht="15" thickBot="1" x14ac:dyDescent="0.35"/>
    <row r="36" spans="1:3" x14ac:dyDescent="0.3">
      <c r="A36" s="167" t="s">
        <v>536</v>
      </c>
      <c r="B36" s="168">
        <f>'Finance Schedule'!H35+'Finance Schedule'!H14</f>
        <v>12014897714</v>
      </c>
      <c r="C36" s="169">
        <f>B36/B38</f>
        <v>0.15280264640540456</v>
      </c>
    </row>
    <row r="37" spans="1:3" x14ac:dyDescent="0.3">
      <c r="A37" s="170" t="s">
        <v>537</v>
      </c>
      <c r="B37" s="40">
        <f>'BALANCE SHEET'!G8</f>
        <v>66615270000</v>
      </c>
      <c r="C37" s="171">
        <f>B37/B38</f>
        <v>0.84719735359459547</v>
      </c>
    </row>
    <row r="38" spans="1:3" ht="15" thickBot="1" x14ac:dyDescent="0.35">
      <c r="A38" s="172"/>
      <c r="B38" s="173">
        <f>SUM(B36:B37)</f>
        <v>78630167714</v>
      </c>
      <c r="C38" s="174">
        <f>SUM(C36:C37)</f>
        <v>1</v>
      </c>
    </row>
    <row r="39" spans="1:3" x14ac:dyDescent="0.3">
      <c r="B39" s="10"/>
      <c r="C39" s="10"/>
    </row>
  </sheetData>
  <mergeCells count="2">
    <mergeCell ref="A5:B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J28" sqref="J28"/>
    </sheetView>
  </sheetViews>
  <sheetFormatPr defaultRowHeight="14.4" x14ac:dyDescent="0.3"/>
  <cols>
    <col min="1" max="1" width="8.88671875" style="7"/>
    <col min="2" max="2" width="28.44140625" style="7" bestFit="1" customWidth="1"/>
    <col min="3" max="3" width="17.88671875" style="7" bestFit="1" customWidth="1"/>
    <col min="4" max="16384" width="8.88671875" style="7"/>
  </cols>
  <sheetData>
    <row r="1" spans="2:8" ht="15" thickBot="1" x14ac:dyDescent="0.35"/>
    <row r="2" spans="2:8" ht="15" thickBot="1" x14ac:dyDescent="0.35">
      <c r="B2" s="111"/>
      <c r="C2" s="220" t="s">
        <v>404</v>
      </c>
      <c r="D2" s="220"/>
      <c r="E2" s="220"/>
      <c r="F2" s="220"/>
      <c r="G2" s="221"/>
    </row>
    <row r="3" spans="2:8" ht="15" thickBot="1" x14ac:dyDescent="0.35">
      <c r="B3" s="112"/>
      <c r="C3" s="113">
        <v>2020</v>
      </c>
      <c r="D3" s="113">
        <v>2021</v>
      </c>
      <c r="E3" s="113">
        <v>2022</v>
      </c>
      <c r="F3" s="113">
        <v>2023</v>
      </c>
      <c r="G3" s="114">
        <v>2024</v>
      </c>
    </row>
    <row r="4" spans="2:8" x14ac:dyDescent="0.3">
      <c r="B4" s="115" t="s">
        <v>405</v>
      </c>
      <c r="C4" s="116"/>
      <c r="D4" s="116"/>
      <c r="E4" s="116"/>
      <c r="F4" s="116"/>
      <c r="G4" s="117"/>
    </row>
    <row r="5" spans="2:8" x14ac:dyDescent="0.3">
      <c r="B5" s="118" t="s">
        <v>406</v>
      </c>
      <c r="C5" s="119">
        <f>'INCOME STATEMENT'!H6/'INCOME STATEMENT'!H4</f>
        <v>-0.11282397642965833</v>
      </c>
      <c r="D5" s="119">
        <f>'INCOME STATEMENT'!I6/'INCOME STATEMENT'!I4</f>
        <v>-2.8715764585547253E-4</v>
      </c>
      <c r="E5" s="119">
        <f>'INCOME STATEMENT'!J6/'INCOME STATEMENT'!J4</f>
        <v>-3.4161323591407791E-2</v>
      </c>
      <c r="F5" s="119">
        <f>'INCOME STATEMENT'!K6/'INCOME STATEMENT'!K4</f>
        <v>-7.1972895454976427E-2</v>
      </c>
      <c r="G5" s="120">
        <f>'INCOME STATEMENT'!L6/'INCOME STATEMENT'!L4</f>
        <v>-0.12168631736797481</v>
      </c>
      <c r="H5" s="205"/>
    </row>
    <row r="6" spans="2:8" x14ac:dyDescent="0.3">
      <c r="B6" s="118" t="s">
        <v>407</v>
      </c>
      <c r="C6" s="119">
        <f>'INCOME STATEMENT'!H14/'INCOME STATEMENT'!H4</f>
        <v>-9.977421567323469E-2</v>
      </c>
      <c r="D6" s="119">
        <f>'INCOME STATEMENT'!I14/'INCOME STATEMENT'!I4</f>
        <v>9.0138683345871735E-3</v>
      </c>
      <c r="E6" s="119">
        <f>'INCOME STATEMENT'!J14/'INCOME STATEMENT'!J4</f>
        <v>-2.5534616575946842E-2</v>
      </c>
      <c r="F6" s="119">
        <f>'INCOME STATEMENT'!K14/'INCOME STATEMENT'!K4</f>
        <v>-6.2974616492908086E-2</v>
      </c>
      <c r="G6" s="120">
        <f>'INCOME STATEMENT'!L14/'INCOME STATEMENT'!L4</f>
        <v>-0.11268121889176719</v>
      </c>
    </row>
    <row r="7" spans="2:8" x14ac:dyDescent="0.3">
      <c r="B7" s="118" t="s">
        <v>408</v>
      </c>
      <c r="C7" s="119">
        <f>'INCOME STATEMENT'!H17/'INCOME STATEMENT'!H4</f>
        <v>-0.11731973008155659</v>
      </c>
      <c r="D7" s="119">
        <f>'INCOME STATEMENT'!I17/'INCOME STATEMENT'!I4</f>
        <v>-6.5114467889032142E-3</v>
      </c>
      <c r="E7" s="119">
        <f>'INCOME STATEMENT'!J17/'INCOME STATEMENT'!J4</f>
        <v>-4.1530853404282204E-2</v>
      </c>
      <c r="F7" s="119">
        <f>'INCOME STATEMENT'!K17/'INCOME STATEMENT'!K4</f>
        <v>-7.9649001295191688E-2</v>
      </c>
      <c r="G7" s="119">
        <f>'INCOME STATEMENT'!L17/'INCOME STATEMENT'!L4</f>
        <v>-0.12999175275193559</v>
      </c>
      <c r="H7" s="82"/>
    </row>
    <row r="8" spans="2:8" x14ac:dyDescent="0.3">
      <c r="B8" s="118" t="s">
        <v>409</v>
      </c>
      <c r="C8" s="119">
        <f>'INCOME STATEMENT'!H23/'INCOME STATEMENT'!H4</f>
        <v>-0.16863124299936849</v>
      </c>
      <c r="D8" s="119">
        <f>'INCOME STATEMENT'!I23/'INCOME STATEMENT'!I4</f>
        <v>-5.5941373519884215E-2</v>
      </c>
      <c r="E8" s="119">
        <f>'INCOME STATEMENT'!J23/'INCOME STATEMENT'!J4</f>
        <v>-8.995927217126036E-2</v>
      </c>
      <c r="F8" s="119">
        <f>'INCOME STATEMENT'!K23/'INCOME STATEMENT'!K4</f>
        <v>-0.12735928423679185</v>
      </c>
      <c r="G8" s="119">
        <f>'INCOME STATEMENT'!L23/'INCOME STATEMENT'!L4</f>
        <v>-0.17736873603836478</v>
      </c>
      <c r="H8" s="82"/>
    </row>
    <row r="9" spans="2:8" x14ac:dyDescent="0.3">
      <c r="B9" s="118" t="s">
        <v>410</v>
      </c>
      <c r="C9" s="121">
        <f>'INCOME STATEMENT'!H25</f>
        <v>-18.06622820227285</v>
      </c>
      <c r="D9" s="121">
        <f>'INCOME STATEMENT'!I25</f>
        <v>-3.3276478388407988</v>
      </c>
      <c r="E9" s="121">
        <f>'INCOME STATEMENT'!J25</f>
        <v>-8.7302493440550073</v>
      </c>
      <c r="F9" s="121">
        <f>'INCOME STATEMENT'!K25</f>
        <v>-14.90864683629173</v>
      </c>
      <c r="G9" s="121">
        <f>'INCOME STATEMENT'!L25</f>
        <v>-22.968207094015892</v>
      </c>
      <c r="H9" s="82"/>
    </row>
    <row r="10" spans="2:8" x14ac:dyDescent="0.3">
      <c r="B10" s="118" t="s">
        <v>411</v>
      </c>
      <c r="C10" s="119">
        <f>'INCOME STATEMENT'!H20/(('BALANCE SHEET'!G47+'BALANCE SHEET'!H47)/2)</f>
        <v>-6.3365587743177201E-2</v>
      </c>
      <c r="D10" s="119">
        <f>'INCOME STATEMENT'!I20/(('BALANCE SHEET'!H47+'BALANCE SHEET'!I47)/2)</f>
        <v>-1.2673321566805064E-2</v>
      </c>
      <c r="E10" s="119">
        <f>'INCOME STATEMENT'!J20/(('BALANCE SHEET'!I47+'BALANCE SHEET'!J47)/2)</f>
        <v>-3.8564455702504913E-2</v>
      </c>
      <c r="F10" s="119">
        <f>'INCOME STATEMENT'!K20/(('BALANCE SHEET'!J47+'BALANCE SHEET'!K47)/2)</f>
        <v>-7.8128479685236812E-2</v>
      </c>
      <c r="G10" s="119">
        <f>'INCOME STATEMENT'!L20/(('BALANCE SHEET'!K47+'BALANCE SHEET'!L47)/2)</f>
        <v>-0.15591527014417841</v>
      </c>
      <c r="H10" s="82"/>
    </row>
    <row r="11" spans="2:8" x14ac:dyDescent="0.3">
      <c r="B11" s="118" t="s">
        <v>412</v>
      </c>
      <c r="C11" s="119">
        <f>'INCOME STATEMENT'!H4/(('BALANCE SHEET'!G47+'BALANCE SHEET'!H47)/2)</f>
        <v>0.47976051942957598</v>
      </c>
      <c r="D11" s="119">
        <f>'INCOME STATEMENT'!I4/(('BALANCE SHEET'!H47+'BALANCE SHEET'!I47)/2)</f>
        <v>0.56694677062394627</v>
      </c>
      <c r="E11" s="119">
        <f>'INCOME STATEMENT'!J4/(('BALANCE SHEET'!I47+'BALANCE SHEET'!J47)/2)</f>
        <v>0.67420664391023133</v>
      </c>
      <c r="F11" s="119">
        <f>'INCOME STATEMENT'!K4/(('BALANCE SHEET'!J47+'BALANCE SHEET'!K47)/2)</f>
        <v>0.81918551494965508</v>
      </c>
      <c r="G11" s="119">
        <f>'INCOME STATEMENT'!L4/(('BALANCE SHEET'!K47+'BALANCE SHEET'!L47)/2)</f>
        <v>1.0704073958968323</v>
      </c>
      <c r="H11" s="82"/>
    </row>
    <row r="12" spans="2:8" x14ac:dyDescent="0.3">
      <c r="B12" s="115" t="s">
        <v>413</v>
      </c>
      <c r="C12" s="119"/>
      <c r="D12" s="119"/>
      <c r="E12" s="119"/>
      <c r="F12" s="119"/>
      <c r="G12" s="120"/>
    </row>
    <row r="13" spans="2:8" x14ac:dyDescent="0.3">
      <c r="B13" s="118" t="s">
        <v>414</v>
      </c>
      <c r="C13" s="119">
        <f>'BALANCE SHEET'!H46/'BALANCE SHEET'!H23</f>
        <v>0.68412988282992548</v>
      </c>
      <c r="D13" s="119">
        <f>'BALANCE SHEET'!I46/'BALANCE SHEET'!I23</f>
        <v>0.34771882598255022</v>
      </c>
      <c r="E13" s="119">
        <f>'BALANCE SHEET'!J46/'BALANCE SHEET'!J23</f>
        <v>-7.0420825042392679E-2</v>
      </c>
      <c r="F13" s="119">
        <f>'BALANCE SHEET'!K46/'BALANCE SHEET'!K23</f>
        <v>-0.59650916778570406</v>
      </c>
      <c r="G13" s="120">
        <f>'BALANCE SHEET'!L46/'BALANCE SHEET'!L23</f>
        <v>-1.2477166216039974</v>
      </c>
    </row>
    <row r="14" spans="2:8" x14ac:dyDescent="0.3">
      <c r="B14" s="118" t="s">
        <v>415</v>
      </c>
      <c r="C14" s="119">
        <f>('BALANCE SHEET'!H46-'BALANCE SHEET'!H38)/'BALANCE SHEET'!H23</f>
        <v>0.10901370051990981</v>
      </c>
      <c r="D14" s="119">
        <f>('BALANCE SHEET'!I46-'BALANCE SHEET'!I38)/'BALANCE SHEET'!I23</f>
        <v>-0.22683640688825293</v>
      </c>
      <c r="E14" s="119">
        <f>('BALANCE SHEET'!J46-'BALANCE SHEET'!J38)/'BALANCE SHEET'!J23</f>
        <v>-0.64807559129820569</v>
      </c>
      <c r="F14" s="119">
        <f>('BALANCE SHEET'!K46-'BALANCE SHEET'!K38)/'BALANCE SHEET'!K23</f>
        <v>-1.1776628506043192</v>
      </c>
      <c r="G14" s="119">
        <f>('BALANCE SHEET'!L46-'BALANCE SHEET'!L38)/'BALANCE SHEET'!L23</f>
        <v>-1.8298080438909541</v>
      </c>
      <c r="H14" s="82"/>
    </row>
    <row r="15" spans="2:8" x14ac:dyDescent="0.3">
      <c r="B15" s="115" t="s">
        <v>416</v>
      </c>
      <c r="C15" s="119"/>
      <c r="D15" s="119"/>
      <c r="E15" s="119"/>
      <c r="F15" s="119"/>
      <c r="G15" s="120"/>
    </row>
    <row r="16" spans="2:8" x14ac:dyDescent="0.3">
      <c r="B16" s="118" t="s">
        <v>417</v>
      </c>
      <c r="C16" s="119">
        <f>'INCOME STATEMENT'!H20/(('BALANCE SHEET'!G8+'BALANCE SHEET'!H8)/2)</f>
        <v>-8.7922298669700943E-2</v>
      </c>
      <c r="D16" s="119">
        <f>'INCOME STATEMENT'!I20/(('BALANCE SHEET'!H8+'BALANCE SHEET'!I8)/2)</f>
        <v>-1.4990139632796233E-2</v>
      </c>
      <c r="E16" s="119">
        <f>'INCOME STATEMENT'!J20/(('BALANCE SHEET'!I8+'BALANCE SHEET'!J8)/2)</f>
        <v>-3.9438301236459389E-2</v>
      </c>
      <c r="F16" s="119">
        <f>'INCOME STATEMENT'!K20/(('BALANCE SHEET'!J8+'BALANCE SHEET'!K8)/2)</f>
        <v>-6.8695150120043888E-2</v>
      </c>
      <c r="G16" s="120">
        <f>'INCOME STATEMENT'!L20/(('BALANCE SHEET'!K8+'BALANCE SHEET'!L8)/2)</f>
        <v>-0.10750282177002445</v>
      </c>
    </row>
    <row r="17" spans="2:8" ht="15" thickBot="1" x14ac:dyDescent="0.35">
      <c r="B17" s="122" t="s">
        <v>418</v>
      </c>
      <c r="C17" s="123">
        <f>'INCOME STATEMENT'!H20/(('BALANCE SHEET'!G47+'BALANCE SHEET'!H47)/2)</f>
        <v>-6.3365587743177201E-2</v>
      </c>
      <c r="D17" s="123">
        <f>'INCOME STATEMENT'!I20/(('BALANCE SHEET'!H47+'BALANCE SHEET'!I47)/2)</f>
        <v>-1.2673321566805064E-2</v>
      </c>
      <c r="E17" s="123">
        <f>'INCOME STATEMENT'!J20/(('BALANCE SHEET'!I47+'BALANCE SHEET'!J47)/2)</f>
        <v>-3.8564455702504913E-2</v>
      </c>
      <c r="F17" s="123">
        <f>'INCOME STATEMENT'!K20/(('BALANCE SHEET'!J47+'BALANCE SHEET'!K47)/2)</f>
        <v>-7.8128479685236812E-2</v>
      </c>
      <c r="G17" s="123">
        <f>'INCOME STATEMENT'!L20/(('BALANCE SHEET'!K47+'BALANCE SHEET'!L47)/2)</f>
        <v>-0.15591527014417841</v>
      </c>
      <c r="H17" s="82"/>
    </row>
  </sheetData>
  <mergeCells count="1">
    <mergeCell ref="C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71"/>
  <sheetViews>
    <sheetView topLeftCell="A154" workbookViewId="0">
      <selection activeCell="K155" sqref="K155"/>
    </sheetView>
  </sheetViews>
  <sheetFormatPr defaultColWidth="9.109375" defaultRowHeight="14.4" x14ac:dyDescent="0.3"/>
  <cols>
    <col min="1" max="2" width="9.109375" style="4"/>
    <col min="3" max="3" width="17" style="4" customWidth="1"/>
    <col min="4" max="4" width="13.88671875" style="4" bestFit="1" customWidth="1"/>
    <col min="5" max="5" width="10.109375" style="4" customWidth="1"/>
    <col min="6" max="6" width="16.6640625" style="4" bestFit="1" customWidth="1"/>
    <col min="7" max="7" width="18.109375" style="4" bestFit="1" customWidth="1"/>
    <col min="8" max="8" width="19.6640625" style="4" bestFit="1" customWidth="1"/>
    <col min="9" max="9" width="20.5546875" style="4" bestFit="1" customWidth="1"/>
    <col min="10" max="10" width="14.88671875" style="4" bestFit="1" customWidth="1"/>
    <col min="11" max="11" width="22" style="4" customWidth="1"/>
    <col min="12" max="12" width="23" style="4" customWidth="1"/>
    <col min="13" max="16384" width="9.109375" style="4"/>
  </cols>
  <sheetData>
    <row r="1" spans="3:13" ht="15" thickBot="1" x14ac:dyDescent="0.35"/>
    <row r="2" spans="3:13" x14ac:dyDescent="0.3">
      <c r="C2" s="33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3:13" ht="15.6" x14ac:dyDescent="0.3">
      <c r="C3" s="36" t="s">
        <v>275</v>
      </c>
      <c r="D3" s="29"/>
      <c r="E3" s="29"/>
      <c r="F3" s="29"/>
      <c r="G3" s="29"/>
      <c r="H3" s="29"/>
      <c r="I3" s="29"/>
      <c r="J3" s="29"/>
      <c r="K3" s="29"/>
      <c r="L3" s="29"/>
      <c r="M3" s="37"/>
    </row>
    <row r="4" spans="3:13" x14ac:dyDescent="0.3">
      <c r="C4" s="38" t="s">
        <v>276</v>
      </c>
      <c r="D4" s="38" t="s">
        <v>277</v>
      </c>
      <c r="E4" s="29"/>
      <c r="F4" s="29"/>
      <c r="G4" s="29"/>
      <c r="H4" s="29"/>
      <c r="I4" s="29"/>
      <c r="J4" s="29"/>
      <c r="K4" s="29"/>
      <c r="L4" s="29"/>
      <c r="M4" s="37"/>
    </row>
    <row r="5" spans="3:13" x14ac:dyDescent="0.3">
      <c r="C5" s="39" t="s">
        <v>278</v>
      </c>
      <c r="D5" s="40">
        <v>15000000000</v>
      </c>
      <c r="E5" s="41" t="s">
        <v>279</v>
      </c>
      <c r="F5" s="41" t="s">
        <v>280</v>
      </c>
      <c r="G5" s="41" t="s">
        <v>281</v>
      </c>
      <c r="H5" s="41" t="s">
        <v>282</v>
      </c>
      <c r="I5" s="42" t="s">
        <v>283</v>
      </c>
      <c r="J5" s="29"/>
      <c r="K5" s="29"/>
      <c r="L5" s="29"/>
      <c r="M5" s="37"/>
    </row>
    <row r="6" spans="3:13" x14ac:dyDescent="0.3">
      <c r="C6" s="38" t="s">
        <v>284</v>
      </c>
      <c r="D6" s="40">
        <v>4</v>
      </c>
      <c r="E6" s="29">
        <v>0</v>
      </c>
      <c r="F6" s="43"/>
      <c r="G6" s="43"/>
      <c r="H6" s="43"/>
      <c r="I6" s="44">
        <f>D5</f>
        <v>15000000000</v>
      </c>
      <c r="J6" s="29"/>
      <c r="K6" s="29"/>
      <c r="L6" s="29"/>
      <c r="M6" s="37"/>
    </row>
    <row r="7" spans="3:13" x14ac:dyDescent="0.3">
      <c r="C7" s="38" t="s">
        <v>285</v>
      </c>
      <c r="D7" s="45" t="s">
        <v>286</v>
      </c>
      <c r="E7" s="29">
        <v>1</v>
      </c>
      <c r="F7" s="43">
        <f>IF(E7&gt;$D$6,0,-PMT($D$8,$D$6,$I$6))</f>
        <v>4132350680.4720349</v>
      </c>
      <c r="G7" s="46">
        <f>I6*$D$8</f>
        <v>600000000</v>
      </c>
      <c r="H7" s="43">
        <f>F7-G7</f>
        <v>3532350680.4720349</v>
      </c>
      <c r="I7" s="44">
        <f>I6-H7</f>
        <v>11467649319.527966</v>
      </c>
      <c r="J7" s="29"/>
      <c r="K7" s="29"/>
      <c r="L7" s="29"/>
      <c r="M7" s="37"/>
    </row>
    <row r="8" spans="3:13" x14ac:dyDescent="0.3">
      <c r="C8" s="38" t="s">
        <v>287</v>
      </c>
      <c r="D8" s="47">
        <v>0.04</v>
      </c>
      <c r="E8" s="29">
        <v>2</v>
      </c>
      <c r="F8" s="43">
        <f>IF(E8&gt;$D$6,0,-PMT($D$8,$D$6,$I$6))</f>
        <v>4132350680.4720349</v>
      </c>
      <c r="G8" s="46">
        <f>I7*$D$8</f>
        <v>458705972.78111863</v>
      </c>
      <c r="H8" s="43">
        <f>F8-G8</f>
        <v>3673644707.6909161</v>
      </c>
      <c r="I8" s="44">
        <f>I7-H8</f>
        <v>7794004611.8370495</v>
      </c>
      <c r="J8" s="29"/>
      <c r="K8" s="29"/>
      <c r="L8" s="29"/>
      <c r="M8" s="37"/>
    </row>
    <row r="9" spans="3:13" x14ac:dyDescent="0.3">
      <c r="C9" s="38" t="s">
        <v>288</v>
      </c>
      <c r="D9" s="47">
        <v>0.03</v>
      </c>
      <c r="E9" s="48">
        <v>3</v>
      </c>
      <c r="F9" s="43">
        <f>IF(E9&gt;$D$6,0,-PMT($D$8,$D$6,$I$6))</f>
        <v>4132350680.4720349</v>
      </c>
      <c r="G9" s="46">
        <f>I8*$D$8</f>
        <v>311760184.47348201</v>
      </c>
      <c r="H9" s="43">
        <f>F9-G9</f>
        <v>3820590495.9985528</v>
      </c>
      <c r="I9" s="44">
        <f>I8-H9</f>
        <v>3973414115.8384967</v>
      </c>
      <c r="J9" s="29"/>
      <c r="K9" s="29"/>
      <c r="L9" s="29"/>
      <c r="M9" s="37"/>
    </row>
    <row r="10" spans="3:13" x14ac:dyDescent="0.3">
      <c r="C10" s="28"/>
      <c r="D10" s="29"/>
      <c r="E10" s="49">
        <v>4</v>
      </c>
      <c r="F10" s="26">
        <f>IF(E10&gt;$D$6,0,-PMT($D$8,$D$6,$I$6))</f>
        <v>4132350680.4720349</v>
      </c>
      <c r="G10" s="26">
        <f>I9*$D$8</f>
        <v>158936564.63353989</v>
      </c>
      <c r="H10" s="26">
        <f>F10-G10</f>
        <v>3973414115.8384953</v>
      </c>
      <c r="I10" s="50">
        <f>I9-H10</f>
        <v>0</v>
      </c>
      <c r="J10" s="29"/>
      <c r="K10" s="29"/>
      <c r="L10" s="29"/>
      <c r="M10" s="37"/>
    </row>
    <row r="11" spans="3:13" ht="15" thickBot="1" x14ac:dyDescent="0.35"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37"/>
    </row>
    <row r="12" spans="3:13" ht="15.6" x14ac:dyDescent="0.3">
      <c r="C12" s="28"/>
      <c r="D12" s="29"/>
      <c r="E12" s="51" t="s">
        <v>289</v>
      </c>
      <c r="F12" s="34"/>
      <c r="G12" s="34"/>
      <c r="H12" s="34"/>
      <c r="I12" s="34"/>
      <c r="J12" s="34"/>
      <c r="K12" s="34"/>
      <c r="L12" s="35"/>
      <c r="M12" s="37"/>
    </row>
    <row r="13" spans="3:13" x14ac:dyDescent="0.3">
      <c r="C13" s="28"/>
      <c r="D13" s="29"/>
      <c r="E13" s="52" t="s">
        <v>279</v>
      </c>
      <c r="F13" s="29" t="s">
        <v>290</v>
      </c>
      <c r="G13" s="29" t="s">
        <v>291</v>
      </c>
      <c r="H13" s="29" t="s">
        <v>292</v>
      </c>
      <c r="I13" s="29" t="s">
        <v>293</v>
      </c>
      <c r="J13" s="29" t="s">
        <v>294</v>
      </c>
      <c r="K13" s="29" t="s">
        <v>282</v>
      </c>
      <c r="L13" s="29" t="s">
        <v>283</v>
      </c>
      <c r="M13" s="37"/>
    </row>
    <row r="14" spans="3:13" x14ac:dyDescent="0.3">
      <c r="C14" s="28"/>
      <c r="D14" s="29"/>
      <c r="E14" s="53">
        <v>0</v>
      </c>
      <c r="F14" s="29"/>
      <c r="G14" s="29"/>
      <c r="H14" s="29"/>
      <c r="I14" s="29"/>
      <c r="J14" s="29"/>
      <c r="K14" s="43">
        <f>D5/(D6*4)</f>
        <v>937500000</v>
      </c>
      <c r="L14" s="43">
        <f>D5</f>
        <v>15000000000</v>
      </c>
      <c r="M14" s="37"/>
    </row>
    <row r="15" spans="3:13" x14ac:dyDescent="0.3">
      <c r="C15" s="28"/>
      <c r="D15" s="29"/>
      <c r="E15" s="29">
        <v>1</v>
      </c>
      <c r="F15" s="29">
        <v>15.239535000000004</v>
      </c>
      <c r="G15" s="54">
        <f>$D$9*100</f>
        <v>3</v>
      </c>
      <c r="H15" s="55">
        <f t="shared" ref="H15:H30" si="0">(F15+G15)%</f>
        <v>0.18239535000000004</v>
      </c>
      <c r="I15" s="29">
        <f t="shared" ref="I15:I30" si="1">J15+K15</f>
        <v>3673430250.0000005</v>
      </c>
      <c r="J15" s="29">
        <f t="shared" ref="J15:J30" si="2">IF(L14*H15&lt;0,0,L14*H15)</f>
        <v>2735930250.0000005</v>
      </c>
      <c r="K15" s="29">
        <f t="shared" ref="K15:K30" si="3">IF(L14&lt;=0,0,$K$14)</f>
        <v>937500000</v>
      </c>
      <c r="L15" s="43">
        <f t="shared" ref="L15:L30" si="4">L14-K15</f>
        <v>14062500000</v>
      </c>
      <c r="M15" s="37"/>
    </row>
    <row r="16" spans="3:13" x14ac:dyDescent="0.3">
      <c r="C16" s="28"/>
      <c r="D16" s="29"/>
      <c r="E16" s="29">
        <v>2</v>
      </c>
      <c r="F16" s="29">
        <v>15.335390000000004</v>
      </c>
      <c r="G16" s="54">
        <f>$D$9*100</f>
        <v>3</v>
      </c>
      <c r="H16" s="55">
        <f t="shared" si="0"/>
        <v>0.18335390000000004</v>
      </c>
      <c r="I16" s="29">
        <f t="shared" si="1"/>
        <v>3515914218.7500005</v>
      </c>
      <c r="J16" s="29">
        <f t="shared" si="2"/>
        <v>2578414218.7500005</v>
      </c>
      <c r="K16" s="29">
        <f t="shared" si="3"/>
        <v>937500000</v>
      </c>
      <c r="L16" s="43">
        <f t="shared" si="4"/>
        <v>13125000000</v>
      </c>
      <c r="M16" s="37"/>
    </row>
    <row r="17" spans="3:13" x14ac:dyDescent="0.3">
      <c r="C17" s="28"/>
      <c r="D17" s="29"/>
      <c r="E17" s="29">
        <v>3</v>
      </c>
      <c r="F17" s="29">
        <v>15.431245000000004</v>
      </c>
      <c r="G17" s="54">
        <f t="shared" ref="G17:G30" si="5">$D$9*100</f>
        <v>3</v>
      </c>
      <c r="H17" s="55">
        <f t="shared" si="0"/>
        <v>0.18431245000000004</v>
      </c>
      <c r="I17" s="29">
        <f t="shared" si="1"/>
        <v>3356600906.2500005</v>
      </c>
      <c r="J17" s="29">
        <f t="shared" si="2"/>
        <v>2419100906.2500005</v>
      </c>
      <c r="K17" s="29">
        <f t="shared" si="3"/>
        <v>937500000</v>
      </c>
      <c r="L17" s="43">
        <f t="shared" si="4"/>
        <v>12187500000</v>
      </c>
      <c r="M17" s="37"/>
    </row>
    <row r="18" spans="3:13" x14ac:dyDescent="0.3">
      <c r="C18" s="28"/>
      <c r="D18" s="29"/>
      <c r="E18" s="29">
        <v>4</v>
      </c>
      <c r="F18" s="29">
        <v>15.527100000000004</v>
      </c>
      <c r="G18" s="54">
        <f t="shared" si="5"/>
        <v>3</v>
      </c>
      <c r="H18" s="55">
        <f t="shared" si="0"/>
        <v>0.18527100000000005</v>
      </c>
      <c r="I18" s="29">
        <f t="shared" si="1"/>
        <v>3195490312.5000005</v>
      </c>
      <c r="J18" s="29">
        <f t="shared" si="2"/>
        <v>2257990312.5000005</v>
      </c>
      <c r="K18" s="29">
        <f t="shared" si="3"/>
        <v>937500000</v>
      </c>
      <c r="L18" s="43">
        <f t="shared" si="4"/>
        <v>11250000000</v>
      </c>
      <c r="M18" s="37"/>
    </row>
    <row r="19" spans="3:13" x14ac:dyDescent="0.3">
      <c r="C19" s="28"/>
      <c r="D19" s="29"/>
      <c r="E19" s="29">
        <v>5</v>
      </c>
      <c r="F19" s="29">
        <v>15.622955000000005</v>
      </c>
      <c r="G19" s="54">
        <f t="shared" si="5"/>
        <v>3</v>
      </c>
      <c r="H19" s="55">
        <f t="shared" si="0"/>
        <v>0.18622955000000005</v>
      </c>
      <c r="I19" s="29">
        <f t="shared" si="1"/>
        <v>3032582437.5000005</v>
      </c>
      <c r="J19" s="29">
        <f t="shared" si="2"/>
        <v>2095082437.5000005</v>
      </c>
      <c r="K19" s="29">
        <f t="shared" si="3"/>
        <v>937500000</v>
      </c>
      <c r="L19" s="43">
        <f t="shared" si="4"/>
        <v>10312500000</v>
      </c>
      <c r="M19" s="37"/>
    </row>
    <row r="20" spans="3:13" x14ac:dyDescent="0.3">
      <c r="C20" s="28"/>
      <c r="D20" s="29"/>
      <c r="E20" s="29">
        <v>6</v>
      </c>
      <c r="F20" s="29">
        <v>15.718810000000005</v>
      </c>
      <c r="G20" s="54">
        <f t="shared" si="5"/>
        <v>3</v>
      </c>
      <c r="H20" s="55">
        <f t="shared" si="0"/>
        <v>0.18718810000000005</v>
      </c>
      <c r="I20" s="29">
        <f t="shared" si="1"/>
        <v>2867877281.2500005</v>
      </c>
      <c r="J20" s="29">
        <f t="shared" si="2"/>
        <v>1930377281.2500005</v>
      </c>
      <c r="K20" s="29">
        <f t="shared" si="3"/>
        <v>937500000</v>
      </c>
      <c r="L20" s="43">
        <f t="shared" si="4"/>
        <v>9375000000</v>
      </c>
      <c r="M20" s="37"/>
    </row>
    <row r="21" spans="3:13" x14ac:dyDescent="0.3">
      <c r="C21" s="28"/>
      <c r="D21" s="29"/>
      <c r="E21" s="29">
        <v>7</v>
      </c>
      <c r="F21" s="29">
        <v>15.814665000000005</v>
      </c>
      <c r="G21" s="54">
        <f t="shared" si="5"/>
        <v>3</v>
      </c>
      <c r="H21" s="55">
        <f t="shared" si="0"/>
        <v>0.18814665000000005</v>
      </c>
      <c r="I21" s="29">
        <f t="shared" si="1"/>
        <v>2701374843.7500005</v>
      </c>
      <c r="J21" s="29">
        <f t="shared" si="2"/>
        <v>1763874843.7500005</v>
      </c>
      <c r="K21" s="29">
        <f t="shared" si="3"/>
        <v>937500000</v>
      </c>
      <c r="L21" s="43">
        <f t="shared" si="4"/>
        <v>8437500000</v>
      </c>
      <c r="M21" s="37"/>
    </row>
    <row r="22" spans="3:13" x14ac:dyDescent="0.3">
      <c r="C22" s="28"/>
      <c r="D22" s="29"/>
      <c r="E22" s="29">
        <v>8</v>
      </c>
      <c r="F22" s="29">
        <v>15.910520000000005</v>
      </c>
      <c r="G22" s="54">
        <f t="shared" si="5"/>
        <v>3</v>
      </c>
      <c r="H22" s="55">
        <f t="shared" si="0"/>
        <v>0.18910520000000006</v>
      </c>
      <c r="I22" s="29">
        <f t="shared" si="1"/>
        <v>2533075125.0000005</v>
      </c>
      <c r="J22" s="29">
        <f t="shared" si="2"/>
        <v>1595575125.0000005</v>
      </c>
      <c r="K22" s="29">
        <f t="shared" si="3"/>
        <v>937500000</v>
      </c>
      <c r="L22" s="43">
        <f t="shared" si="4"/>
        <v>7500000000</v>
      </c>
      <c r="M22" s="37"/>
    </row>
    <row r="23" spans="3:13" x14ac:dyDescent="0.3">
      <c r="C23" s="28"/>
      <c r="D23" s="29"/>
      <c r="E23" s="29">
        <v>9</v>
      </c>
      <c r="F23" s="29">
        <v>16.006375000000006</v>
      </c>
      <c r="G23" s="54">
        <f t="shared" si="5"/>
        <v>3</v>
      </c>
      <c r="H23" s="55">
        <f t="shared" si="0"/>
        <v>0.19006375000000006</v>
      </c>
      <c r="I23" s="29">
        <f t="shared" si="1"/>
        <v>2362978125.0000005</v>
      </c>
      <c r="J23" s="29">
        <f t="shared" si="2"/>
        <v>1425478125.0000005</v>
      </c>
      <c r="K23" s="29">
        <f t="shared" si="3"/>
        <v>937500000</v>
      </c>
      <c r="L23" s="43">
        <f t="shared" si="4"/>
        <v>6562500000</v>
      </c>
      <c r="M23" s="37"/>
    </row>
    <row r="24" spans="3:13" x14ac:dyDescent="0.3">
      <c r="C24" s="28"/>
      <c r="D24" s="29"/>
      <c r="E24" s="29">
        <v>10</v>
      </c>
      <c r="F24" s="29">
        <v>16.102230000000006</v>
      </c>
      <c r="G24" s="54">
        <f t="shared" si="5"/>
        <v>3</v>
      </c>
      <c r="H24" s="55">
        <f t="shared" si="0"/>
        <v>0.19102230000000006</v>
      </c>
      <c r="I24" s="29">
        <f t="shared" si="1"/>
        <v>2191083843.7500005</v>
      </c>
      <c r="J24" s="29">
        <f t="shared" si="2"/>
        <v>1253583843.7500005</v>
      </c>
      <c r="K24" s="29">
        <f t="shared" si="3"/>
        <v>937500000</v>
      </c>
      <c r="L24" s="43">
        <f t="shared" si="4"/>
        <v>5625000000</v>
      </c>
      <c r="M24" s="37"/>
    </row>
    <row r="25" spans="3:13" x14ac:dyDescent="0.3">
      <c r="C25" s="28"/>
      <c r="D25" s="29"/>
      <c r="E25" s="29">
        <v>11</v>
      </c>
      <c r="F25" s="29">
        <v>16.198085000000006</v>
      </c>
      <c r="G25" s="54">
        <f t="shared" si="5"/>
        <v>3</v>
      </c>
      <c r="H25" s="55">
        <f t="shared" si="0"/>
        <v>0.19198085000000006</v>
      </c>
      <c r="I25" s="29">
        <f t="shared" si="1"/>
        <v>2017392281.2500005</v>
      </c>
      <c r="J25" s="29">
        <f t="shared" si="2"/>
        <v>1079892281.2500005</v>
      </c>
      <c r="K25" s="29">
        <f t="shared" si="3"/>
        <v>937500000</v>
      </c>
      <c r="L25" s="43">
        <f t="shared" si="4"/>
        <v>4687500000</v>
      </c>
      <c r="M25" s="37"/>
    </row>
    <row r="26" spans="3:13" x14ac:dyDescent="0.3">
      <c r="C26" s="28"/>
      <c r="D26" s="29"/>
      <c r="E26" s="29">
        <v>12</v>
      </c>
      <c r="F26" s="29">
        <v>16.293940000000006</v>
      </c>
      <c r="G26" s="54">
        <f t="shared" si="5"/>
        <v>3</v>
      </c>
      <c r="H26" s="55">
        <f t="shared" si="0"/>
        <v>0.19293940000000007</v>
      </c>
      <c r="I26" s="29">
        <f t="shared" si="1"/>
        <v>1841903437.5000005</v>
      </c>
      <c r="J26" s="29">
        <f t="shared" si="2"/>
        <v>904403437.50000036</v>
      </c>
      <c r="K26" s="29">
        <f t="shared" si="3"/>
        <v>937500000</v>
      </c>
      <c r="L26" s="43">
        <f t="shared" si="4"/>
        <v>3750000000</v>
      </c>
      <c r="M26" s="37"/>
    </row>
    <row r="27" spans="3:13" x14ac:dyDescent="0.3">
      <c r="C27" s="28"/>
      <c r="D27" s="29"/>
      <c r="E27" s="29">
        <v>13</v>
      </c>
      <c r="F27" s="29">
        <v>16.389795000000007</v>
      </c>
      <c r="G27" s="54">
        <f t="shared" si="5"/>
        <v>3</v>
      </c>
      <c r="H27" s="55">
        <f t="shared" si="0"/>
        <v>0.19389795000000007</v>
      </c>
      <c r="I27" s="29">
        <f t="shared" si="1"/>
        <v>1664617312.5000002</v>
      </c>
      <c r="J27" s="29">
        <f t="shared" si="2"/>
        <v>727117312.50000024</v>
      </c>
      <c r="K27" s="29">
        <f t="shared" si="3"/>
        <v>937500000</v>
      </c>
      <c r="L27" s="43">
        <f t="shared" si="4"/>
        <v>2812500000</v>
      </c>
      <c r="M27" s="37"/>
    </row>
    <row r="28" spans="3:13" x14ac:dyDescent="0.3">
      <c r="C28" s="28"/>
      <c r="D28" s="29"/>
      <c r="E28" s="29">
        <v>14</v>
      </c>
      <c r="F28" s="29">
        <v>16.485650000000007</v>
      </c>
      <c r="G28" s="54">
        <f t="shared" si="5"/>
        <v>3</v>
      </c>
      <c r="H28" s="55">
        <f t="shared" si="0"/>
        <v>0.19485650000000007</v>
      </c>
      <c r="I28" s="29">
        <f t="shared" si="1"/>
        <v>1485533906.2500002</v>
      </c>
      <c r="J28" s="29">
        <f t="shared" si="2"/>
        <v>548033906.25000024</v>
      </c>
      <c r="K28" s="29">
        <f t="shared" si="3"/>
        <v>937500000</v>
      </c>
      <c r="L28" s="43">
        <f t="shared" si="4"/>
        <v>1875000000</v>
      </c>
      <c r="M28" s="37"/>
    </row>
    <row r="29" spans="3:13" x14ac:dyDescent="0.3">
      <c r="C29" s="28"/>
      <c r="D29" s="29"/>
      <c r="E29" s="29">
        <v>15</v>
      </c>
      <c r="F29" s="29">
        <v>16.581505000000007</v>
      </c>
      <c r="G29" s="54">
        <f t="shared" si="5"/>
        <v>3</v>
      </c>
      <c r="H29" s="55">
        <f t="shared" si="0"/>
        <v>0.19581505000000007</v>
      </c>
      <c r="I29" s="29">
        <f t="shared" si="1"/>
        <v>1304653218.75</v>
      </c>
      <c r="J29" s="29">
        <f t="shared" si="2"/>
        <v>367153218.75000012</v>
      </c>
      <c r="K29" s="29">
        <f t="shared" si="3"/>
        <v>937500000</v>
      </c>
      <c r="L29" s="43">
        <f t="shared" si="4"/>
        <v>937500000</v>
      </c>
      <c r="M29" s="37"/>
    </row>
    <row r="30" spans="3:13" x14ac:dyDescent="0.3">
      <c r="C30" s="28"/>
      <c r="D30" s="29"/>
      <c r="E30" s="29">
        <v>16</v>
      </c>
      <c r="F30" s="29">
        <v>16.677360000000007</v>
      </c>
      <c r="G30" s="54">
        <f t="shared" si="5"/>
        <v>3</v>
      </c>
      <c r="H30" s="55">
        <f t="shared" si="0"/>
        <v>0.19677360000000008</v>
      </c>
      <c r="I30" s="29">
        <f t="shared" si="1"/>
        <v>1121975250</v>
      </c>
      <c r="J30" s="29">
        <f t="shared" si="2"/>
        <v>184475250.00000006</v>
      </c>
      <c r="K30" s="29">
        <f t="shared" si="3"/>
        <v>937500000</v>
      </c>
      <c r="L30" s="43">
        <f t="shared" si="4"/>
        <v>0</v>
      </c>
      <c r="M30" s="37"/>
    </row>
    <row r="31" spans="3:13" x14ac:dyDescent="0.3">
      <c r="C31" s="28"/>
      <c r="D31" s="29"/>
      <c r="E31" s="29"/>
      <c r="F31" s="29"/>
      <c r="G31" s="54"/>
      <c r="H31" s="55"/>
      <c r="I31" s="29"/>
      <c r="J31" s="29"/>
      <c r="K31" s="29"/>
      <c r="L31" s="29"/>
      <c r="M31" s="37"/>
    </row>
    <row r="32" spans="3:13" ht="15" thickBot="1" x14ac:dyDescent="0.35">
      <c r="C32" s="28"/>
      <c r="D32" s="29"/>
      <c r="E32" s="29"/>
      <c r="F32" s="29"/>
      <c r="G32" s="54"/>
      <c r="H32" s="55"/>
      <c r="I32" s="29"/>
      <c r="J32" s="29"/>
      <c r="K32" s="29"/>
      <c r="L32" s="29"/>
      <c r="M32" s="37"/>
    </row>
    <row r="33" spans="3:13" ht="15.6" x14ac:dyDescent="0.3">
      <c r="C33" s="28"/>
      <c r="D33" s="29"/>
      <c r="E33" s="56" t="s">
        <v>295</v>
      </c>
      <c r="F33" s="34"/>
      <c r="G33" s="34"/>
      <c r="H33" s="34"/>
      <c r="I33" s="34"/>
      <c r="J33" s="34"/>
      <c r="K33" s="34"/>
      <c r="L33" s="35"/>
      <c r="M33" s="37"/>
    </row>
    <row r="34" spans="3:13" x14ac:dyDescent="0.3">
      <c r="C34" s="28"/>
      <c r="D34" s="29"/>
      <c r="E34" s="29" t="s">
        <v>279</v>
      </c>
      <c r="F34" s="29" t="s">
        <v>290</v>
      </c>
      <c r="G34" s="29" t="s">
        <v>291</v>
      </c>
      <c r="H34" s="29" t="s">
        <v>292</v>
      </c>
      <c r="I34" s="29" t="s">
        <v>293</v>
      </c>
      <c r="J34" s="29" t="s">
        <v>294</v>
      </c>
      <c r="K34" s="29" t="s">
        <v>282</v>
      </c>
      <c r="L34" s="29" t="s">
        <v>283</v>
      </c>
      <c r="M34" s="37"/>
    </row>
    <row r="35" spans="3:13" x14ac:dyDescent="0.3">
      <c r="C35" s="28"/>
      <c r="D35" s="29"/>
      <c r="E35" s="29">
        <v>0</v>
      </c>
      <c r="F35" s="29"/>
      <c r="G35" s="29"/>
      <c r="H35" s="29"/>
      <c r="I35" s="29"/>
      <c r="J35" s="29"/>
      <c r="K35" s="29">
        <f>D5/(D6*2)</f>
        <v>1875000000</v>
      </c>
      <c r="L35" s="43">
        <f>D5</f>
        <v>15000000000</v>
      </c>
      <c r="M35" s="37"/>
    </row>
    <row r="36" spans="3:13" x14ac:dyDescent="0.3">
      <c r="C36" s="28"/>
      <c r="D36" s="29"/>
      <c r="E36" s="29">
        <v>1</v>
      </c>
      <c r="F36" s="29">
        <v>13.496571428571421</v>
      </c>
      <c r="G36" s="29">
        <f>$D$9*100</f>
        <v>3</v>
      </c>
      <c r="H36" s="55">
        <f t="shared" ref="H36:H43" si="6">(F36+G36)%</f>
        <v>0.16496571428571422</v>
      </c>
      <c r="I36" s="29"/>
      <c r="J36" s="29">
        <f t="shared" ref="J36:J43" si="7">IF(L35*H36&lt;0,0,L35*H36)</f>
        <v>2474485714.2857132</v>
      </c>
      <c r="K36" s="29">
        <f t="shared" ref="K36:K43" si="8">IF(L35&lt;=0,0,$K$35)</f>
        <v>1875000000</v>
      </c>
      <c r="L36" s="43">
        <f t="shared" ref="L36:L43" si="9">L35-K36</f>
        <v>13125000000</v>
      </c>
      <c r="M36" s="37"/>
    </row>
    <row r="37" spans="3:13" x14ac:dyDescent="0.3">
      <c r="C37" s="28"/>
      <c r="D37" s="29"/>
      <c r="E37" s="29">
        <v>2</v>
      </c>
      <c r="F37" s="29">
        <v>13.582857142857135</v>
      </c>
      <c r="G37" s="29">
        <f t="shared" ref="G37:G43" si="10">$D$9*100</f>
        <v>3</v>
      </c>
      <c r="H37" s="55">
        <f t="shared" si="6"/>
        <v>0.16582857142857135</v>
      </c>
      <c r="I37" s="29"/>
      <c r="J37" s="29">
        <f t="shared" si="7"/>
        <v>2176499999.999999</v>
      </c>
      <c r="K37" s="29">
        <f t="shared" si="8"/>
        <v>1875000000</v>
      </c>
      <c r="L37" s="43">
        <f t="shared" si="9"/>
        <v>11250000000</v>
      </c>
      <c r="M37" s="37"/>
    </row>
    <row r="38" spans="3:13" x14ac:dyDescent="0.3">
      <c r="C38" s="28"/>
      <c r="D38" s="29"/>
      <c r="E38" s="29">
        <v>3</v>
      </c>
      <c r="F38" s="29">
        <v>13.669142857142848</v>
      </c>
      <c r="G38" s="29">
        <f t="shared" si="10"/>
        <v>3</v>
      </c>
      <c r="H38" s="55">
        <f t="shared" si="6"/>
        <v>0.16669142857142849</v>
      </c>
      <c r="I38" s="29"/>
      <c r="J38" s="29">
        <f t="shared" si="7"/>
        <v>1875278571.4285705</v>
      </c>
      <c r="K38" s="29">
        <f t="shared" si="8"/>
        <v>1875000000</v>
      </c>
      <c r="L38" s="43">
        <f t="shared" si="9"/>
        <v>9375000000</v>
      </c>
      <c r="M38" s="37"/>
    </row>
    <row r="39" spans="3:13" x14ac:dyDescent="0.3">
      <c r="C39" s="28"/>
      <c r="D39" s="29"/>
      <c r="E39" s="29">
        <v>4</v>
      </c>
      <c r="F39" s="29">
        <v>13.755428571428562</v>
      </c>
      <c r="G39" s="29">
        <f t="shared" si="10"/>
        <v>3</v>
      </c>
      <c r="H39" s="55">
        <f t="shared" si="6"/>
        <v>0.1675542857142856</v>
      </c>
      <c r="I39" s="29"/>
      <c r="J39" s="29">
        <f t="shared" si="7"/>
        <v>1570821428.5714276</v>
      </c>
      <c r="K39" s="29">
        <f t="shared" si="8"/>
        <v>1875000000</v>
      </c>
      <c r="L39" s="43">
        <f t="shared" si="9"/>
        <v>7500000000</v>
      </c>
      <c r="M39" s="37"/>
    </row>
    <row r="40" spans="3:13" x14ac:dyDescent="0.3">
      <c r="C40" s="28"/>
      <c r="D40" s="29"/>
      <c r="E40" s="29">
        <v>5</v>
      </c>
      <c r="F40" s="29">
        <v>13.841714285714275</v>
      </c>
      <c r="G40" s="29">
        <f t="shared" si="10"/>
        <v>3</v>
      </c>
      <c r="H40" s="55">
        <f t="shared" si="6"/>
        <v>0.16841714285714274</v>
      </c>
      <c r="I40" s="29"/>
      <c r="J40" s="29">
        <f t="shared" si="7"/>
        <v>1263128571.4285705</v>
      </c>
      <c r="K40" s="29">
        <f t="shared" si="8"/>
        <v>1875000000</v>
      </c>
      <c r="L40" s="43">
        <f t="shared" si="9"/>
        <v>5625000000</v>
      </c>
      <c r="M40" s="37"/>
    </row>
    <row r="41" spans="3:13" x14ac:dyDescent="0.3">
      <c r="C41" s="28"/>
      <c r="D41" s="29"/>
      <c r="E41" s="29">
        <v>6</v>
      </c>
      <c r="F41" s="29">
        <v>13.927999999999988</v>
      </c>
      <c r="G41" s="29">
        <f t="shared" si="10"/>
        <v>3</v>
      </c>
      <c r="H41" s="55">
        <f t="shared" si="6"/>
        <v>0.1692799999999999</v>
      </c>
      <c r="I41" s="29"/>
      <c r="J41" s="29">
        <f t="shared" si="7"/>
        <v>952199999.9999994</v>
      </c>
      <c r="K41" s="29">
        <f t="shared" si="8"/>
        <v>1875000000</v>
      </c>
      <c r="L41" s="43">
        <f t="shared" si="9"/>
        <v>3750000000</v>
      </c>
      <c r="M41" s="37"/>
    </row>
    <row r="42" spans="3:13" x14ac:dyDescent="0.3">
      <c r="C42" s="28"/>
      <c r="D42" s="29"/>
      <c r="E42" s="29">
        <v>7</v>
      </c>
      <c r="F42" s="29">
        <v>14.014285714285702</v>
      </c>
      <c r="G42" s="29">
        <f t="shared" si="10"/>
        <v>3</v>
      </c>
      <c r="H42" s="55">
        <f t="shared" si="6"/>
        <v>0.17014285714285701</v>
      </c>
      <c r="I42" s="29"/>
      <c r="J42" s="29">
        <f t="shared" si="7"/>
        <v>638035714.28571379</v>
      </c>
      <c r="K42" s="29">
        <f t="shared" si="8"/>
        <v>1875000000</v>
      </c>
      <c r="L42" s="43">
        <f t="shared" si="9"/>
        <v>1875000000</v>
      </c>
      <c r="M42" s="37"/>
    </row>
    <row r="43" spans="3:13" x14ac:dyDescent="0.3">
      <c r="C43" s="28"/>
      <c r="D43" s="29"/>
      <c r="E43" s="29">
        <v>8</v>
      </c>
      <c r="F43" s="29">
        <v>14.100571428571415</v>
      </c>
      <c r="G43" s="29">
        <f t="shared" si="10"/>
        <v>3</v>
      </c>
      <c r="H43" s="55">
        <f t="shared" si="6"/>
        <v>0.17100571428571412</v>
      </c>
      <c r="I43" s="29"/>
      <c r="J43" s="29">
        <f t="shared" si="7"/>
        <v>320635714.28571397</v>
      </c>
      <c r="K43" s="29">
        <f t="shared" si="8"/>
        <v>1875000000</v>
      </c>
      <c r="L43" s="43">
        <f t="shared" si="9"/>
        <v>0</v>
      </c>
      <c r="M43" s="37"/>
    </row>
    <row r="44" spans="3:13" x14ac:dyDescent="0.3"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37"/>
    </row>
    <row r="45" spans="3:13" ht="15" thickBot="1" x14ac:dyDescent="0.35">
      <c r="C45" s="28"/>
      <c r="D45" s="29"/>
      <c r="E45" s="29"/>
      <c r="F45" s="29"/>
      <c r="G45" s="29"/>
      <c r="H45" s="29"/>
      <c r="I45" s="29"/>
      <c r="J45" s="29"/>
      <c r="K45" s="29"/>
      <c r="L45" s="29"/>
      <c r="M45" s="37"/>
    </row>
    <row r="46" spans="3:13" x14ac:dyDescent="0.3">
      <c r="C46" s="28"/>
      <c r="D46" s="33"/>
      <c r="E46" s="34"/>
      <c r="F46" s="57" t="s">
        <v>296</v>
      </c>
      <c r="G46" s="57" t="s">
        <v>296</v>
      </c>
      <c r="H46" s="57" t="s">
        <v>296</v>
      </c>
      <c r="I46" s="57" t="s">
        <v>296</v>
      </c>
      <c r="J46" s="58" t="s">
        <v>296</v>
      </c>
      <c r="K46" s="29"/>
      <c r="L46" s="29"/>
      <c r="M46" s="37"/>
    </row>
    <row r="47" spans="3:13" ht="15" thickBot="1" x14ac:dyDescent="0.35">
      <c r="C47" s="28"/>
      <c r="D47" s="28"/>
      <c r="E47" s="29"/>
      <c r="F47" s="59">
        <v>2025</v>
      </c>
      <c r="G47" s="59">
        <v>2026</v>
      </c>
      <c r="H47" s="59">
        <v>2027</v>
      </c>
      <c r="I47" s="59">
        <v>2028</v>
      </c>
      <c r="J47" s="60">
        <v>2029</v>
      </c>
      <c r="K47" s="29"/>
      <c r="L47" s="29"/>
      <c r="M47" s="37"/>
    </row>
    <row r="48" spans="3:13" x14ac:dyDescent="0.3">
      <c r="C48" s="28"/>
      <c r="D48" s="28"/>
      <c r="E48" s="29"/>
      <c r="F48" s="29"/>
      <c r="G48" s="29"/>
      <c r="H48" s="29"/>
      <c r="I48" s="29"/>
      <c r="J48" s="37"/>
      <c r="K48" s="29"/>
      <c r="L48" s="29"/>
      <c r="M48" s="37"/>
    </row>
    <row r="49" spans="3:13" x14ac:dyDescent="0.3">
      <c r="C49" s="28"/>
      <c r="D49" s="61" t="s">
        <v>297</v>
      </c>
      <c r="E49" s="29"/>
      <c r="F49" s="29"/>
      <c r="G49" s="29"/>
      <c r="H49" s="29"/>
      <c r="I49" s="29"/>
      <c r="J49" s="37"/>
      <c r="K49" s="29"/>
      <c r="L49" s="29"/>
      <c r="M49" s="37"/>
    </row>
    <row r="50" spans="3:13" x14ac:dyDescent="0.3">
      <c r="C50" s="28"/>
      <c r="D50" s="28"/>
      <c r="E50" s="29" t="s">
        <v>298</v>
      </c>
      <c r="F50" s="43">
        <f>G7</f>
        <v>600000000</v>
      </c>
      <c r="G50" s="43">
        <f>G8</f>
        <v>458705972.78111863</v>
      </c>
      <c r="H50" s="43">
        <f>G9</f>
        <v>311760184.47348201</v>
      </c>
      <c r="I50" s="43">
        <f>G10</f>
        <v>158936564.63353989</v>
      </c>
      <c r="J50" s="37"/>
      <c r="K50" s="29"/>
      <c r="L50" s="29"/>
      <c r="M50" s="37"/>
    </row>
    <row r="51" spans="3:13" x14ac:dyDescent="0.3">
      <c r="C51" s="28"/>
      <c r="D51" s="28"/>
      <c r="E51" s="29" t="s">
        <v>299</v>
      </c>
      <c r="F51" s="43">
        <f>H7</f>
        <v>3532350680.4720349</v>
      </c>
      <c r="G51" s="43">
        <f>H8</f>
        <v>3673644707.6909161</v>
      </c>
      <c r="H51" s="43">
        <f>H9</f>
        <v>3820590495.9985528</v>
      </c>
      <c r="I51" s="43">
        <f>H10</f>
        <v>3973414115.8384953</v>
      </c>
      <c r="J51" s="37"/>
      <c r="K51" s="29"/>
      <c r="L51" s="29"/>
      <c r="M51" s="37"/>
    </row>
    <row r="52" spans="3:13" x14ac:dyDescent="0.3">
      <c r="C52" s="28"/>
      <c r="D52" s="28"/>
      <c r="E52" s="29" t="s">
        <v>300</v>
      </c>
      <c r="F52" s="43">
        <f>I7</f>
        <v>11467649319.527966</v>
      </c>
      <c r="G52" s="43">
        <f>I8</f>
        <v>7794004611.8370495</v>
      </c>
      <c r="H52" s="43">
        <f>I9</f>
        <v>3973414115.8384967</v>
      </c>
      <c r="I52" s="43">
        <f>I10</f>
        <v>0</v>
      </c>
      <c r="J52" s="37"/>
      <c r="K52" s="29"/>
      <c r="L52" s="29"/>
      <c r="M52" s="37"/>
    </row>
    <row r="53" spans="3:13" x14ac:dyDescent="0.3">
      <c r="C53" s="28"/>
      <c r="D53" s="28"/>
      <c r="E53" s="29"/>
      <c r="F53" s="43"/>
      <c r="G53" s="43"/>
      <c r="H53" s="43"/>
      <c r="I53" s="43"/>
      <c r="J53" s="37"/>
      <c r="K53" s="29"/>
      <c r="L53" s="29"/>
      <c r="M53" s="37"/>
    </row>
    <row r="54" spans="3:13" x14ac:dyDescent="0.3">
      <c r="C54" s="28"/>
      <c r="D54" s="28" t="s">
        <v>301</v>
      </c>
      <c r="E54" s="29" t="s">
        <v>289</v>
      </c>
      <c r="F54" s="43"/>
      <c r="G54" s="43"/>
      <c r="H54" s="43"/>
      <c r="I54" s="43"/>
      <c r="J54" s="37"/>
      <c r="K54" s="29"/>
      <c r="L54" s="29"/>
      <c r="M54" s="37"/>
    </row>
    <row r="55" spans="3:13" x14ac:dyDescent="0.3">
      <c r="C55" s="28"/>
      <c r="D55" s="28"/>
      <c r="E55" s="29" t="s">
        <v>298</v>
      </c>
      <c r="F55" s="43">
        <f>SUM(J15:J18)</f>
        <v>9991435687.5000019</v>
      </c>
      <c r="G55" s="43">
        <f>SUM(J19:J22)</f>
        <v>7384909687.5000019</v>
      </c>
      <c r="H55" s="43">
        <f>SUM(J23:J26)</f>
        <v>4663357687.5000019</v>
      </c>
      <c r="I55" s="43">
        <f>SUM(J27:J30)</f>
        <v>1826779687.5000005</v>
      </c>
      <c r="J55" s="37"/>
      <c r="K55" s="29"/>
      <c r="L55" s="29"/>
      <c r="M55" s="37"/>
    </row>
    <row r="56" spans="3:13" x14ac:dyDescent="0.3">
      <c r="C56" s="28"/>
      <c r="D56" s="28"/>
      <c r="E56" s="29" t="s">
        <v>299</v>
      </c>
      <c r="F56" s="43">
        <f>SUM(K15:K18)</f>
        <v>3750000000</v>
      </c>
      <c r="G56" s="43">
        <f>SUM(K19:K22)</f>
        <v>3750000000</v>
      </c>
      <c r="H56" s="43">
        <f>SUM(K23:K26)</f>
        <v>3750000000</v>
      </c>
      <c r="I56" s="43">
        <f>SUM(K27:K30)</f>
        <v>3750000000</v>
      </c>
      <c r="J56" s="37"/>
      <c r="K56" s="29"/>
      <c r="L56" s="29"/>
      <c r="M56" s="37"/>
    </row>
    <row r="57" spans="3:13" x14ac:dyDescent="0.3">
      <c r="C57" s="28"/>
      <c r="D57" s="28"/>
      <c r="E57" s="29" t="s">
        <v>300</v>
      </c>
      <c r="F57" s="43">
        <f>L18</f>
        <v>11250000000</v>
      </c>
      <c r="G57" s="43">
        <f>L22</f>
        <v>7500000000</v>
      </c>
      <c r="H57" s="43">
        <f>L26</f>
        <v>3750000000</v>
      </c>
      <c r="I57" s="43">
        <f>L30</f>
        <v>0</v>
      </c>
      <c r="J57" s="37"/>
      <c r="K57" s="29"/>
      <c r="L57" s="29"/>
      <c r="M57" s="37"/>
    </row>
    <row r="58" spans="3:13" x14ac:dyDescent="0.3">
      <c r="C58" s="28"/>
      <c r="D58" s="28"/>
      <c r="E58" s="29"/>
      <c r="F58" s="43"/>
      <c r="G58" s="43"/>
      <c r="H58" s="43"/>
      <c r="I58" s="43"/>
      <c r="J58" s="37"/>
      <c r="K58" s="29"/>
      <c r="L58" s="29"/>
      <c r="M58" s="37"/>
    </row>
    <row r="59" spans="3:13" x14ac:dyDescent="0.3">
      <c r="C59" s="28"/>
      <c r="D59" s="28" t="s">
        <v>301</v>
      </c>
      <c r="E59" s="29" t="s">
        <v>295</v>
      </c>
      <c r="F59" s="43"/>
      <c r="G59" s="43"/>
      <c r="H59" s="43"/>
      <c r="I59" s="43"/>
      <c r="J59" s="37"/>
      <c r="K59" s="29"/>
      <c r="L59" s="29"/>
      <c r="M59" s="37"/>
    </row>
    <row r="60" spans="3:13" x14ac:dyDescent="0.3">
      <c r="C60" s="28"/>
      <c r="D60" s="28"/>
      <c r="E60" s="29" t="s">
        <v>298</v>
      </c>
      <c r="F60" s="43">
        <f>J36+J37</f>
        <v>4650985714.2857122</v>
      </c>
      <c r="G60" s="43">
        <f>J38+J39</f>
        <v>3446099999.9999981</v>
      </c>
      <c r="H60" s="43">
        <f>J40+J41</f>
        <v>2215328571.4285698</v>
      </c>
      <c r="I60" s="43">
        <f>J42+J43</f>
        <v>958671428.57142782</v>
      </c>
      <c r="J60" s="37"/>
      <c r="K60" s="29"/>
      <c r="L60" s="29"/>
      <c r="M60" s="37"/>
    </row>
    <row r="61" spans="3:13" x14ac:dyDescent="0.3">
      <c r="C61" s="28"/>
      <c r="D61" s="28"/>
      <c r="E61" s="29" t="s">
        <v>299</v>
      </c>
      <c r="F61" s="43">
        <f>K36+K37</f>
        <v>3750000000</v>
      </c>
      <c r="G61" s="43">
        <f>K38+K39</f>
        <v>3750000000</v>
      </c>
      <c r="H61" s="43">
        <f>+K40+K41</f>
        <v>3750000000</v>
      </c>
      <c r="I61" s="43">
        <f>K42+K43</f>
        <v>3750000000</v>
      </c>
      <c r="J61" s="37"/>
      <c r="K61" s="29"/>
      <c r="L61" s="29"/>
      <c r="M61" s="37"/>
    </row>
    <row r="62" spans="3:13" x14ac:dyDescent="0.3">
      <c r="C62" s="28"/>
      <c r="D62" s="28"/>
      <c r="E62" s="29" t="s">
        <v>300</v>
      </c>
      <c r="F62" s="43">
        <f>L37</f>
        <v>11250000000</v>
      </c>
      <c r="G62" s="43">
        <f>L39</f>
        <v>7500000000</v>
      </c>
      <c r="H62" s="43">
        <f>L41</f>
        <v>3750000000</v>
      </c>
      <c r="I62" s="43">
        <f>L43</f>
        <v>0</v>
      </c>
      <c r="J62" s="37"/>
      <c r="K62" s="29"/>
      <c r="L62" s="29"/>
      <c r="M62" s="37"/>
    </row>
    <row r="63" spans="3:13" ht="15" thickBot="1" x14ac:dyDescent="0.35">
      <c r="C63" s="28"/>
      <c r="D63" s="62"/>
      <c r="E63" s="63"/>
      <c r="F63" s="63"/>
      <c r="G63" s="63"/>
      <c r="H63" s="63"/>
      <c r="I63" s="63"/>
      <c r="J63" s="64"/>
      <c r="K63" s="29"/>
      <c r="L63" s="29"/>
      <c r="M63" s="37"/>
    </row>
    <row r="64" spans="3:13" x14ac:dyDescent="0.3">
      <c r="C64" s="28"/>
      <c r="D64" s="29"/>
      <c r="E64" s="29"/>
      <c r="F64" s="29"/>
      <c r="G64" s="29"/>
      <c r="H64" s="29"/>
      <c r="I64" s="29"/>
      <c r="J64" s="29"/>
      <c r="K64" s="29"/>
      <c r="L64" s="29"/>
      <c r="M64" s="37"/>
    </row>
    <row r="65" spans="3:13" x14ac:dyDescent="0.3">
      <c r="C65" s="28"/>
      <c r="D65" s="29"/>
      <c r="E65" s="29"/>
      <c r="F65" s="29"/>
      <c r="G65" s="29"/>
      <c r="H65" s="29"/>
      <c r="I65" s="29"/>
      <c r="J65" s="29"/>
      <c r="K65" s="29"/>
      <c r="L65" s="29"/>
      <c r="M65" s="37"/>
    </row>
    <row r="66" spans="3:13" ht="15" thickBot="1" x14ac:dyDescent="0.35">
      <c r="C66" s="62"/>
      <c r="D66" s="63"/>
      <c r="E66" s="63"/>
      <c r="F66" s="63"/>
      <c r="G66" s="63"/>
      <c r="H66" s="63"/>
      <c r="I66" s="63"/>
      <c r="J66" s="63"/>
      <c r="K66" s="63"/>
      <c r="L66" s="63"/>
      <c r="M66" s="64"/>
    </row>
    <row r="67" spans="3:13" ht="15" thickBot="1" x14ac:dyDescent="0.35"/>
    <row r="68" spans="3:13" x14ac:dyDescent="0.3"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5"/>
    </row>
    <row r="69" spans="3:13" ht="15.6" x14ac:dyDescent="0.3">
      <c r="C69" s="36" t="s">
        <v>302</v>
      </c>
      <c r="D69" s="29"/>
      <c r="E69" s="29"/>
      <c r="F69" s="29"/>
      <c r="G69" s="29"/>
      <c r="H69" s="29"/>
      <c r="I69" s="29"/>
      <c r="J69" s="29"/>
      <c r="K69" s="29"/>
      <c r="L69" s="29"/>
      <c r="M69" s="37"/>
    </row>
    <row r="70" spans="3:13" ht="15" thickBot="1" x14ac:dyDescent="0.35">
      <c r="C70" s="38" t="s">
        <v>276</v>
      </c>
      <c r="D70" s="38" t="s">
        <v>277</v>
      </c>
      <c r="E70" s="29"/>
      <c r="F70" s="29"/>
      <c r="G70" s="29"/>
      <c r="H70" s="29"/>
      <c r="I70" s="29"/>
      <c r="J70" s="29"/>
      <c r="K70" s="29"/>
      <c r="L70" s="29"/>
      <c r="M70" s="37"/>
    </row>
    <row r="71" spans="3:13" x14ac:dyDescent="0.3">
      <c r="C71" s="39" t="s">
        <v>278</v>
      </c>
      <c r="D71" s="40">
        <v>35000000000</v>
      </c>
      <c r="E71" s="65" t="s">
        <v>279</v>
      </c>
      <c r="F71" s="65" t="s">
        <v>280</v>
      </c>
      <c r="G71" s="65" t="s">
        <v>294</v>
      </c>
      <c r="H71" s="65" t="s">
        <v>282</v>
      </c>
      <c r="I71" s="66" t="s">
        <v>283</v>
      </c>
      <c r="J71" s="29"/>
      <c r="K71" s="29"/>
      <c r="L71" s="29"/>
      <c r="M71" s="37"/>
    </row>
    <row r="72" spans="3:13" x14ac:dyDescent="0.3">
      <c r="C72" s="38" t="s">
        <v>284</v>
      </c>
      <c r="D72" s="38">
        <v>7</v>
      </c>
      <c r="E72" s="29">
        <v>0</v>
      </c>
      <c r="F72" s="43"/>
      <c r="G72" s="43"/>
      <c r="H72" s="43"/>
      <c r="I72" s="67">
        <f>D71</f>
        <v>35000000000</v>
      </c>
      <c r="J72" s="29"/>
      <c r="K72" s="29"/>
      <c r="L72" s="29"/>
      <c r="M72" s="37"/>
    </row>
    <row r="73" spans="3:13" x14ac:dyDescent="0.3">
      <c r="C73" s="38" t="s">
        <v>285</v>
      </c>
      <c r="D73" s="38" t="s">
        <v>286</v>
      </c>
      <c r="E73" s="29">
        <v>1</v>
      </c>
      <c r="F73" s="43">
        <f t="shared" ref="F73:F79" si="11">IF(E73&gt;$D$72,0,-PMT($D$74,$D$72,$I$72))</f>
        <v>6269725632.0653811</v>
      </c>
      <c r="G73" s="68">
        <f t="shared" ref="G73:G79" si="12">I72*$D$74</f>
        <v>2100000000</v>
      </c>
      <c r="H73" s="43">
        <f t="shared" ref="H73:H79" si="13">F73-G73</f>
        <v>4169725632.0653811</v>
      </c>
      <c r="I73" s="67">
        <f t="shared" ref="I73:I79" si="14">I72-H73</f>
        <v>30830274367.93462</v>
      </c>
      <c r="J73" s="29"/>
      <c r="K73" s="29"/>
      <c r="L73" s="29"/>
      <c r="M73" s="37"/>
    </row>
    <row r="74" spans="3:13" x14ac:dyDescent="0.3">
      <c r="C74" s="38" t="s">
        <v>287</v>
      </c>
      <c r="D74" s="69">
        <v>0.06</v>
      </c>
      <c r="E74" s="29">
        <v>2</v>
      </c>
      <c r="F74" s="43">
        <f t="shared" si="11"/>
        <v>6269725632.0653811</v>
      </c>
      <c r="G74" s="68">
        <f t="shared" si="12"/>
        <v>1849816462.0760772</v>
      </c>
      <c r="H74" s="43">
        <f t="shared" si="13"/>
        <v>4419909169.9893036</v>
      </c>
      <c r="I74" s="67">
        <f t="shared" si="14"/>
        <v>26410365197.945316</v>
      </c>
      <c r="J74" s="29"/>
      <c r="K74" s="29"/>
      <c r="L74" s="29"/>
      <c r="M74" s="37"/>
    </row>
    <row r="75" spans="3:13" x14ac:dyDescent="0.3">
      <c r="C75" s="28" t="s">
        <v>303</v>
      </c>
      <c r="D75" s="70">
        <v>3.5000000000000003E-2</v>
      </c>
      <c r="E75" s="28">
        <v>3</v>
      </c>
      <c r="F75" s="43">
        <f t="shared" si="11"/>
        <v>6269725632.0653811</v>
      </c>
      <c r="G75" s="68">
        <f t="shared" si="12"/>
        <v>1584621911.876719</v>
      </c>
      <c r="H75" s="43">
        <f t="shared" si="13"/>
        <v>4685103720.1886616</v>
      </c>
      <c r="I75" s="67">
        <f t="shared" si="14"/>
        <v>21725261477.756653</v>
      </c>
      <c r="J75" s="29"/>
      <c r="K75" s="29"/>
      <c r="L75" s="29"/>
      <c r="M75" s="37"/>
    </row>
    <row r="76" spans="3:13" x14ac:dyDescent="0.3">
      <c r="C76" s="28"/>
      <c r="D76" s="29"/>
      <c r="E76" s="28">
        <v>4</v>
      </c>
      <c r="F76" s="43">
        <f t="shared" si="11"/>
        <v>6269725632.0653811</v>
      </c>
      <c r="G76" s="68">
        <f t="shared" si="12"/>
        <v>1303515688.6653991</v>
      </c>
      <c r="H76" s="43">
        <f t="shared" si="13"/>
        <v>4966209943.3999825</v>
      </c>
      <c r="I76" s="67">
        <f t="shared" si="14"/>
        <v>16759051534.35667</v>
      </c>
      <c r="J76" s="29"/>
      <c r="K76" s="29"/>
      <c r="L76" s="29"/>
      <c r="M76" s="37"/>
    </row>
    <row r="77" spans="3:13" x14ac:dyDescent="0.3">
      <c r="C77" s="28"/>
      <c r="D77" s="29"/>
      <c r="E77" s="28">
        <v>5</v>
      </c>
      <c r="F77" s="43">
        <f t="shared" si="11"/>
        <v>6269725632.0653811</v>
      </c>
      <c r="G77" s="68">
        <f t="shared" si="12"/>
        <v>1005543092.0614002</v>
      </c>
      <c r="H77" s="43">
        <f t="shared" si="13"/>
        <v>5264182540.0039806</v>
      </c>
      <c r="I77" s="67">
        <f t="shared" si="14"/>
        <v>11494868994.35269</v>
      </c>
      <c r="J77" s="29"/>
      <c r="K77" s="29"/>
      <c r="L77" s="29"/>
      <c r="M77" s="37"/>
    </row>
    <row r="78" spans="3:13" x14ac:dyDescent="0.3">
      <c r="C78" s="28"/>
      <c r="D78" s="29"/>
      <c r="E78" s="28">
        <v>6</v>
      </c>
      <c r="F78" s="43">
        <f t="shared" si="11"/>
        <v>6269725632.0653811</v>
      </c>
      <c r="G78" s="68">
        <f t="shared" si="12"/>
        <v>689692139.6611613</v>
      </c>
      <c r="H78" s="43">
        <f t="shared" si="13"/>
        <v>5580033492.4042196</v>
      </c>
      <c r="I78" s="67">
        <f t="shared" si="14"/>
        <v>5914835501.9484701</v>
      </c>
      <c r="J78" s="29"/>
      <c r="K78" s="29"/>
      <c r="L78" s="29"/>
      <c r="M78" s="37"/>
    </row>
    <row r="79" spans="3:13" x14ac:dyDescent="0.3">
      <c r="C79" s="28"/>
      <c r="D79" s="29"/>
      <c r="E79" s="28">
        <v>7</v>
      </c>
      <c r="F79" s="43">
        <f t="shared" si="11"/>
        <v>6269725632.0653811</v>
      </c>
      <c r="G79" s="68">
        <f t="shared" si="12"/>
        <v>354890130.11690819</v>
      </c>
      <c r="H79" s="43">
        <f t="shared" si="13"/>
        <v>5914835501.948473</v>
      </c>
      <c r="I79" s="67">
        <f t="shared" si="14"/>
        <v>0</v>
      </c>
      <c r="J79" s="29"/>
      <c r="K79" s="29"/>
      <c r="L79" s="29"/>
      <c r="M79" s="37"/>
    </row>
    <row r="80" spans="3:13" ht="15" thickBot="1" x14ac:dyDescent="0.35">
      <c r="C80" s="28"/>
      <c r="D80" s="29"/>
      <c r="E80" s="62"/>
      <c r="F80" s="71"/>
      <c r="G80" s="63"/>
      <c r="H80" s="63"/>
      <c r="I80" s="64"/>
      <c r="J80" s="29"/>
      <c r="K80" s="29"/>
      <c r="L80" s="29"/>
      <c r="M80" s="37"/>
    </row>
    <row r="81" spans="3:13" ht="15" thickBot="1" x14ac:dyDescent="0.35">
      <c r="C81" s="28"/>
      <c r="D81" s="29"/>
      <c r="E81" s="29"/>
      <c r="F81" s="72"/>
      <c r="G81" s="29"/>
      <c r="H81" s="29"/>
      <c r="I81" s="29"/>
      <c r="J81" s="29"/>
      <c r="K81" s="29"/>
      <c r="L81" s="29"/>
      <c r="M81" s="37"/>
    </row>
    <row r="82" spans="3:13" ht="17.399999999999999" x14ac:dyDescent="0.45">
      <c r="C82" s="28"/>
      <c r="D82" s="29"/>
      <c r="E82" s="73" t="s">
        <v>289</v>
      </c>
      <c r="F82" s="34"/>
      <c r="G82" s="34"/>
      <c r="H82" s="34"/>
      <c r="I82" s="34"/>
      <c r="J82" s="34"/>
      <c r="K82" s="34"/>
      <c r="L82" s="35"/>
      <c r="M82" s="37"/>
    </row>
    <row r="83" spans="3:13" x14ac:dyDescent="0.3">
      <c r="C83" s="28"/>
      <c r="D83" s="29"/>
      <c r="E83" s="74" t="s">
        <v>279</v>
      </c>
      <c r="F83" s="29" t="s">
        <v>290</v>
      </c>
      <c r="G83" s="29" t="s">
        <v>291</v>
      </c>
      <c r="H83" s="29" t="s">
        <v>292</v>
      </c>
      <c r="I83" s="29" t="s">
        <v>293</v>
      </c>
      <c r="J83" s="29" t="s">
        <v>294</v>
      </c>
      <c r="K83" s="29" t="s">
        <v>282</v>
      </c>
      <c r="L83" s="29" t="s">
        <v>283</v>
      </c>
      <c r="M83" s="37"/>
    </row>
    <row r="84" spans="3:13" x14ac:dyDescent="0.3">
      <c r="C84" s="28"/>
      <c r="D84" s="29"/>
      <c r="E84" s="68">
        <v>0</v>
      </c>
      <c r="F84" s="29"/>
      <c r="G84" s="29"/>
      <c r="H84" s="29"/>
      <c r="I84" s="43"/>
      <c r="J84" s="43"/>
      <c r="K84" s="43">
        <f>D71/(D72*4)</f>
        <v>1250000000</v>
      </c>
      <c r="L84" s="43">
        <f>D71</f>
        <v>35000000000</v>
      </c>
      <c r="M84" s="37"/>
    </row>
    <row r="85" spans="3:13" x14ac:dyDescent="0.3">
      <c r="C85" s="28"/>
      <c r="D85" s="29"/>
      <c r="E85" s="29">
        <v>1</v>
      </c>
      <c r="F85" s="75">
        <v>15.239535000000004</v>
      </c>
      <c r="G85" s="76">
        <f>$D$75*100</f>
        <v>3.5000000000000004</v>
      </c>
      <c r="H85" s="55">
        <f t="shared" ref="H85:H112" si="15">(F85+G85)%</f>
        <v>0.18739535000000004</v>
      </c>
      <c r="I85" s="43">
        <f t="shared" ref="I85:I112" si="16">J85+K85</f>
        <v>7808837250.0000019</v>
      </c>
      <c r="J85" s="43">
        <f t="shared" ref="J85:J112" si="17">IF(L84*H85&lt;0,0,L84*H85)</f>
        <v>6558837250.0000019</v>
      </c>
      <c r="K85" s="43">
        <f t="shared" ref="K85:K112" si="18">IF(L84&lt;=0,0,$K$84)</f>
        <v>1250000000</v>
      </c>
      <c r="L85" s="43">
        <f t="shared" ref="L85:L112" si="19">L84-K85</f>
        <v>33750000000</v>
      </c>
      <c r="M85" s="37"/>
    </row>
    <row r="86" spans="3:13" x14ac:dyDescent="0.3">
      <c r="C86" s="28"/>
      <c r="D86" s="29"/>
      <c r="E86" s="29">
        <v>2</v>
      </c>
      <c r="F86" s="75">
        <v>15.335390000000004</v>
      </c>
      <c r="G86" s="76">
        <f t="shared" ref="G86:G112" si="20">$D$75*100</f>
        <v>3.5000000000000004</v>
      </c>
      <c r="H86" s="55">
        <f t="shared" si="15"/>
        <v>0.18835390000000005</v>
      </c>
      <c r="I86" s="43">
        <f t="shared" si="16"/>
        <v>7606944125.0000019</v>
      </c>
      <c r="J86" s="43">
        <f t="shared" si="17"/>
        <v>6356944125.0000019</v>
      </c>
      <c r="K86" s="43">
        <f t="shared" si="18"/>
        <v>1250000000</v>
      </c>
      <c r="L86" s="43">
        <f t="shared" si="19"/>
        <v>32500000000</v>
      </c>
      <c r="M86" s="37"/>
    </row>
    <row r="87" spans="3:13" x14ac:dyDescent="0.3">
      <c r="C87" s="28"/>
      <c r="D87" s="29"/>
      <c r="E87" s="29">
        <v>3</v>
      </c>
      <c r="F87" s="75">
        <v>15.431245000000004</v>
      </c>
      <c r="G87" s="76">
        <f t="shared" si="20"/>
        <v>3.5000000000000004</v>
      </c>
      <c r="H87" s="55">
        <f t="shared" si="15"/>
        <v>0.18931245000000005</v>
      </c>
      <c r="I87" s="43">
        <f t="shared" si="16"/>
        <v>7402654625.0000019</v>
      </c>
      <c r="J87" s="43">
        <f t="shared" si="17"/>
        <v>6152654625.0000019</v>
      </c>
      <c r="K87" s="43">
        <f t="shared" si="18"/>
        <v>1250000000</v>
      </c>
      <c r="L87" s="43">
        <f t="shared" si="19"/>
        <v>31250000000</v>
      </c>
      <c r="M87" s="37"/>
    </row>
    <row r="88" spans="3:13" x14ac:dyDescent="0.3">
      <c r="C88" s="28"/>
      <c r="D88" s="29"/>
      <c r="E88" s="29">
        <v>4</v>
      </c>
      <c r="F88" s="75">
        <v>15.527100000000004</v>
      </c>
      <c r="G88" s="76">
        <f t="shared" si="20"/>
        <v>3.5000000000000004</v>
      </c>
      <c r="H88" s="55">
        <f t="shared" si="15"/>
        <v>0.19027100000000005</v>
      </c>
      <c r="I88" s="43">
        <f t="shared" si="16"/>
        <v>7195968750.0000019</v>
      </c>
      <c r="J88" s="43">
        <f t="shared" si="17"/>
        <v>5945968750.0000019</v>
      </c>
      <c r="K88" s="43">
        <f t="shared" si="18"/>
        <v>1250000000</v>
      </c>
      <c r="L88" s="43">
        <f t="shared" si="19"/>
        <v>30000000000</v>
      </c>
      <c r="M88" s="37"/>
    </row>
    <row r="89" spans="3:13" x14ac:dyDescent="0.3">
      <c r="C89" s="28"/>
      <c r="D89" s="29"/>
      <c r="E89" s="29">
        <v>5</v>
      </c>
      <c r="F89" s="75">
        <v>15.622955000000005</v>
      </c>
      <c r="G89" s="76">
        <f t="shared" si="20"/>
        <v>3.5000000000000004</v>
      </c>
      <c r="H89" s="55">
        <f t="shared" si="15"/>
        <v>0.19122955000000005</v>
      </c>
      <c r="I89" s="43">
        <f t="shared" si="16"/>
        <v>6986886500.0000019</v>
      </c>
      <c r="J89" s="43">
        <f t="shared" si="17"/>
        <v>5736886500.0000019</v>
      </c>
      <c r="K89" s="43">
        <f t="shared" si="18"/>
        <v>1250000000</v>
      </c>
      <c r="L89" s="43">
        <f t="shared" si="19"/>
        <v>28750000000</v>
      </c>
      <c r="M89" s="37"/>
    </row>
    <row r="90" spans="3:13" x14ac:dyDescent="0.3">
      <c r="C90" s="28"/>
      <c r="D90" s="29"/>
      <c r="E90" s="29">
        <v>6</v>
      </c>
      <c r="F90" s="75">
        <v>15.718810000000005</v>
      </c>
      <c r="G90" s="76">
        <f t="shared" si="20"/>
        <v>3.5000000000000004</v>
      </c>
      <c r="H90" s="55">
        <f t="shared" si="15"/>
        <v>0.19218810000000006</v>
      </c>
      <c r="I90" s="43">
        <f t="shared" si="16"/>
        <v>6775407875.0000019</v>
      </c>
      <c r="J90" s="43">
        <f t="shared" si="17"/>
        <v>5525407875.0000019</v>
      </c>
      <c r="K90" s="43">
        <f t="shared" si="18"/>
        <v>1250000000</v>
      </c>
      <c r="L90" s="43">
        <f t="shared" si="19"/>
        <v>27500000000</v>
      </c>
      <c r="M90" s="37"/>
    </row>
    <row r="91" spans="3:13" x14ac:dyDescent="0.3">
      <c r="C91" s="28"/>
      <c r="D91" s="29"/>
      <c r="E91" s="29">
        <v>7</v>
      </c>
      <c r="F91" s="75">
        <v>15.814665000000005</v>
      </c>
      <c r="G91" s="76">
        <f t="shared" si="20"/>
        <v>3.5000000000000004</v>
      </c>
      <c r="H91" s="55">
        <f t="shared" si="15"/>
        <v>0.19314665000000006</v>
      </c>
      <c r="I91" s="43">
        <f t="shared" si="16"/>
        <v>6561532875.0000019</v>
      </c>
      <c r="J91" s="43">
        <f t="shared" si="17"/>
        <v>5311532875.0000019</v>
      </c>
      <c r="K91" s="43">
        <f t="shared" si="18"/>
        <v>1250000000</v>
      </c>
      <c r="L91" s="43">
        <f t="shared" si="19"/>
        <v>26250000000</v>
      </c>
      <c r="M91" s="37"/>
    </row>
    <row r="92" spans="3:13" x14ac:dyDescent="0.3">
      <c r="C92" s="28"/>
      <c r="D92" s="29"/>
      <c r="E92" s="29">
        <v>8</v>
      </c>
      <c r="F92" s="75">
        <v>15.910520000000005</v>
      </c>
      <c r="G92" s="76">
        <f t="shared" si="20"/>
        <v>3.5000000000000004</v>
      </c>
      <c r="H92" s="55">
        <f t="shared" si="15"/>
        <v>0.19410520000000006</v>
      </c>
      <c r="I92" s="43">
        <f t="shared" si="16"/>
        <v>6345261500.0000019</v>
      </c>
      <c r="J92" s="43">
        <f t="shared" si="17"/>
        <v>5095261500.0000019</v>
      </c>
      <c r="K92" s="43">
        <f t="shared" si="18"/>
        <v>1250000000</v>
      </c>
      <c r="L92" s="43">
        <f t="shared" si="19"/>
        <v>25000000000</v>
      </c>
      <c r="M92" s="37"/>
    </row>
    <row r="93" spans="3:13" x14ac:dyDescent="0.3">
      <c r="C93" s="28"/>
      <c r="D93" s="29"/>
      <c r="E93" s="29">
        <v>9</v>
      </c>
      <c r="F93" s="75">
        <v>16.006375000000006</v>
      </c>
      <c r="G93" s="76">
        <f t="shared" si="20"/>
        <v>3.5000000000000004</v>
      </c>
      <c r="H93" s="55">
        <f t="shared" si="15"/>
        <v>0.19506375000000006</v>
      </c>
      <c r="I93" s="43">
        <f t="shared" si="16"/>
        <v>6126593750.0000019</v>
      </c>
      <c r="J93" s="43">
        <f t="shared" si="17"/>
        <v>4876593750.0000019</v>
      </c>
      <c r="K93" s="43">
        <f t="shared" si="18"/>
        <v>1250000000</v>
      </c>
      <c r="L93" s="43">
        <f t="shared" si="19"/>
        <v>23750000000</v>
      </c>
      <c r="M93" s="37"/>
    </row>
    <row r="94" spans="3:13" x14ac:dyDescent="0.3">
      <c r="C94" s="28"/>
      <c r="D94" s="29"/>
      <c r="E94" s="29">
        <v>10</v>
      </c>
      <c r="F94" s="75">
        <v>16.102230000000006</v>
      </c>
      <c r="G94" s="76">
        <f t="shared" si="20"/>
        <v>3.5000000000000004</v>
      </c>
      <c r="H94" s="55">
        <f t="shared" si="15"/>
        <v>0.19602230000000007</v>
      </c>
      <c r="I94" s="43">
        <f t="shared" si="16"/>
        <v>5905529625.0000019</v>
      </c>
      <c r="J94" s="43">
        <f t="shared" si="17"/>
        <v>4655529625.0000019</v>
      </c>
      <c r="K94" s="43">
        <f t="shared" si="18"/>
        <v>1250000000</v>
      </c>
      <c r="L94" s="43">
        <f t="shared" si="19"/>
        <v>22500000000</v>
      </c>
      <c r="M94" s="37"/>
    </row>
    <row r="95" spans="3:13" x14ac:dyDescent="0.3">
      <c r="C95" s="28"/>
      <c r="D95" s="29"/>
      <c r="E95" s="29">
        <v>11</v>
      </c>
      <c r="F95" s="75">
        <v>16.198085000000006</v>
      </c>
      <c r="G95" s="76">
        <f t="shared" si="20"/>
        <v>3.5000000000000004</v>
      </c>
      <c r="H95" s="55">
        <f t="shared" si="15"/>
        <v>0.19698085000000007</v>
      </c>
      <c r="I95" s="43">
        <f t="shared" si="16"/>
        <v>5682069125.0000019</v>
      </c>
      <c r="J95" s="43">
        <f t="shared" si="17"/>
        <v>4432069125.0000019</v>
      </c>
      <c r="K95" s="43">
        <f t="shared" si="18"/>
        <v>1250000000</v>
      </c>
      <c r="L95" s="43">
        <f t="shared" si="19"/>
        <v>21250000000</v>
      </c>
      <c r="M95" s="37"/>
    </row>
    <row r="96" spans="3:13" x14ac:dyDescent="0.3">
      <c r="C96" s="28"/>
      <c r="D96" s="29"/>
      <c r="E96" s="29">
        <v>12</v>
      </c>
      <c r="F96" s="75">
        <v>16.293940000000006</v>
      </c>
      <c r="G96" s="76">
        <f t="shared" si="20"/>
        <v>3.5000000000000004</v>
      </c>
      <c r="H96" s="55">
        <f t="shared" si="15"/>
        <v>0.19793940000000007</v>
      </c>
      <c r="I96" s="43">
        <f t="shared" si="16"/>
        <v>5456212250.0000019</v>
      </c>
      <c r="J96" s="43">
        <f t="shared" si="17"/>
        <v>4206212250.0000014</v>
      </c>
      <c r="K96" s="43">
        <f t="shared" si="18"/>
        <v>1250000000</v>
      </c>
      <c r="L96" s="43">
        <f t="shared" si="19"/>
        <v>20000000000</v>
      </c>
      <c r="M96" s="37"/>
    </row>
    <row r="97" spans="3:13" x14ac:dyDescent="0.3">
      <c r="C97" s="28"/>
      <c r="D97" s="29"/>
      <c r="E97" s="29">
        <v>13</v>
      </c>
      <c r="F97" s="75">
        <v>16.389795000000007</v>
      </c>
      <c r="G97" s="76">
        <f t="shared" si="20"/>
        <v>3.5000000000000004</v>
      </c>
      <c r="H97" s="55">
        <f t="shared" si="15"/>
        <v>0.19889795000000007</v>
      </c>
      <c r="I97" s="43">
        <f t="shared" si="16"/>
        <v>5227959000.0000019</v>
      </c>
      <c r="J97" s="43">
        <f t="shared" si="17"/>
        <v>3977959000.0000014</v>
      </c>
      <c r="K97" s="43">
        <f t="shared" si="18"/>
        <v>1250000000</v>
      </c>
      <c r="L97" s="43">
        <f t="shared" si="19"/>
        <v>18750000000</v>
      </c>
      <c r="M97" s="37"/>
    </row>
    <row r="98" spans="3:13" x14ac:dyDescent="0.3">
      <c r="C98" s="28"/>
      <c r="D98" s="29"/>
      <c r="E98" s="29">
        <v>14</v>
      </c>
      <c r="F98" s="75">
        <v>16.485650000000007</v>
      </c>
      <c r="G98" s="76">
        <f t="shared" si="20"/>
        <v>3.5000000000000004</v>
      </c>
      <c r="H98" s="55">
        <f t="shared" si="15"/>
        <v>0.19985650000000008</v>
      </c>
      <c r="I98" s="43">
        <f t="shared" si="16"/>
        <v>4997309375.0000019</v>
      </c>
      <c r="J98" s="43">
        <f t="shared" si="17"/>
        <v>3747309375.0000014</v>
      </c>
      <c r="K98" s="43">
        <f t="shared" si="18"/>
        <v>1250000000</v>
      </c>
      <c r="L98" s="43">
        <f t="shared" si="19"/>
        <v>17500000000</v>
      </c>
      <c r="M98" s="37"/>
    </row>
    <row r="99" spans="3:13" x14ac:dyDescent="0.3">
      <c r="C99" s="28"/>
      <c r="D99" s="29"/>
      <c r="E99" s="29">
        <v>15</v>
      </c>
      <c r="F99" s="75">
        <v>16.581505000000007</v>
      </c>
      <c r="G99" s="76">
        <f t="shared" si="20"/>
        <v>3.5000000000000004</v>
      </c>
      <c r="H99" s="55">
        <f t="shared" si="15"/>
        <v>0.20081505000000008</v>
      </c>
      <c r="I99" s="43">
        <f t="shared" si="16"/>
        <v>4764263375.0000019</v>
      </c>
      <c r="J99" s="43">
        <f t="shared" si="17"/>
        <v>3514263375.0000014</v>
      </c>
      <c r="K99" s="43">
        <f t="shared" si="18"/>
        <v>1250000000</v>
      </c>
      <c r="L99" s="43">
        <f t="shared" si="19"/>
        <v>16250000000</v>
      </c>
      <c r="M99" s="37"/>
    </row>
    <row r="100" spans="3:13" x14ac:dyDescent="0.3">
      <c r="C100" s="28"/>
      <c r="D100" s="29"/>
      <c r="E100" s="29">
        <v>16</v>
      </c>
      <c r="F100" s="75">
        <v>16.677360000000007</v>
      </c>
      <c r="G100" s="76">
        <f t="shared" si="20"/>
        <v>3.5000000000000004</v>
      </c>
      <c r="H100" s="55">
        <f t="shared" si="15"/>
        <v>0.20177360000000008</v>
      </c>
      <c r="I100" s="43">
        <f t="shared" si="16"/>
        <v>4528821000.0000019</v>
      </c>
      <c r="J100" s="43">
        <f t="shared" si="17"/>
        <v>3278821000.0000014</v>
      </c>
      <c r="K100" s="43">
        <f t="shared" si="18"/>
        <v>1250000000</v>
      </c>
      <c r="L100" s="43">
        <f t="shared" si="19"/>
        <v>15000000000</v>
      </c>
      <c r="M100" s="37"/>
    </row>
    <row r="101" spans="3:13" x14ac:dyDescent="0.3">
      <c r="C101" s="28"/>
      <c r="D101" s="29"/>
      <c r="E101" s="29">
        <v>17</v>
      </c>
      <c r="F101" s="75">
        <v>16.773215000000008</v>
      </c>
      <c r="G101" s="76">
        <f t="shared" si="20"/>
        <v>3.5000000000000004</v>
      </c>
      <c r="H101" s="55">
        <f t="shared" si="15"/>
        <v>0.20273215000000008</v>
      </c>
      <c r="I101" s="43">
        <f t="shared" si="16"/>
        <v>4290982250.0000014</v>
      </c>
      <c r="J101" s="43">
        <f t="shared" si="17"/>
        <v>3040982250.0000014</v>
      </c>
      <c r="K101" s="43">
        <f t="shared" si="18"/>
        <v>1250000000</v>
      </c>
      <c r="L101" s="43">
        <f t="shared" si="19"/>
        <v>13750000000</v>
      </c>
      <c r="M101" s="37"/>
    </row>
    <row r="102" spans="3:13" x14ac:dyDescent="0.3">
      <c r="C102" s="28"/>
      <c r="D102" s="29"/>
      <c r="E102" s="29">
        <v>18</v>
      </c>
      <c r="F102" s="75">
        <v>16.869070000000008</v>
      </c>
      <c r="G102" s="76">
        <f t="shared" si="20"/>
        <v>3.5000000000000004</v>
      </c>
      <c r="H102" s="55">
        <f t="shared" si="15"/>
        <v>0.20369070000000009</v>
      </c>
      <c r="I102" s="43">
        <f t="shared" si="16"/>
        <v>4050747125.000001</v>
      </c>
      <c r="J102" s="43">
        <f t="shared" si="17"/>
        <v>2800747125.000001</v>
      </c>
      <c r="K102" s="43">
        <f t="shared" si="18"/>
        <v>1250000000</v>
      </c>
      <c r="L102" s="43">
        <f t="shared" si="19"/>
        <v>12500000000</v>
      </c>
      <c r="M102" s="37"/>
    </row>
    <row r="103" spans="3:13" x14ac:dyDescent="0.3">
      <c r="C103" s="28"/>
      <c r="D103" s="29"/>
      <c r="E103" s="29">
        <v>19</v>
      </c>
      <c r="F103" s="75">
        <v>16.964925000000008</v>
      </c>
      <c r="G103" s="76">
        <f t="shared" si="20"/>
        <v>3.5000000000000004</v>
      </c>
      <c r="H103" s="55">
        <f t="shared" si="15"/>
        <v>0.20464925000000009</v>
      </c>
      <c r="I103" s="43">
        <f t="shared" si="16"/>
        <v>3808115625.000001</v>
      </c>
      <c r="J103" s="43">
        <f t="shared" si="17"/>
        <v>2558115625.000001</v>
      </c>
      <c r="K103" s="43">
        <f t="shared" si="18"/>
        <v>1250000000</v>
      </c>
      <c r="L103" s="43">
        <f t="shared" si="19"/>
        <v>11250000000</v>
      </c>
      <c r="M103" s="37"/>
    </row>
    <row r="104" spans="3:13" x14ac:dyDescent="0.3">
      <c r="C104" s="28"/>
      <c r="D104" s="29"/>
      <c r="E104" s="29">
        <v>20</v>
      </c>
      <c r="F104" s="75">
        <v>17.060780000000008</v>
      </c>
      <c r="G104" s="76">
        <f t="shared" si="20"/>
        <v>3.5000000000000004</v>
      </c>
      <c r="H104" s="55">
        <f t="shared" si="15"/>
        <v>0.20560780000000009</v>
      </c>
      <c r="I104" s="43">
        <f t="shared" si="16"/>
        <v>3563087750.000001</v>
      </c>
      <c r="J104" s="43">
        <f t="shared" si="17"/>
        <v>2313087750.000001</v>
      </c>
      <c r="K104" s="43">
        <f t="shared" si="18"/>
        <v>1250000000</v>
      </c>
      <c r="L104" s="43">
        <f t="shared" si="19"/>
        <v>10000000000</v>
      </c>
      <c r="M104" s="37"/>
    </row>
    <row r="105" spans="3:13" x14ac:dyDescent="0.3">
      <c r="C105" s="28"/>
      <c r="D105" s="29"/>
      <c r="E105" s="29">
        <v>21</v>
      </c>
      <c r="F105" s="75">
        <v>17.156635000000009</v>
      </c>
      <c r="G105" s="76">
        <f t="shared" si="20"/>
        <v>3.5000000000000004</v>
      </c>
      <c r="H105" s="55">
        <f t="shared" si="15"/>
        <v>0.20656635000000009</v>
      </c>
      <c r="I105" s="43">
        <f t="shared" si="16"/>
        <v>3315663500.000001</v>
      </c>
      <c r="J105" s="43">
        <f t="shared" si="17"/>
        <v>2065663500.000001</v>
      </c>
      <c r="K105" s="43">
        <f t="shared" si="18"/>
        <v>1250000000</v>
      </c>
      <c r="L105" s="43">
        <f t="shared" si="19"/>
        <v>8750000000</v>
      </c>
      <c r="M105" s="37"/>
    </row>
    <row r="106" spans="3:13" x14ac:dyDescent="0.3">
      <c r="C106" s="28"/>
      <c r="D106" s="29"/>
      <c r="E106" s="29">
        <v>22</v>
      </c>
      <c r="F106" s="75">
        <v>17.252490000000009</v>
      </c>
      <c r="G106" s="76">
        <f t="shared" si="20"/>
        <v>3.5000000000000004</v>
      </c>
      <c r="H106" s="55">
        <f t="shared" si="15"/>
        <v>0.2075249000000001</v>
      </c>
      <c r="I106" s="43">
        <f t="shared" si="16"/>
        <v>3065842875.000001</v>
      </c>
      <c r="J106" s="43">
        <f t="shared" si="17"/>
        <v>1815842875.000001</v>
      </c>
      <c r="K106" s="43">
        <f t="shared" si="18"/>
        <v>1250000000</v>
      </c>
      <c r="L106" s="43">
        <f t="shared" si="19"/>
        <v>7500000000</v>
      </c>
      <c r="M106" s="37"/>
    </row>
    <row r="107" spans="3:13" x14ac:dyDescent="0.3">
      <c r="C107" s="28"/>
      <c r="D107" s="29"/>
      <c r="E107" s="29">
        <v>23</v>
      </c>
      <c r="F107" s="75">
        <v>17.348345000000009</v>
      </c>
      <c r="G107" s="76">
        <f t="shared" si="20"/>
        <v>3.5000000000000004</v>
      </c>
      <c r="H107" s="55">
        <f t="shared" si="15"/>
        <v>0.2084834500000001</v>
      </c>
      <c r="I107" s="43">
        <f t="shared" si="16"/>
        <v>2813625875.000001</v>
      </c>
      <c r="J107" s="43">
        <f t="shared" si="17"/>
        <v>1563625875.0000007</v>
      </c>
      <c r="K107" s="43">
        <f t="shared" si="18"/>
        <v>1250000000</v>
      </c>
      <c r="L107" s="43">
        <f t="shared" si="19"/>
        <v>6250000000</v>
      </c>
      <c r="M107" s="37"/>
    </row>
    <row r="108" spans="3:13" x14ac:dyDescent="0.3">
      <c r="C108" s="28"/>
      <c r="D108" s="29"/>
      <c r="E108" s="29">
        <v>24</v>
      </c>
      <c r="F108" s="75">
        <v>17.444200000000009</v>
      </c>
      <c r="G108" s="76">
        <f t="shared" si="20"/>
        <v>3.5000000000000004</v>
      </c>
      <c r="H108" s="55">
        <f t="shared" si="15"/>
        <v>0.2094420000000001</v>
      </c>
      <c r="I108" s="43">
        <f t="shared" si="16"/>
        <v>2559012500.000001</v>
      </c>
      <c r="J108" s="43">
        <f t="shared" si="17"/>
        <v>1309012500.0000007</v>
      </c>
      <c r="K108" s="43">
        <f t="shared" si="18"/>
        <v>1250000000</v>
      </c>
      <c r="L108" s="43">
        <f t="shared" si="19"/>
        <v>5000000000</v>
      </c>
      <c r="M108" s="37"/>
    </row>
    <row r="109" spans="3:13" x14ac:dyDescent="0.3">
      <c r="C109" s="28"/>
      <c r="D109" s="29"/>
      <c r="E109" s="29">
        <v>25</v>
      </c>
      <c r="F109" s="75">
        <v>17.540055000000009</v>
      </c>
      <c r="G109" s="76">
        <f t="shared" si="20"/>
        <v>3.5000000000000004</v>
      </c>
      <c r="H109" s="55">
        <f t="shared" si="15"/>
        <v>0.2104005500000001</v>
      </c>
      <c r="I109" s="43">
        <f t="shared" si="16"/>
        <v>2302002750.0000005</v>
      </c>
      <c r="J109" s="43">
        <f t="shared" si="17"/>
        <v>1052002750.0000005</v>
      </c>
      <c r="K109" s="43">
        <f t="shared" si="18"/>
        <v>1250000000</v>
      </c>
      <c r="L109" s="43">
        <f t="shared" si="19"/>
        <v>3750000000</v>
      </c>
      <c r="M109" s="37"/>
    </row>
    <row r="110" spans="3:13" x14ac:dyDescent="0.3">
      <c r="C110" s="28"/>
      <c r="D110" s="29"/>
      <c r="E110" s="29">
        <v>26</v>
      </c>
      <c r="F110" s="75">
        <v>17.63591000000001</v>
      </c>
      <c r="G110" s="76">
        <f t="shared" si="20"/>
        <v>3.5000000000000004</v>
      </c>
      <c r="H110" s="55">
        <f t="shared" si="15"/>
        <v>0.21135910000000011</v>
      </c>
      <c r="I110" s="43">
        <f t="shared" si="16"/>
        <v>2042596625.0000005</v>
      </c>
      <c r="J110" s="43">
        <f t="shared" si="17"/>
        <v>792596625.00000036</v>
      </c>
      <c r="K110" s="43">
        <f t="shared" si="18"/>
        <v>1250000000</v>
      </c>
      <c r="L110" s="43">
        <f t="shared" si="19"/>
        <v>2500000000</v>
      </c>
      <c r="M110" s="37"/>
    </row>
    <row r="111" spans="3:13" x14ac:dyDescent="0.3">
      <c r="C111" s="28"/>
      <c r="D111" s="29"/>
      <c r="E111" s="29">
        <v>27</v>
      </c>
      <c r="F111" s="75">
        <v>17.73176500000001</v>
      </c>
      <c r="G111" s="76">
        <f t="shared" si="20"/>
        <v>3.5000000000000004</v>
      </c>
      <c r="H111" s="55">
        <f t="shared" si="15"/>
        <v>0.21231765000000011</v>
      </c>
      <c r="I111" s="43">
        <f t="shared" si="16"/>
        <v>1780794125.0000002</v>
      </c>
      <c r="J111" s="43">
        <f t="shared" si="17"/>
        <v>530794125.0000003</v>
      </c>
      <c r="K111" s="43">
        <f t="shared" si="18"/>
        <v>1250000000</v>
      </c>
      <c r="L111" s="43">
        <f t="shared" si="19"/>
        <v>1250000000</v>
      </c>
      <c r="M111" s="37"/>
    </row>
    <row r="112" spans="3:13" x14ac:dyDescent="0.3">
      <c r="C112" s="28"/>
      <c r="D112" s="29"/>
      <c r="E112" s="29">
        <v>28</v>
      </c>
      <c r="F112" s="75">
        <v>17.82762000000001</v>
      </c>
      <c r="G112" s="76">
        <f t="shared" si="20"/>
        <v>3.5000000000000004</v>
      </c>
      <c r="H112" s="55">
        <f t="shared" si="15"/>
        <v>0.21327620000000011</v>
      </c>
      <c r="I112" s="43">
        <f t="shared" si="16"/>
        <v>1516595250.0000002</v>
      </c>
      <c r="J112" s="43">
        <f t="shared" si="17"/>
        <v>266595250.00000015</v>
      </c>
      <c r="K112" s="43">
        <f t="shared" si="18"/>
        <v>1250000000</v>
      </c>
      <c r="L112" s="43">
        <f t="shared" si="19"/>
        <v>0</v>
      </c>
      <c r="M112" s="37"/>
    </row>
    <row r="113" spans="3:13" ht="15" thickBot="1" x14ac:dyDescent="0.35">
      <c r="C113" s="28"/>
      <c r="D113" s="29"/>
      <c r="E113" s="29"/>
      <c r="F113" s="29"/>
      <c r="G113" s="29"/>
      <c r="H113" s="29"/>
      <c r="I113" s="29"/>
      <c r="J113" s="29"/>
      <c r="K113" s="29"/>
      <c r="L113" s="29"/>
      <c r="M113" s="37"/>
    </row>
    <row r="114" spans="3:13" ht="15.6" x14ac:dyDescent="0.3">
      <c r="C114" s="28"/>
      <c r="D114" s="29"/>
      <c r="E114" s="77" t="s">
        <v>295</v>
      </c>
      <c r="F114" s="34"/>
      <c r="G114" s="34"/>
      <c r="H114" s="34"/>
      <c r="I114" s="34"/>
      <c r="J114" s="34"/>
      <c r="K114" s="34"/>
      <c r="L114" s="35"/>
      <c r="M114" s="37"/>
    </row>
    <row r="115" spans="3:13" x14ac:dyDescent="0.3">
      <c r="C115" s="28"/>
      <c r="D115" s="29"/>
      <c r="E115" s="29" t="s">
        <v>279</v>
      </c>
      <c r="F115" s="29" t="s">
        <v>290</v>
      </c>
      <c r="G115" s="29" t="s">
        <v>291</v>
      </c>
      <c r="H115" s="29" t="s">
        <v>292</v>
      </c>
      <c r="I115" s="29" t="s">
        <v>293</v>
      </c>
      <c r="J115" s="29" t="s">
        <v>294</v>
      </c>
      <c r="K115" s="29" t="s">
        <v>282</v>
      </c>
      <c r="L115" s="29" t="s">
        <v>283</v>
      </c>
      <c r="M115" s="37"/>
    </row>
    <row r="116" spans="3:13" x14ac:dyDescent="0.3">
      <c r="C116" s="28"/>
      <c r="D116" s="29"/>
      <c r="E116" s="29">
        <v>0</v>
      </c>
      <c r="F116" s="29"/>
      <c r="G116" s="29"/>
      <c r="H116" s="29"/>
      <c r="I116" s="29"/>
      <c r="J116" s="29"/>
      <c r="K116" s="29">
        <f>D71/(D72*2)</f>
        <v>2500000000</v>
      </c>
      <c r="L116" s="43">
        <f>D71</f>
        <v>35000000000</v>
      </c>
      <c r="M116" s="37"/>
    </row>
    <row r="117" spans="3:13" x14ac:dyDescent="0.3">
      <c r="C117" s="28"/>
      <c r="D117" s="29"/>
      <c r="E117" s="29">
        <v>1</v>
      </c>
      <c r="F117" s="29">
        <v>13.496571428571421</v>
      </c>
      <c r="G117" s="78">
        <f t="shared" ref="G117:G130" si="21">$D$75*100</f>
        <v>3.5000000000000004</v>
      </c>
      <c r="H117" s="55">
        <f t="shared" ref="H117:H130" si="22">(F117+G117)%</f>
        <v>0.16996571428571422</v>
      </c>
      <c r="I117" s="29"/>
      <c r="J117" s="29">
        <f t="shared" ref="J117:J130" si="23">IF(L116*H117&lt;0,0,L116*H117)</f>
        <v>5948799999.9999981</v>
      </c>
      <c r="K117" s="29">
        <f t="shared" ref="K117:K130" si="24">IF(L116&lt;=0,0,$K$116)</f>
        <v>2500000000</v>
      </c>
      <c r="L117" s="43">
        <f t="shared" ref="L117:L130" si="25">L116-K117</f>
        <v>32500000000</v>
      </c>
      <c r="M117" s="37"/>
    </row>
    <row r="118" spans="3:13" x14ac:dyDescent="0.3">
      <c r="C118" s="28"/>
      <c r="D118" s="29"/>
      <c r="E118" s="29">
        <v>2</v>
      </c>
      <c r="F118" s="29">
        <v>13.582857142857135</v>
      </c>
      <c r="G118" s="78">
        <f t="shared" si="21"/>
        <v>3.5000000000000004</v>
      </c>
      <c r="H118" s="55">
        <f t="shared" si="22"/>
        <v>0.17082857142857136</v>
      </c>
      <c r="I118" s="29"/>
      <c r="J118" s="29">
        <f t="shared" si="23"/>
        <v>5551928571.4285688</v>
      </c>
      <c r="K118" s="29">
        <f t="shared" si="24"/>
        <v>2500000000</v>
      </c>
      <c r="L118" s="43">
        <f t="shared" si="25"/>
        <v>30000000000</v>
      </c>
      <c r="M118" s="37"/>
    </row>
    <row r="119" spans="3:13" x14ac:dyDescent="0.3">
      <c r="C119" s="28"/>
      <c r="D119" s="29"/>
      <c r="E119" s="29">
        <v>3</v>
      </c>
      <c r="F119" s="29">
        <v>13.669142857142848</v>
      </c>
      <c r="G119" s="78">
        <f t="shared" si="21"/>
        <v>3.5000000000000004</v>
      </c>
      <c r="H119" s="55">
        <f t="shared" si="22"/>
        <v>0.17169142857142849</v>
      </c>
      <c r="I119" s="29"/>
      <c r="J119" s="29">
        <f t="shared" si="23"/>
        <v>5150742857.1428547</v>
      </c>
      <c r="K119" s="29">
        <f t="shared" si="24"/>
        <v>2500000000</v>
      </c>
      <c r="L119" s="43">
        <f t="shared" si="25"/>
        <v>27500000000</v>
      </c>
      <c r="M119" s="37"/>
    </row>
    <row r="120" spans="3:13" x14ac:dyDescent="0.3">
      <c r="C120" s="28"/>
      <c r="D120" s="29"/>
      <c r="E120" s="29">
        <v>4</v>
      </c>
      <c r="F120" s="29">
        <v>13.755428571428562</v>
      </c>
      <c r="G120" s="78">
        <f t="shared" si="21"/>
        <v>3.5000000000000004</v>
      </c>
      <c r="H120" s="55">
        <f t="shared" si="22"/>
        <v>0.17255428571428563</v>
      </c>
      <c r="I120" s="29"/>
      <c r="J120" s="29">
        <f t="shared" si="23"/>
        <v>4745242857.1428547</v>
      </c>
      <c r="K120" s="29">
        <f t="shared" si="24"/>
        <v>2500000000</v>
      </c>
      <c r="L120" s="43">
        <f t="shared" si="25"/>
        <v>25000000000</v>
      </c>
      <c r="M120" s="37"/>
    </row>
    <row r="121" spans="3:13" x14ac:dyDescent="0.3">
      <c r="C121" s="28"/>
      <c r="D121" s="29"/>
      <c r="E121" s="29">
        <v>5</v>
      </c>
      <c r="F121" s="29">
        <v>13.841714285714275</v>
      </c>
      <c r="G121" s="78">
        <f t="shared" si="21"/>
        <v>3.5000000000000004</v>
      </c>
      <c r="H121" s="55">
        <f t="shared" si="22"/>
        <v>0.17341714285714274</v>
      </c>
      <c r="I121" s="29"/>
      <c r="J121" s="29">
        <f t="shared" si="23"/>
        <v>4335428571.4285688</v>
      </c>
      <c r="K121" s="29">
        <f t="shared" si="24"/>
        <v>2500000000</v>
      </c>
      <c r="L121" s="43">
        <f t="shared" si="25"/>
        <v>22500000000</v>
      </c>
      <c r="M121" s="37"/>
    </row>
    <row r="122" spans="3:13" x14ac:dyDescent="0.3">
      <c r="C122" s="28"/>
      <c r="D122" s="29"/>
      <c r="E122" s="29">
        <v>6</v>
      </c>
      <c r="F122" s="29">
        <v>13.927999999999988</v>
      </c>
      <c r="G122" s="78">
        <f t="shared" si="21"/>
        <v>3.5000000000000004</v>
      </c>
      <c r="H122" s="55">
        <f t="shared" si="22"/>
        <v>0.17427999999999991</v>
      </c>
      <c r="I122" s="29"/>
      <c r="J122" s="29">
        <f t="shared" si="23"/>
        <v>3921299999.9999981</v>
      </c>
      <c r="K122" s="29">
        <f t="shared" si="24"/>
        <v>2500000000</v>
      </c>
      <c r="L122" s="43">
        <f t="shared" si="25"/>
        <v>20000000000</v>
      </c>
      <c r="M122" s="37"/>
    </row>
    <row r="123" spans="3:13" x14ac:dyDescent="0.3">
      <c r="C123" s="28"/>
      <c r="D123" s="29"/>
      <c r="E123" s="29">
        <v>7</v>
      </c>
      <c r="F123" s="29">
        <v>14.014285714285702</v>
      </c>
      <c r="G123" s="78">
        <f t="shared" si="21"/>
        <v>3.5000000000000004</v>
      </c>
      <c r="H123" s="55">
        <f t="shared" si="22"/>
        <v>0.17514285714285702</v>
      </c>
      <c r="I123" s="29"/>
      <c r="J123" s="29">
        <f t="shared" si="23"/>
        <v>3502857142.8571405</v>
      </c>
      <c r="K123" s="29">
        <f t="shared" si="24"/>
        <v>2500000000</v>
      </c>
      <c r="L123" s="43">
        <f t="shared" si="25"/>
        <v>17500000000</v>
      </c>
      <c r="M123" s="37"/>
    </row>
    <row r="124" spans="3:13" x14ac:dyDescent="0.3">
      <c r="C124" s="28"/>
      <c r="D124" s="29"/>
      <c r="E124" s="29">
        <v>8</v>
      </c>
      <c r="F124" s="29">
        <v>14.100571428571415</v>
      </c>
      <c r="G124" s="78">
        <f t="shared" si="21"/>
        <v>3.5000000000000004</v>
      </c>
      <c r="H124" s="55">
        <f t="shared" si="22"/>
        <v>0.17600571428571418</v>
      </c>
      <c r="I124" s="29"/>
      <c r="J124" s="29">
        <f t="shared" si="23"/>
        <v>3080099999.9999981</v>
      </c>
      <c r="K124" s="29">
        <f t="shared" si="24"/>
        <v>2500000000</v>
      </c>
      <c r="L124" s="43">
        <f t="shared" si="25"/>
        <v>15000000000</v>
      </c>
      <c r="M124" s="37"/>
    </row>
    <row r="125" spans="3:13" x14ac:dyDescent="0.3">
      <c r="C125" s="28"/>
      <c r="D125" s="29"/>
      <c r="E125" s="29">
        <v>9</v>
      </c>
      <c r="F125" s="29">
        <v>14.186857142857129</v>
      </c>
      <c r="G125" s="78">
        <f t="shared" si="21"/>
        <v>3.5000000000000004</v>
      </c>
      <c r="H125" s="55">
        <f t="shared" si="22"/>
        <v>0.17686857142857129</v>
      </c>
      <c r="I125" s="29"/>
      <c r="J125" s="29">
        <f t="shared" si="23"/>
        <v>2653028571.4285693</v>
      </c>
      <c r="K125" s="29">
        <f t="shared" si="24"/>
        <v>2500000000</v>
      </c>
      <c r="L125" s="43">
        <f t="shared" si="25"/>
        <v>12500000000</v>
      </c>
      <c r="M125" s="37"/>
    </row>
    <row r="126" spans="3:13" x14ac:dyDescent="0.3">
      <c r="C126" s="28"/>
      <c r="D126" s="29"/>
      <c r="E126" s="29">
        <v>10</v>
      </c>
      <c r="F126" s="29">
        <v>14.273142857142842</v>
      </c>
      <c r="G126" s="78">
        <f t="shared" si="21"/>
        <v>3.5000000000000004</v>
      </c>
      <c r="H126" s="55">
        <f t="shared" si="22"/>
        <v>0.17773142857142843</v>
      </c>
      <c r="I126" s="29"/>
      <c r="J126" s="29">
        <f t="shared" si="23"/>
        <v>2221642857.1428552</v>
      </c>
      <c r="K126" s="29">
        <f t="shared" si="24"/>
        <v>2500000000</v>
      </c>
      <c r="L126" s="43">
        <f t="shared" si="25"/>
        <v>10000000000</v>
      </c>
      <c r="M126" s="37"/>
    </row>
    <row r="127" spans="3:13" x14ac:dyDescent="0.3">
      <c r="C127" s="28"/>
      <c r="D127" s="29"/>
      <c r="E127" s="29">
        <v>11</v>
      </c>
      <c r="F127" s="29">
        <v>14.359428571428555</v>
      </c>
      <c r="G127" s="78">
        <f t="shared" si="21"/>
        <v>3.5000000000000004</v>
      </c>
      <c r="H127" s="55">
        <f t="shared" si="22"/>
        <v>0.17859428571428557</v>
      </c>
      <c r="I127" s="29"/>
      <c r="J127" s="29">
        <f t="shared" si="23"/>
        <v>1785942857.1428556</v>
      </c>
      <c r="K127" s="29">
        <f t="shared" si="24"/>
        <v>2500000000</v>
      </c>
      <c r="L127" s="43">
        <f t="shared" si="25"/>
        <v>7500000000</v>
      </c>
      <c r="M127" s="37"/>
    </row>
    <row r="128" spans="3:13" x14ac:dyDescent="0.3">
      <c r="C128" s="28"/>
      <c r="D128" s="29"/>
      <c r="E128" s="29">
        <v>12</v>
      </c>
      <c r="F128" s="29">
        <v>14.445714285714269</v>
      </c>
      <c r="G128" s="78">
        <f t="shared" si="21"/>
        <v>3.5000000000000004</v>
      </c>
      <c r="H128" s="55">
        <f t="shared" si="22"/>
        <v>0.1794571428571427</v>
      </c>
      <c r="I128" s="29"/>
      <c r="J128" s="29">
        <f t="shared" si="23"/>
        <v>1345928571.4285703</v>
      </c>
      <c r="K128" s="29">
        <f t="shared" si="24"/>
        <v>2500000000</v>
      </c>
      <c r="L128" s="43">
        <f t="shared" si="25"/>
        <v>5000000000</v>
      </c>
      <c r="M128" s="37"/>
    </row>
    <row r="129" spans="3:13" x14ac:dyDescent="0.3">
      <c r="C129" s="28"/>
      <c r="D129" s="29"/>
      <c r="E129" s="29">
        <v>13</v>
      </c>
      <c r="F129" s="29">
        <v>14.531999999999982</v>
      </c>
      <c r="G129" s="78">
        <f t="shared" si="21"/>
        <v>3.5000000000000004</v>
      </c>
      <c r="H129" s="55">
        <f t="shared" si="22"/>
        <v>0.18031999999999981</v>
      </c>
      <c r="I129" s="29"/>
      <c r="J129" s="29">
        <f t="shared" si="23"/>
        <v>901599999.99999905</v>
      </c>
      <c r="K129" s="29">
        <f t="shared" si="24"/>
        <v>2500000000</v>
      </c>
      <c r="L129" s="43">
        <f t="shared" si="25"/>
        <v>2500000000</v>
      </c>
      <c r="M129" s="37"/>
    </row>
    <row r="130" spans="3:13" x14ac:dyDescent="0.3">
      <c r="C130" s="28"/>
      <c r="D130" s="29"/>
      <c r="E130" s="29">
        <v>14</v>
      </c>
      <c r="F130" s="29">
        <v>14.618285714285696</v>
      </c>
      <c r="G130" s="78">
        <f t="shared" si="21"/>
        <v>3.5000000000000004</v>
      </c>
      <c r="H130" s="55">
        <f t="shared" si="22"/>
        <v>0.18118285714285698</v>
      </c>
      <c r="I130" s="29"/>
      <c r="J130" s="29">
        <f t="shared" si="23"/>
        <v>452957142.85714245</v>
      </c>
      <c r="K130" s="29">
        <f t="shared" si="24"/>
        <v>2500000000</v>
      </c>
      <c r="L130" s="43">
        <f t="shared" si="25"/>
        <v>0</v>
      </c>
      <c r="M130" s="37"/>
    </row>
    <row r="131" spans="3:13" x14ac:dyDescent="0.3">
      <c r="C131" s="28"/>
      <c r="D131" s="29"/>
      <c r="E131" s="29"/>
      <c r="F131" s="29"/>
      <c r="G131" s="29"/>
      <c r="H131" s="29"/>
      <c r="I131" s="29"/>
      <c r="J131" s="29"/>
      <c r="K131" s="29"/>
      <c r="L131" s="29"/>
      <c r="M131" s="37"/>
    </row>
    <row r="132" spans="3:13" x14ac:dyDescent="0.3">
      <c r="C132" s="28"/>
      <c r="D132" s="29"/>
      <c r="E132" s="29"/>
      <c r="F132" s="29"/>
      <c r="G132" s="29"/>
      <c r="H132" s="29"/>
      <c r="I132" s="29"/>
      <c r="J132" s="29"/>
      <c r="K132" s="29"/>
      <c r="L132" s="29"/>
      <c r="M132" s="37"/>
    </row>
    <row r="133" spans="3:13" ht="15.6" x14ac:dyDescent="0.3">
      <c r="C133" s="222" t="s">
        <v>304</v>
      </c>
      <c r="D133" s="222"/>
      <c r="E133" s="79" t="s">
        <v>305</v>
      </c>
      <c r="F133" s="79">
        <v>1</v>
      </c>
      <c r="G133" s="79">
        <v>2</v>
      </c>
      <c r="H133" s="79">
        <v>3</v>
      </c>
      <c r="I133" s="79">
        <v>4</v>
      </c>
      <c r="J133" s="79">
        <v>5</v>
      </c>
      <c r="K133" s="79">
        <v>6</v>
      </c>
      <c r="L133" s="79">
        <v>7</v>
      </c>
      <c r="M133" s="37"/>
    </row>
    <row r="134" spans="3:13" x14ac:dyDescent="0.3"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37"/>
    </row>
    <row r="135" spans="3:13" x14ac:dyDescent="0.3">
      <c r="C135" s="79" t="s">
        <v>306</v>
      </c>
      <c r="D135" s="80">
        <v>35000000000</v>
      </c>
      <c r="E135" s="79" t="s">
        <v>307</v>
      </c>
      <c r="F135" s="80">
        <f>D140*D137</f>
        <v>1750000000</v>
      </c>
      <c r="G135" s="80">
        <f t="shared" ref="G135:L135" si="26">$D$135*F137</f>
        <v>11375000000</v>
      </c>
      <c r="H135" s="80">
        <f t="shared" si="26"/>
        <v>5250000000</v>
      </c>
      <c r="I135" s="80">
        <f t="shared" si="26"/>
        <v>0</v>
      </c>
      <c r="J135" s="80">
        <f t="shared" si="26"/>
        <v>0</v>
      </c>
      <c r="K135" s="80">
        <f t="shared" si="26"/>
        <v>0</v>
      </c>
      <c r="L135" s="80">
        <f t="shared" si="26"/>
        <v>0</v>
      </c>
      <c r="M135" s="37"/>
    </row>
    <row r="136" spans="3:13" x14ac:dyDescent="0.3">
      <c r="C136" s="79" t="s">
        <v>308</v>
      </c>
      <c r="D136" s="81">
        <v>0.5</v>
      </c>
      <c r="E136" s="79" t="s">
        <v>309</v>
      </c>
      <c r="F136" s="80">
        <f>$D$139*$D$141</f>
        <v>6125000000</v>
      </c>
      <c r="G136" s="80">
        <f t="shared" ref="G136:L136" si="27">IF(F139&gt;$D$141*$D$139,$D$139*$D$141,F139)</f>
        <v>6125000000</v>
      </c>
      <c r="H136" s="80">
        <f t="shared" si="27"/>
        <v>5250000000</v>
      </c>
      <c r="I136" s="80">
        <f t="shared" si="27"/>
        <v>0</v>
      </c>
      <c r="J136" s="80">
        <f t="shared" si="27"/>
        <v>0</v>
      </c>
      <c r="K136" s="80">
        <f t="shared" si="27"/>
        <v>0</v>
      </c>
      <c r="L136" s="80">
        <f t="shared" si="27"/>
        <v>0</v>
      </c>
      <c r="M136" s="37"/>
    </row>
    <row r="137" spans="3:13" x14ac:dyDescent="0.3">
      <c r="C137" s="79" t="s">
        <v>310</v>
      </c>
      <c r="D137" s="81">
        <v>0.5</v>
      </c>
      <c r="E137" s="79" t="s">
        <v>311</v>
      </c>
      <c r="F137" s="80">
        <f>(D139-F136)/$D$135</f>
        <v>0.32500000000000001</v>
      </c>
      <c r="G137" s="80">
        <f t="shared" ref="G137:L137" si="28">(F139-G136)/$D$135</f>
        <v>0.15</v>
      </c>
      <c r="H137" s="80">
        <f t="shared" si="28"/>
        <v>0</v>
      </c>
      <c r="I137" s="80">
        <f t="shared" si="28"/>
        <v>0</v>
      </c>
      <c r="J137" s="80">
        <f t="shared" si="28"/>
        <v>0</v>
      </c>
      <c r="K137" s="80">
        <f t="shared" si="28"/>
        <v>0</v>
      </c>
      <c r="L137" s="80">
        <f t="shared" si="28"/>
        <v>0</v>
      </c>
      <c r="M137" s="37"/>
    </row>
    <row r="138" spans="3:13" x14ac:dyDescent="0.3">
      <c r="C138" s="79" t="s">
        <v>308</v>
      </c>
      <c r="D138" s="79">
        <f>D136*D135</f>
        <v>17500000000</v>
      </c>
      <c r="E138" s="79" t="s">
        <v>312</v>
      </c>
      <c r="F138" s="80">
        <f>(D138+F136)/$D$135</f>
        <v>0.67500000000000004</v>
      </c>
      <c r="G138" s="80">
        <f t="shared" ref="G138:L138" si="29">(F140+G136)/$D$135</f>
        <v>0.85</v>
      </c>
      <c r="H138" s="80">
        <f t="shared" si="29"/>
        <v>1</v>
      </c>
      <c r="I138" s="80">
        <f t="shared" si="29"/>
        <v>1</v>
      </c>
      <c r="J138" s="80">
        <f t="shared" si="29"/>
        <v>1</v>
      </c>
      <c r="K138" s="80">
        <f t="shared" si="29"/>
        <v>1</v>
      </c>
      <c r="L138" s="80">
        <f t="shared" si="29"/>
        <v>1</v>
      </c>
      <c r="M138" s="37"/>
    </row>
    <row r="139" spans="3:13" x14ac:dyDescent="0.3">
      <c r="C139" s="79" t="s">
        <v>310</v>
      </c>
      <c r="D139" s="79">
        <f>D137*D135</f>
        <v>17500000000</v>
      </c>
      <c r="E139" s="79" t="s">
        <v>313</v>
      </c>
      <c r="F139" s="80">
        <f t="shared" ref="F139:L140" si="30">F137*$D$135</f>
        <v>11375000000</v>
      </c>
      <c r="G139" s="80">
        <f t="shared" si="30"/>
        <v>5250000000</v>
      </c>
      <c r="H139" s="80">
        <f t="shared" si="30"/>
        <v>0</v>
      </c>
      <c r="I139" s="80">
        <f t="shared" si="30"/>
        <v>0</v>
      </c>
      <c r="J139" s="80">
        <f t="shared" si="30"/>
        <v>0</v>
      </c>
      <c r="K139" s="80">
        <f t="shared" si="30"/>
        <v>0</v>
      </c>
      <c r="L139" s="80">
        <f t="shared" si="30"/>
        <v>0</v>
      </c>
      <c r="M139" s="37"/>
    </row>
    <row r="140" spans="3:13" x14ac:dyDescent="0.3">
      <c r="C140" s="79" t="s">
        <v>314</v>
      </c>
      <c r="D140" s="80">
        <v>3500000000</v>
      </c>
      <c r="E140" s="79" t="s">
        <v>315</v>
      </c>
      <c r="F140" s="80">
        <f t="shared" si="30"/>
        <v>23625000000</v>
      </c>
      <c r="G140" s="80">
        <f t="shared" si="30"/>
        <v>29750000000</v>
      </c>
      <c r="H140" s="80">
        <f t="shared" si="30"/>
        <v>35000000000</v>
      </c>
      <c r="I140" s="80">
        <f t="shared" si="30"/>
        <v>35000000000</v>
      </c>
      <c r="J140" s="80">
        <f t="shared" si="30"/>
        <v>35000000000</v>
      </c>
      <c r="K140" s="80">
        <f t="shared" si="30"/>
        <v>35000000000</v>
      </c>
      <c r="L140" s="80">
        <f t="shared" si="30"/>
        <v>35000000000</v>
      </c>
      <c r="M140" s="37"/>
    </row>
    <row r="141" spans="3:13" x14ac:dyDescent="0.3">
      <c r="C141" s="79" t="s">
        <v>316</v>
      </c>
      <c r="D141" s="81">
        <v>0.35</v>
      </c>
      <c r="E141" s="79"/>
      <c r="F141" s="80"/>
      <c r="G141" s="80"/>
      <c r="H141" s="80"/>
      <c r="I141" s="80"/>
      <c r="J141" s="80"/>
      <c r="K141" s="80"/>
      <c r="L141" s="80"/>
      <c r="M141" s="37"/>
    </row>
    <row r="142" spans="3:13" x14ac:dyDescent="0.3"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37"/>
    </row>
    <row r="143" spans="3:13" x14ac:dyDescent="0.3">
      <c r="C143" s="28"/>
      <c r="D143" s="29"/>
      <c r="E143" s="29"/>
      <c r="F143" s="29"/>
      <c r="G143" s="29"/>
      <c r="H143" s="29"/>
      <c r="I143" s="29"/>
      <c r="J143" s="29"/>
      <c r="K143" s="29"/>
      <c r="L143" s="29"/>
      <c r="M143" s="37"/>
    </row>
    <row r="144" spans="3:13" ht="15" thickBot="1" x14ac:dyDescent="0.35">
      <c r="C144" s="28"/>
      <c r="D144" s="29"/>
      <c r="E144" s="29"/>
      <c r="F144" s="29"/>
      <c r="G144" s="29"/>
      <c r="H144" s="29"/>
      <c r="I144" s="29"/>
      <c r="J144" s="29"/>
      <c r="K144" s="29"/>
      <c r="L144" s="29"/>
      <c r="M144" s="37"/>
    </row>
    <row r="145" spans="3:13" x14ac:dyDescent="0.3">
      <c r="C145" s="28"/>
      <c r="D145" s="29"/>
      <c r="E145" s="33"/>
      <c r="F145" s="34"/>
      <c r="G145" s="57" t="s">
        <v>296</v>
      </c>
      <c r="H145" s="57" t="s">
        <v>296</v>
      </c>
      <c r="I145" s="57" t="s">
        <v>296</v>
      </c>
      <c r="J145" s="57" t="s">
        <v>296</v>
      </c>
      <c r="K145" s="58" t="s">
        <v>296</v>
      </c>
      <c r="L145" s="29"/>
      <c r="M145" s="37"/>
    </row>
    <row r="146" spans="3:13" ht="15" thickBot="1" x14ac:dyDescent="0.35">
      <c r="C146" s="28"/>
      <c r="D146" s="29"/>
      <c r="E146" s="28"/>
      <c r="F146" s="29"/>
      <c r="G146" s="59">
        <v>2025</v>
      </c>
      <c r="H146" s="59">
        <v>2026</v>
      </c>
      <c r="I146" s="59">
        <v>2027</v>
      </c>
      <c r="J146" s="59">
        <v>2028</v>
      </c>
      <c r="K146" s="60">
        <v>2029</v>
      </c>
      <c r="L146" s="29"/>
      <c r="M146" s="37"/>
    </row>
    <row r="147" spans="3:13" x14ac:dyDescent="0.3">
      <c r="C147" s="28"/>
      <c r="D147" s="29"/>
      <c r="E147" s="28"/>
      <c r="F147" s="29"/>
      <c r="G147" s="29"/>
      <c r="H147" s="29"/>
      <c r="I147" s="29"/>
      <c r="J147" s="29"/>
      <c r="K147" s="37"/>
      <c r="L147" s="29"/>
      <c r="M147" s="37"/>
    </row>
    <row r="148" spans="3:13" x14ac:dyDescent="0.3">
      <c r="C148" s="28"/>
      <c r="D148" s="29"/>
      <c r="E148" s="61" t="s">
        <v>297</v>
      </c>
      <c r="F148" s="29"/>
      <c r="G148" s="29"/>
      <c r="H148" s="29"/>
      <c r="I148" s="29"/>
      <c r="J148" s="29"/>
      <c r="K148" s="37"/>
      <c r="L148" s="29"/>
      <c r="M148" s="37"/>
    </row>
    <row r="149" spans="3:13" x14ac:dyDescent="0.3">
      <c r="C149" s="28"/>
      <c r="D149" s="29"/>
      <c r="E149" s="28"/>
      <c r="F149" s="29" t="s">
        <v>298</v>
      </c>
      <c r="G149" s="43">
        <f>G73</f>
        <v>2100000000</v>
      </c>
      <c r="H149" s="43">
        <f>G74</f>
        <v>1849816462.0760772</v>
      </c>
      <c r="I149" s="43">
        <f>G75</f>
        <v>1584621911.876719</v>
      </c>
      <c r="J149" s="43">
        <f>G76</f>
        <v>1303515688.6653991</v>
      </c>
      <c r="K149" s="67">
        <f>G77</f>
        <v>1005543092.0614002</v>
      </c>
      <c r="L149" s="29"/>
      <c r="M149" s="37"/>
    </row>
    <row r="150" spans="3:13" x14ac:dyDescent="0.3">
      <c r="C150" s="28"/>
      <c r="D150" s="29"/>
      <c r="E150" s="28"/>
      <c r="F150" s="29" t="s">
        <v>299</v>
      </c>
      <c r="G150" s="43">
        <f>H73</f>
        <v>4169725632.0653811</v>
      </c>
      <c r="H150" s="43">
        <f>H74</f>
        <v>4419909169.9893036</v>
      </c>
      <c r="I150" s="43">
        <f>H75</f>
        <v>4685103720.1886616</v>
      </c>
      <c r="J150" s="43">
        <f>H76</f>
        <v>4966209943.3999825</v>
      </c>
      <c r="K150" s="67">
        <f>H77</f>
        <v>5264182540.0039806</v>
      </c>
      <c r="L150" s="29"/>
      <c r="M150" s="37"/>
    </row>
    <row r="151" spans="3:13" x14ac:dyDescent="0.3">
      <c r="C151" s="28"/>
      <c r="D151" s="29"/>
      <c r="E151" s="28"/>
      <c r="F151" s="29" t="s">
        <v>300</v>
      </c>
      <c r="G151" s="43">
        <f>I73</f>
        <v>30830274367.93462</v>
      </c>
      <c r="H151" s="43">
        <f>I74</f>
        <v>26410365197.945316</v>
      </c>
      <c r="I151" s="43">
        <f>I75</f>
        <v>21725261477.756653</v>
      </c>
      <c r="J151" s="43">
        <f>I76</f>
        <v>16759051534.35667</v>
      </c>
      <c r="K151" s="67">
        <f>I77</f>
        <v>11494868994.35269</v>
      </c>
      <c r="L151" s="29"/>
      <c r="M151" s="37"/>
    </row>
    <row r="152" spans="3:13" x14ac:dyDescent="0.3">
      <c r="C152" s="28"/>
      <c r="D152" s="29"/>
      <c r="E152" s="28"/>
      <c r="F152" s="29"/>
      <c r="G152" s="43"/>
      <c r="H152" s="43"/>
      <c r="I152" s="43"/>
      <c r="J152" s="43"/>
      <c r="K152" s="67"/>
      <c r="L152" s="29"/>
      <c r="M152" s="37"/>
    </row>
    <row r="153" spans="3:13" x14ac:dyDescent="0.3">
      <c r="C153" s="28"/>
      <c r="D153" s="29"/>
      <c r="E153" s="61" t="s">
        <v>301</v>
      </c>
      <c r="F153" s="29" t="s">
        <v>289</v>
      </c>
      <c r="G153" s="43"/>
      <c r="H153" s="43"/>
      <c r="I153" s="43"/>
      <c r="J153" s="43"/>
      <c r="K153" s="67"/>
      <c r="L153" s="29"/>
      <c r="M153" s="37"/>
    </row>
    <row r="154" spans="3:13" x14ac:dyDescent="0.3">
      <c r="C154" s="28"/>
      <c r="D154" s="29"/>
      <c r="E154" s="28"/>
      <c r="F154" s="29" t="s">
        <v>298</v>
      </c>
      <c r="G154" s="43">
        <f>J85+J86+J87+J88</f>
        <v>25014404750.000008</v>
      </c>
      <c r="H154" s="43">
        <f>J89+J90+J91+J92</f>
        <v>21669088750.000008</v>
      </c>
      <c r="I154" s="43">
        <f>J93+J94+J95+J96</f>
        <v>18170404750.000008</v>
      </c>
      <c r="J154" s="43">
        <f>J97+J98+J99+J100</f>
        <v>14518352750.000006</v>
      </c>
      <c r="K154" s="67">
        <f>J101+J102+J103+J104</f>
        <v>10712932750.000004</v>
      </c>
      <c r="L154" s="29"/>
      <c r="M154" s="37"/>
    </row>
    <row r="155" spans="3:13" x14ac:dyDescent="0.3">
      <c r="C155" s="28"/>
      <c r="D155" s="29"/>
      <c r="E155" s="28"/>
      <c r="F155" s="29" t="s">
        <v>299</v>
      </c>
      <c r="G155" s="43">
        <f>K85+K86+K87+K88</f>
        <v>5000000000</v>
      </c>
      <c r="H155" s="43">
        <f>K89+K90+K91+K92</f>
        <v>5000000000</v>
      </c>
      <c r="I155" s="43">
        <f>K93+K94+K95+K96</f>
        <v>5000000000</v>
      </c>
      <c r="J155" s="43">
        <f>K97+K98+K99+K100</f>
        <v>5000000000</v>
      </c>
      <c r="K155" s="67">
        <f>K101+K102+K103+K104</f>
        <v>5000000000</v>
      </c>
      <c r="L155" s="29"/>
      <c r="M155" s="37"/>
    </row>
    <row r="156" spans="3:13" x14ac:dyDescent="0.3">
      <c r="C156" s="28"/>
      <c r="D156" s="29"/>
      <c r="E156" s="28"/>
      <c r="F156" s="29" t="s">
        <v>300</v>
      </c>
      <c r="G156" s="43">
        <f>L88</f>
        <v>30000000000</v>
      </c>
      <c r="H156" s="43">
        <f>L92</f>
        <v>25000000000</v>
      </c>
      <c r="I156" s="43">
        <f>L96</f>
        <v>20000000000</v>
      </c>
      <c r="J156" s="43">
        <f>L100</f>
        <v>15000000000</v>
      </c>
      <c r="K156" s="67">
        <f>L104</f>
        <v>10000000000</v>
      </c>
      <c r="L156" s="29"/>
      <c r="M156" s="37"/>
    </row>
    <row r="157" spans="3:13" x14ac:dyDescent="0.3">
      <c r="C157" s="28"/>
      <c r="D157" s="29"/>
      <c r="E157" s="28"/>
      <c r="F157" s="29"/>
      <c r="G157" s="43"/>
      <c r="H157" s="43"/>
      <c r="I157" s="43"/>
      <c r="J157" s="43"/>
      <c r="K157" s="67"/>
      <c r="L157" s="29"/>
      <c r="M157" s="37"/>
    </row>
    <row r="158" spans="3:13" x14ac:dyDescent="0.3">
      <c r="C158" s="28"/>
      <c r="D158" s="29"/>
      <c r="E158" s="61" t="s">
        <v>301</v>
      </c>
      <c r="F158" s="29" t="s">
        <v>295</v>
      </c>
      <c r="G158" s="43"/>
      <c r="H158" s="43"/>
      <c r="I158" s="43"/>
      <c r="J158" s="43"/>
      <c r="K158" s="67"/>
      <c r="L158" s="29"/>
      <c r="M158" s="37"/>
    </row>
    <row r="159" spans="3:13" x14ac:dyDescent="0.3">
      <c r="C159" s="28"/>
      <c r="D159" s="29"/>
      <c r="E159" s="28"/>
      <c r="F159" s="29" t="s">
        <v>298</v>
      </c>
      <c r="G159" s="43">
        <f>J117+J118</f>
        <v>11500728571.428566</v>
      </c>
      <c r="H159" s="43">
        <f>J119+J120</f>
        <v>9895985714.2857094</v>
      </c>
      <c r="I159" s="43">
        <f>J121+J122</f>
        <v>8256728571.4285669</v>
      </c>
      <c r="J159" s="43">
        <f>J123+J124</f>
        <v>6582957142.8571386</v>
      </c>
      <c r="K159" s="67">
        <f>J125+J126</f>
        <v>4874671428.5714245</v>
      </c>
      <c r="L159" s="29"/>
      <c r="M159" s="37"/>
    </row>
    <row r="160" spans="3:13" x14ac:dyDescent="0.3">
      <c r="C160" s="28"/>
      <c r="D160" s="29"/>
      <c r="E160" s="28"/>
      <c r="F160" s="29" t="s">
        <v>299</v>
      </c>
      <c r="G160" s="43">
        <f>K117+K118</f>
        <v>5000000000</v>
      </c>
      <c r="H160" s="43">
        <f>K119+K120</f>
        <v>5000000000</v>
      </c>
      <c r="I160" s="43">
        <f>K121+K122</f>
        <v>5000000000</v>
      </c>
      <c r="J160" s="43">
        <f>K123+K124</f>
        <v>5000000000</v>
      </c>
      <c r="K160" s="67">
        <f>K125+K126</f>
        <v>5000000000</v>
      </c>
      <c r="L160" s="29"/>
      <c r="M160" s="37"/>
    </row>
    <row r="161" spans="3:13" x14ac:dyDescent="0.3">
      <c r="C161" s="28"/>
      <c r="D161" s="29"/>
      <c r="E161" s="28"/>
      <c r="F161" s="29" t="s">
        <v>300</v>
      </c>
      <c r="G161" s="43">
        <f>L118</f>
        <v>30000000000</v>
      </c>
      <c r="H161" s="43">
        <f>L120</f>
        <v>25000000000</v>
      </c>
      <c r="I161" s="43">
        <f>L122</f>
        <v>20000000000</v>
      </c>
      <c r="J161" s="43">
        <f>L124</f>
        <v>15000000000</v>
      </c>
      <c r="K161" s="67">
        <f>L126</f>
        <v>10000000000</v>
      </c>
      <c r="L161" s="29"/>
      <c r="M161" s="37"/>
    </row>
    <row r="162" spans="3:13" x14ac:dyDescent="0.3">
      <c r="C162" s="28"/>
      <c r="D162" s="29"/>
      <c r="E162" s="28"/>
      <c r="F162" s="29"/>
      <c r="G162" s="43"/>
      <c r="H162" s="43"/>
      <c r="I162" s="43"/>
      <c r="J162" s="43"/>
      <c r="K162" s="67"/>
      <c r="L162" s="29"/>
      <c r="M162" s="37"/>
    </row>
    <row r="163" spans="3:13" x14ac:dyDescent="0.3">
      <c r="C163" s="28"/>
      <c r="D163" s="29"/>
      <c r="E163" s="61" t="s">
        <v>317</v>
      </c>
      <c r="F163" s="29"/>
      <c r="G163" s="43"/>
      <c r="H163" s="43"/>
      <c r="I163" s="43"/>
      <c r="J163" s="43"/>
      <c r="K163" s="67"/>
      <c r="L163" s="29"/>
      <c r="M163" s="37"/>
    </row>
    <row r="164" spans="3:13" x14ac:dyDescent="0.3">
      <c r="C164" s="28"/>
      <c r="D164" s="29"/>
      <c r="E164" s="28"/>
      <c r="F164" s="29" t="s">
        <v>298</v>
      </c>
      <c r="G164" s="43">
        <f t="shared" ref="G164:K165" si="31">F135</f>
        <v>1750000000</v>
      </c>
      <c r="H164" s="43">
        <f t="shared" si="31"/>
        <v>11375000000</v>
      </c>
      <c r="I164" s="43">
        <f t="shared" si="31"/>
        <v>5250000000</v>
      </c>
      <c r="J164" s="43">
        <f t="shared" si="31"/>
        <v>0</v>
      </c>
      <c r="K164" s="67">
        <f t="shared" si="31"/>
        <v>0</v>
      </c>
      <c r="L164" s="29"/>
      <c r="M164" s="37"/>
    </row>
    <row r="165" spans="3:13" x14ac:dyDescent="0.3">
      <c r="C165" s="28"/>
      <c r="D165" s="29"/>
      <c r="E165" s="28"/>
      <c r="F165" s="29" t="s">
        <v>299</v>
      </c>
      <c r="G165" s="43">
        <f t="shared" si="31"/>
        <v>6125000000</v>
      </c>
      <c r="H165" s="43">
        <f t="shared" si="31"/>
        <v>6125000000</v>
      </c>
      <c r="I165" s="43">
        <f t="shared" si="31"/>
        <v>5250000000</v>
      </c>
      <c r="J165" s="43">
        <f t="shared" si="31"/>
        <v>0</v>
      </c>
      <c r="K165" s="67">
        <f t="shared" si="31"/>
        <v>0</v>
      </c>
      <c r="L165" s="29"/>
      <c r="M165" s="37"/>
    </row>
    <row r="166" spans="3:13" x14ac:dyDescent="0.3">
      <c r="C166" s="28"/>
      <c r="D166" s="29"/>
      <c r="E166" s="28"/>
      <c r="F166" s="29" t="s">
        <v>300</v>
      </c>
      <c r="G166" s="43">
        <f>F139</f>
        <v>11375000000</v>
      </c>
      <c r="H166" s="43">
        <f>G139</f>
        <v>5250000000</v>
      </c>
      <c r="I166" s="43">
        <f>H139</f>
        <v>0</v>
      </c>
      <c r="J166" s="43">
        <f>I139</f>
        <v>0</v>
      </c>
      <c r="K166" s="67">
        <f>J139</f>
        <v>0</v>
      </c>
      <c r="L166" s="29"/>
      <c r="M166" s="37"/>
    </row>
    <row r="167" spans="3:13" ht="15" thickBot="1" x14ac:dyDescent="0.35">
      <c r="C167" s="28"/>
      <c r="D167" s="29"/>
      <c r="E167" s="62"/>
      <c r="F167" s="63"/>
      <c r="G167" s="63"/>
      <c r="H167" s="63"/>
      <c r="I167" s="63"/>
      <c r="J167" s="63"/>
      <c r="K167" s="64"/>
      <c r="L167" s="29"/>
      <c r="M167" s="37"/>
    </row>
    <row r="168" spans="3:13" x14ac:dyDescent="0.3">
      <c r="C168" s="28"/>
      <c r="D168" s="29"/>
      <c r="E168" s="29"/>
      <c r="F168" s="29"/>
      <c r="G168" s="29"/>
      <c r="H168" s="29"/>
      <c r="I168" s="29"/>
      <c r="J168" s="29"/>
      <c r="K168" s="29"/>
      <c r="L168" s="29"/>
      <c r="M168" s="37"/>
    </row>
    <row r="169" spans="3:13" x14ac:dyDescent="0.3">
      <c r="C169" s="28"/>
      <c r="D169" s="29"/>
      <c r="E169" s="29"/>
      <c r="F169" s="29"/>
      <c r="G169" s="29"/>
      <c r="H169" s="29"/>
      <c r="I169" s="29"/>
      <c r="J169" s="29"/>
      <c r="K169" s="29"/>
      <c r="L169" s="29"/>
      <c r="M169" s="37"/>
    </row>
    <row r="170" spans="3:13" x14ac:dyDescent="0.3">
      <c r="C170" s="28"/>
      <c r="D170" s="29"/>
      <c r="E170" s="29"/>
      <c r="F170" s="29"/>
      <c r="G170" s="29"/>
      <c r="H170" s="29"/>
      <c r="I170" s="29"/>
      <c r="J170" s="29"/>
      <c r="K170" s="29"/>
      <c r="L170" s="29"/>
      <c r="M170" s="37"/>
    </row>
    <row r="171" spans="3:13" ht="15" thickBot="1" x14ac:dyDescent="0.35">
      <c r="C171" s="62"/>
      <c r="D171" s="63"/>
      <c r="E171" s="63"/>
      <c r="F171" s="63"/>
      <c r="G171" s="63"/>
      <c r="H171" s="63"/>
      <c r="I171" s="63"/>
      <c r="J171" s="63"/>
      <c r="K171" s="63"/>
      <c r="L171" s="63"/>
      <c r="M171" s="64"/>
    </row>
  </sheetData>
  <mergeCells count="1">
    <mergeCell ref="C133:D13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</vt:lpstr>
      <vt:lpstr>Assumption Sheet</vt:lpstr>
      <vt:lpstr>Regression</vt:lpstr>
      <vt:lpstr>INCOME STATEMENT</vt:lpstr>
      <vt:lpstr>BALANCE SHEET</vt:lpstr>
      <vt:lpstr>CASHFLOW STATEMENT</vt:lpstr>
      <vt:lpstr>Valuation</vt:lpstr>
      <vt:lpstr>Ratios</vt:lpstr>
      <vt:lpstr>Additional Loan</vt:lpstr>
      <vt:lpstr>Finance Schedule</vt:lpstr>
      <vt:lpstr>Depreciation Schedule</vt:lpstr>
      <vt:lpstr>Stock Prices</vt:lpstr>
      <vt:lpstr>Market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2021-05-01T20:00:53Z</dcterms:created>
  <dcterms:modified xsi:type="dcterms:W3CDTF">2021-06-06T17:27:59Z</dcterms:modified>
</cp:coreProperties>
</file>