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K Computers\Downloads\"/>
    </mc:Choice>
  </mc:AlternateContent>
  <xr:revisionPtr revIDLastSave="0" documentId="8_{FE6A1234-0433-491D-BE1C-58BFA727A9C1}" xr6:coauthVersionLast="47" xr6:coauthVersionMax="47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Industry" sheetId="10" r:id="rId1"/>
    <sheet name="Dashboard" sheetId="13" r:id="rId2"/>
    <sheet name="Drivers Sheet" sheetId="6" r:id="rId3"/>
    <sheet name="IS" sheetId="11" r:id="rId4"/>
    <sheet name="BS" sheetId="14" r:id="rId5"/>
    <sheet name="CF" sheetId="18" r:id="rId6"/>
    <sheet name="Valuation" sheetId="17" r:id="rId7"/>
    <sheet name="Fixed Assets" sheetId="12" r:id="rId8"/>
    <sheet name="Investments" sheetId="8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price" localSheetId="5">[1]Intro!$C$17</definedName>
    <definedName name="price" localSheetId="1">[2]Intro!$C$17</definedName>
    <definedName name="price" localSheetId="6">[1]Intro!$C$17</definedName>
    <definedName name="price">[3]Intro!$C$17</definedName>
    <definedName name="shares" localSheetId="5">[4]Intro!$C$13</definedName>
    <definedName name="shares" localSheetId="1">[5]Intro!$C$13</definedName>
    <definedName name="shares" localSheetId="6">[4]Intro!$C$13</definedName>
    <definedName name="shares">[6]Intro!$C$13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17" l="1"/>
  <c r="B25" i="17"/>
  <c r="B20" i="17"/>
  <c r="C18" i="8"/>
  <c r="D18" i="8"/>
  <c r="E18" i="8"/>
  <c r="F18" i="8"/>
  <c r="B18" i="8"/>
  <c r="H106" i="6"/>
  <c r="I106" i="6"/>
  <c r="J106" i="6"/>
  <c r="K106" i="6"/>
  <c r="L106" i="6"/>
  <c r="G106" i="6"/>
  <c r="D66" i="11"/>
  <c r="C66" i="11"/>
  <c r="C68" i="11"/>
  <c r="C110" i="6"/>
  <c r="D105" i="6"/>
  <c r="D110" i="6" s="1"/>
  <c r="Q17" i="17" l="1"/>
  <c r="M11" i="17"/>
  <c r="N11" i="17"/>
  <c r="O11" i="17"/>
  <c r="P11" i="17"/>
  <c r="Q11" i="17" s="1"/>
  <c r="L11" i="17"/>
  <c r="M10" i="17"/>
  <c r="N10" i="17"/>
  <c r="O10" i="17"/>
  <c r="P10" i="17"/>
  <c r="Q10" i="17" s="1"/>
  <c r="L10" i="17"/>
  <c r="M9" i="17"/>
  <c r="N9" i="17"/>
  <c r="O9" i="17"/>
  <c r="P9" i="17"/>
  <c r="Q9" i="17" s="1"/>
  <c r="L9" i="17"/>
  <c r="Q8" i="17"/>
  <c r="Q7" i="17"/>
  <c r="B27" i="18"/>
  <c r="C62" i="11"/>
  <c r="E66" i="11"/>
  <c r="F66" i="11"/>
  <c r="G66" i="11"/>
  <c r="C64" i="11"/>
  <c r="F59" i="11"/>
  <c r="C169" i="6"/>
  <c r="D167" i="6"/>
  <c r="E167" i="6"/>
  <c r="F167" i="6"/>
  <c r="G167" i="6"/>
  <c r="C167" i="6"/>
  <c r="D166" i="6"/>
  <c r="E166" i="6"/>
  <c r="F166" i="6"/>
  <c r="G166" i="6"/>
  <c r="C166" i="6"/>
  <c r="D160" i="6"/>
  <c r="E160" i="6"/>
  <c r="F160" i="6"/>
  <c r="G160" i="6"/>
  <c r="C160" i="6"/>
  <c r="H19" i="14"/>
  <c r="I19" i="14" s="1"/>
  <c r="J19" i="14" s="1"/>
  <c r="K19" i="14" s="1"/>
  <c r="L19" i="14" s="1"/>
  <c r="I37" i="14"/>
  <c r="J37" i="14" s="1"/>
  <c r="K37" i="14" s="1"/>
  <c r="L37" i="14" s="1"/>
  <c r="H37" i="14"/>
  <c r="H43" i="14"/>
  <c r="H166" i="6" s="1"/>
  <c r="H167" i="6" s="1"/>
  <c r="H56" i="11" s="1"/>
  <c r="L13" i="14"/>
  <c r="K13" i="14"/>
  <c r="J13" i="14"/>
  <c r="I13" i="14"/>
  <c r="H13" i="14"/>
  <c r="G168" i="6" l="1"/>
  <c r="I43" i="14"/>
  <c r="H36" i="14"/>
  <c r="E168" i="6"/>
  <c r="C168" i="6"/>
  <c r="D168" i="6"/>
  <c r="F168" i="6"/>
  <c r="I36" i="14"/>
  <c r="F104" i="6"/>
  <c r="F98" i="6" s="1"/>
  <c r="G104" i="6"/>
  <c r="G98" i="6" s="1"/>
  <c r="I87" i="6"/>
  <c r="J87" i="6"/>
  <c r="K87" i="6"/>
  <c r="L87" i="6"/>
  <c r="H87" i="6"/>
  <c r="C23" i="18" l="1"/>
  <c r="B23" i="18"/>
  <c r="J43" i="14"/>
  <c r="I166" i="6"/>
  <c r="I167" i="6" s="1"/>
  <c r="I56" i="11" s="1"/>
  <c r="J36" i="14"/>
  <c r="C22" i="8"/>
  <c r="D22" i="8"/>
  <c r="E22" i="8"/>
  <c r="F22" i="8"/>
  <c r="G22" i="8"/>
  <c r="H22" i="8"/>
  <c r="I22" i="8"/>
  <c r="J22" i="8"/>
  <c r="K22" i="8"/>
  <c r="B22" i="8"/>
  <c r="G19" i="8"/>
  <c r="H19" i="8"/>
  <c r="I19" i="8"/>
  <c r="J19" i="8"/>
  <c r="K19" i="8"/>
  <c r="H15" i="8"/>
  <c r="I15" i="8"/>
  <c r="J15" i="8"/>
  <c r="K15" i="8"/>
  <c r="G15" i="8"/>
  <c r="H14" i="8"/>
  <c r="I14" i="8"/>
  <c r="J14" i="8"/>
  <c r="K14" i="8"/>
  <c r="G14" i="8"/>
  <c r="H13" i="8"/>
  <c r="I13" i="8"/>
  <c r="J13" i="8"/>
  <c r="K13" i="8"/>
  <c r="G13" i="8"/>
  <c r="H12" i="8"/>
  <c r="H18" i="8" s="1"/>
  <c r="I12" i="8"/>
  <c r="J12" i="8"/>
  <c r="K12" i="8"/>
  <c r="G12" i="8"/>
  <c r="G18" i="8" s="1"/>
  <c r="C31" i="8"/>
  <c r="D31" i="8"/>
  <c r="E31" i="8"/>
  <c r="F31" i="8"/>
  <c r="B31" i="8"/>
  <c r="C33" i="8"/>
  <c r="D33" i="8"/>
  <c r="E33" i="8"/>
  <c r="F33" i="8"/>
  <c r="B33" i="8"/>
  <c r="C32" i="8"/>
  <c r="D32" i="8"/>
  <c r="E32" i="8"/>
  <c r="F32" i="8"/>
  <c r="B32" i="8"/>
  <c r="C30" i="8"/>
  <c r="D30" i="8"/>
  <c r="E30" i="8"/>
  <c r="F30" i="8"/>
  <c r="B30" i="8"/>
  <c r="F34" i="8"/>
  <c r="E34" i="8"/>
  <c r="D34" i="8"/>
  <c r="C34" i="8"/>
  <c r="B34" i="8"/>
  <c r="K18" i="8" l="1"/>
  <c r="G20" i="8"/>
  <c r="G4" i="8" s="1"/>
  <c r="H20" i="8"/>
  <c r="H4" i="8" s="1"/>
  <c r="H5" i="8" s="1"/>
  <c r="H2" i="8" s="1"/>
  <c r="I48" i="11" s="1"/>
  <c r="I20" i="8"/>
  <c r="I4" i="8" s="1"/>
  <c r="I5" i="8" s="1"/>
  <c r="I2" i="8" s="1"/>
  <c r="J48" i="11" s="1"/>
  <c r="J18" i="8"/>
  <c r="I18" i="8"/>
  <c r="J20" i="8"/>
  <c r="J4" i="8" s="1"/>
  <c r="J5" i="8" s="1"/>
  <c r="J2" i="8" s="1"/>
  <c r="K48" i="11" s="1"/>
  <c r="G5" i="8"/>
  <c r="D23" i="18"/>
  <c r="J166" i="6"/>
  <c r="J167" i="6" s="1"/>
  <c r="J56" i="11" s="1"/>
  <c r="K43" i="14"/>
  <c r="K20" i="8"/>
  <c r="K4" i="8" s="1"/>
  <c r="K5" i="8" s="1"/>
  <c r="K2" i="8" s="1"/>
  <c r="L48" i="11" s="1"/>
  <c r="G2" i="8" l="1"/>
  <c r="H48" i="11"/>
  <c r="B18" i="17"/>
  <c r="B28" i="17" s="1"/>
  <c r="K166" i="6"/>
  <c r="K167" i="6" s="1"/>
  <c r="K56" i="11" s="1"/>
  <c r="K36" i="14"/>
  <c r="L43" i="14"/>
  <c r="F19" i="8"/>
  <c r="E19" i="8"/>
  <c r="D19" i="8"/>
  <c r="C19" i="8"/>
  <c r="B19" i="8"/>
  <c r="B20" i="8" s="1"/>
  <c r="B4" i="8" s="1"/>
  <c r="F20" i="8"/>
  <c r="F4" i="8" s="1"/>
  <c r="D20" i="8"/>
  <c r="D4" i="8" s="1"/>
  <c r="E6" i="8"/>
  <c r="E5" i="8" s="1"/>
  <c r="F5" i="8"/>
  <c r="D5" i="8"/>
  <c r="C5" i="8"/>
  <c r="B5" i="8"/>
  <c r="E23" i="18" l="1"/>
  <c r="L36" i="14"/>
  <c r="L166" i="6"/>
  <c r="L167" i="6" s="1"/>
  <c r="L56" i="11" s="1"/>
  <c r="B3" i="8"/>
  <c r="D3" i="8"/>
  <c r="F3" i="8"/>
  <c r="F2" i="8"/>
  <c r="G48" i="11" s="1"/>
  <c r="G158" i="6" s="1"/>
  <c r="C20" i="8"/>
  <c r="C4" i="8" s="1"/>
  <c r="C3" i="8" s="1"/>
  <c r="E20" i="8"/>
  <c r="E4" i="8" s="1"/>
  <c r="E3" i="8" s="1"/>
  <c r="D2" i="8"/>
  <c r="E48" i="11" s="1"/>
  <c r="E158" i="6" s="1"/>
  <c r="B2" i="8"/>
  <c r="C48" i="11" s="1"/>
  <c r="C158" i="6" s="1"/>
  <c r="D24" i="12"/>
  <c r="E24" i="12"/>
  <c r="F24" i="12"/>
  <c r="G24" i="12"/>
  <c r="D25" i="12"/>
  <c r="E25" i="12"/>
  <c r="D26" i="12"/>
  <c r="E26" i="12"/>
  <c r="F26" i="12"/>
  <c r="C26" i="12"/>
  <c r="C25" i="12"/>
  <c r="C24" i="12"/>
  <c r="C21" i="12"/>
  <c r="C19" i="12"/>
  <c r="D13" i="12"/>
  <c r="C13" i="12"/>
  <c r="G18" i="12"/>
  <c r="G10" i="12"/>
  <c r="F18" i="12"/>
  <c r="F10" i="12"/>
  <c r="D11" i="12"/>
  <c r="E8" i="12" s="1"/>
  <c r="D12" i="12"/>
  <c r="C11" i="12"/>
  <c r="C20" i="12"/>
  <c r="D15" i="12" s="1"/>
  <c r="D16" i="12" s="1"/>
  <c r="C16" i="12"/>
  <c r="D8" i="12"/>
  <c r="C12" i="12"/>
  <c r="C2" i="8" l="1"/>
  <c r="D48" i="11" s="1"/>
  <c r="D158" i="6" s="1"/>
  <c r="E12" i="12"/>
  <c r="E13" i="12"/>
  <c r="D20" i="12"/>
  <c r="E15" i="12" s="1"/>
  <c r="D19" i="12"/>
  <c r="F23" i="18"/>
  <c r="E23" i="12"/>
  <c r="E30" i="12" s="1"/>
  <c r="C23" i="12"/>
  <c r="C31" i="12" s="1"/>
  <c r="D23" i="12"/>
  <c r="D29" i="12" s="1"/>
  <c r="E2" i="8"/>
  <c r="F48" i="11" s="1"/>
  <c r="F158" i="6" s="1"/>
  <c r="E11" i="12"/>
  <c r="E20" i="12" l="1"/>
  <c r="F15" i="12" s="1"/>
  <c r="E19" i="12"/>
  <c r="E16" i="12"/>
  <c r="D21" i="12"/>
  <c r="F8" i="12"/>
  <c r="F13" i="12" s="1"/>
  <c r="E21" i="12"/>
  <c r="C29" i="12"/>
  <c r="D30" i="12"/>
  <c r="E29" i="12"/>
  <c r="D31" i="12"/>
  <c r="C30" i="12"/>
  <c r="E31" i="12"/>
  <c r="F11" i="12"/>
  <c r="F12" i="12"/>
  <c r="G8" i="12" l="1"/>
  <c r="G13" i="12" s="1"/>
  <c r="F19" i="12"/>
  <c r="F20" i="12"/>
  <c r="G15" i="12" s="1"/>
  <c r="F16" i="12"/>
  <c r="G12" i="12"/>
  <c r="G11" i="12"/>
  <c r="H8" i="12" l="1"/>
  <c r="F21" i="12"/>
  <c r="G19" i="12"/>
  <c r="G20" i="12"/>
  <c r="H15" i="12" s="1"/>
  <c r="G16" i="12"/>
  <c r="G21" i="12" l="1"/>
  <c r="H17" i="12"/>
  <c r="H18" i="12"/>
  <c r="H20" i="12"/>
  <c r="I15" i="12" s="1"/>
  <c r="I17" i="12" s="1"/>
  <c r="H10" i="12"/>
  <c r="H9" i="12"/>
  <c r="H11" i="12" s="1"/>
  <c r="I18" i="12"/>
  <c r="I8" i="12" l="1"/>
  <c r="H21" i="12"/>
  <c r="H18" i="14" s="1"/>
  <c r="H25" i="12"/>
  <c r="H24" i="12"/>
  <c r="H26" i="12"/>
  <c r="I24" i="12"/>
  <c r="I25" i="12"/>
  <c r="I26" i="12"/>
  <c r="I20" i="12"/>
  <c r="H26" i="11" l="1"/>
  <c r="H23" i="12"/>
  <c r="I10" i="12"/>
  <c r="I9" i="12"/>
  <c r="J15" i="12"/>
  <c r="I23" i="12"/>
  <c r="I26" i="11"/>
  <c r="D9" i="17" l="1"/>
  <c r="B8" i="18"/>
  <c r="B19" i="18" s="1"/>
  <c r="B18" i="18" s="1"/>
  <c r="D11" i="17" s="1"/>
  <c r="E9" i="17"/>
  <c r="C8" i="18"/>
  <c r="I11" i="12"/>
  <c r="J17" i="12"/>
  <c r="J18" i="12"/>
  <c r="J20" i="12" s="1"/>
  <c r="J8" i="12" l="1"/>
  <c r="I21" i="12"/>
  <c r="I18" i="14" s="1"/>
  <c r="K15" i="12"/>
  <c r="J24" i="12"/>
  <c r="J26" i="12"/>
  <c r="J25" i="12"/>
  <c r="D47" i="6"/>
  <c r="H22" i="6"/>
  <c r="G27" i="6"/>
  <c r="G23" i="6"/>
  <c r="F23" i="6"/>
  <c r="G26" i="6"/>
  <c r="G24" i="6" s="1"/>
  <c r="H26" i="6"/>
  <c r="I26" i="6"/>
  <c r="J26" i="6"/>
  <c r="K26" i="6"/>
  <c r="L26" i="6"/>
  <c r="F26" i="6"/>
  <c r="F24" i="6" s="1"/>
  <c r="D31" i="6"/>
  <c r="E31" i="6"/>
  <c r="F31" i="6"/>
  <c r="F30" i="6" s="1"/>
  <c r="F49" i="6" s="1"/>
  <c r="G31" i="6"/>
  <c r="G30" i="6" s="1"/>
  <c r="G49" i="6" s="1"/>
  <c r="C31" i="6"/>
  <c r="H32" i="6"/>
  <c r="H31" i="6" s="1"/>
  <c r="H30" i="6" s="1"/>
  <c r="H49" i="6" s="1"/>
  <c r="H47" i="6" s="1"/>
  <c r="E34" i="6"/>
  <c r="F34" i="6"/>
  <c r="G34" i="6"/>
  <c r="D34" i="6"/>
  <c r="D30" i="6"/>
  <c r="D49" i="6" s="1"/>
  <c r="E30" i="6"/>
  <c r="E49" i="6" s="1"/>
  <c r="E47" i="6" s="1"/>
  <c r="C30" i="6"/>
  <c r="C49" i="6" s="1"/>
  <c r="C47" i="6" s="1"/>
  <c r="H140" i="6"/>
  <c r="I140" i="6" s="1"/>
  <c r="J140" i="6" s="1"/>
  <c r="K140" i="6" s="1"/>
  <c r="L140" i="6" s="1"/>
  <c r="D128" i="6"/>
  <c r="E128" i="6"/>
  <c r="F128" i="6"/>
  <c r="G128" i="6"/>
  <c r="C128" i="6"/>
  <c r="H130" i="6"/>
  <c r="H128" i="6" s="1"/>
  <c r="H122" i="6"/>
  <c r="H124" i="6" s="1"/>
  <c r="H121" i="6" s="1"/>
  <c r="D124" i="6"/>
  <c r="D121" i="6" s="1"/>
  <c r="E124" i="6"/>
  <c r="E121" i="6" s="1"/>
  <c r="F124" i="6"/>
  <c r="F121" i="6" s="1"/>
  <c r="G124" i="6"/>
  <c r="G121" i="6" s="1"/>
  <c r="C124" i="6"/>
  <c r="C121" i="6" s="1"/>
  <c r="D116" i="6"/>
  <c r="D117" i="6" s="1"/>
  <c r="D118" i="6" s="1"/>
  <c r="E116" i="6"/>
  <c r="E117" i="6" s="1"/>
  <c r="E118" i="6" s="1"/>
  <c r="F116" i="6"/>
  <c r="F117" i="6" s="1"/>
  <c r="F118" i="6" s="1"/>
  <c r="G116" i="6"/>
  <c r="G117" i="6" s="1"/>
  <c r="G118" i="6" s="1"/>
  <c r="H116" i="6"/>
  <c r="H117" i="6" s="1"/>
  <c r="H118" i="6" s="1"/>
  <c r="I116" i="6"/>
  <c r="I117" i="6" s="1"/>
  <c r="I118" i="6" s="1"/>
  <c r="J116" i="6"/>
  <c r="J117" i="6" s="1"/>
  <c r="J118" i="6" s="1"/>
  <c r="K116" i="6"/>
  <c r="K117" i="6" s="1"/>
  <c r="K118" i="6" s="1"/>
  <c r="L116" i="6"/>
  <c r="L117" i="6" s="1"/>
  <c r="L118" i="6" s="1"/>
  <c r="C116" i="6"/>
  <c r="C117" i="6" s="1"/>
  <c r="C118" i="6" s="1"/>
  <c r="E37" i="6"/>
  <c r="F37" i="6"/>
  <c r="G37" i="6"/>
  <c r="D37" i="6"/>
  <c r="D20" i="6"/>
  <c r="E20" i="6"/>
  <c r="F20" i="6"/>
  <c r="G20" i="6"/>
  <c r="H20" i="6"/>
  <c r="I20" i="6"/>
  <c r="J20" i="6"/>
  <c r="K20" i="6"/>
  <c r="L20" i="6"/>
  <c r="C20" i="6"/>
  <c r="H105" i="6"/>
  <c r="H110" i="6" s="1"/>
  <c r="I105" i="6"/>
  <c r="I110" i="6" s="1"/>
  <c r="J105" i="6"/>
  <c r="J110" i="6" s="1"/>
  <c r="K105" i="6"/>
  <c r="K110" i="6" s="1"/>
  <c r="L105" i="6"/>
  <c r="L110" i="6" s="1"/>
  <c r="F105" i="6"/>
  <c r="F110" i="6" s="1"/>
  <c r="G105" i="6"/>
  <c r="G110" i="6" s="1"/>
  <c r="F106" i="6"/>
  <c r="C19" i="18" l="1"/>
  <c r="C18" i="18" s="1"/>
  <c r="E11" i="17" s="1"/>
  <c r="J10" i="12"/>
  <c r="J9" i="12"/>
  <c r="G51" i="6"/>
  <c r="G54" i="6" s="1"/>
  <c r="G61" i="6" s="1"/>
  <c r="G47" i="6"/>
  <c r="F51" i="6"/>
  <c r="F54" i="6" s="1"/>
  <c r="F61" i="6" s="1"/>
  <c r="F47" i="6"/>
  <c r="E51" i="6"/>
  <c r="E54" i="6" s="1"/>
  <c r="E61" i="6" s="1"/>
  <c r="H51" i="6"/>
  <c r="H54" i="6" s="1"/>
  <c r="D51" i="6"/>
  <c r="D54" i="6" s="1"/>
  <c r="D61" i="6" s="1"/>
  <c r="I22" i="6"/>
  <c r="J22" i="6" s="1"/>
  <c r="H104" i="6"/>
  <c r="C51" i="6"/>
  <c r="C54" i="6" s="1"/>
  <c r="C61" i="6" s="1"/>
  <c r="I104" i="6"/>
  <c r="J23" i="12"/>
  <c r="J26" i="11"/>
  <c r="K17" i="12"/>
  <c r="K18" i="12"/>
  <c r="K20" i="12" s="1"/>
  <c r="C41" i="6"/>
  <c r="C56" i="6" s="1"/>
  <c r="G41" i="6"/>
  <c r="G56" i="6" s="1"/>
  <c r="E41" i="6"/>
  <c r="E56" i="6" s="1"/>
  <c r="F41" i="6"/>
  <c r="F56" i="6" s="1"/>
  <c r="D41" i="6"/>
  <c r="D56" i="6" s="1"/>
  <c r="I32" i="6"/>
  <c r="J32" i="6" s="1"/>
  <c r="J31" i="6" s="1"/>
  <c r="J30" i="6" s="1"/>
  <c r="I122" i="6"/>
  <c r="I130" i="6"/>
  <c r="E105" i="6"/>
  <c r="E110" i="6" s="1"/>
  <c r="D22" i="6"/>
  <c r="D104" i="6" s="1"/>
  <c r="D98" i="6" s="1"/>
  <c r="E22" i="6"/>
  <c r="E104" i="6" s="1"/>
  <c r="E98" i="6" s="1"/>
  <c r="C22" i="6"/>
  <c r="C104" i="6" s="1"/>
  <c r="C98" i="6" s="1"/>
  <c r="J11" i="12" l="1"/>
  <c r="F9" i="17"/>
  <c r="D8" i="18"/>
  <c r="I31" i="6"/>
  <c r="I30" i="6" s="1"/>
  <c r="H80" i="6"/>
  <c r="H84" i="6"/>
  <c r="H79" i="6"/>
  <c r="H81" i="6"/>
  <c r="H82" i="6"/>
  <c r="H98" i="6"/>
  <c r="K32" i="6"/>
  <c r="K31" i="6" s="1"/>
  <c r="K30" i="6" s="1"/>
  <c r="K49" i="6" s="1"/>
  <c r="I98" i="6"/>
  <c r="I81" i="6"/>
  <c r="I82" i="6"/>
  <c r="I84" i="6"/>
  <c r="K22" i="6"/>
  <c r="J104" i="6"/>
  <c r="L15" i="12"/>
  <c r="K24" i="12"/>
  <c r="K25" i="12"/>
  <c r="K26" i="12"/>
  <c r="I49" i="6"/>
  <c r="J49" i="6"/>
  <c r="D27" i="6"/>
  <c r="F27" i="6"/>
  <c r="E27" i="6"/>
  <c r="C25" i="6"/>
  <c r="C26" i="6"/>
  <c r="D25" i="6"/>
  <c r="D26" i="6"/>
  <c r="I128" i="6"/>
  <c r="I80" i="6" s="1"/>
  <c r="J130" i="6"/>
  <c r="E25" i="6"/>
  <c r="E26" i="6"/>
  <c r="J122" i="6"/>
  <c r="I124" i="6"/>
  <c r="I121" i="6" s="1"/>
  <c r="I79" i="6" s="1"/>
  <c r="L32" i="6"/>
  <c r="L31" i="6" s="1"/>
  <c r="L30" i="6" s="1"/>
  <c r="K8" i="12" l="1"/>
  <c r="J21" i="12"/>
  <c r="J18" i="14" s="1"/>
  <c r="I47" i="6"/>
  <c r="I51" i="6"/>
  <c r="I54" i="6" s="1"/>
  <c r="K51" i="6"/>
  <c r="K54" i="6" s="1"/>
  <c r="K47" i="6"/>
  <c r="J51" i="6"/>
  <c r="J54" i="6" s="1"/>
  <c r="J47" i="6"/>
  <c r="L22" i="6"/>
  <c r="L104" i="6" s="1"/>
  <c r="K104" i="6"/>
  <c r="J98" i="6"/>
  <c r="J82" i="6"/>
  <c r="J81" i="6"/>
  <c r="J84" i="6"/>
  <c r="K23" i="12"/>
  <c r="K26" i="11"/>
  <c r="L17" i="12"/>
  <c r="L18" i="12"/>
  <c r="L20" i="12" s="1"/>
  <c r="L49" i="6"/>
  <c r="K122" i="6"/>
  <c r="J124" i="6"/>
  <c r="J121" i="6" s="1"/>
  <c r="J79" i="6" s="1"/>
  <c r="K130" i="6"/>
  <c r="J128" i="6"/>
  <c r="J80" i="6" s="1"/>
  <c r="O4" i="10"/>
  <c r="P4" i="10" s="1"/>
  <c r="Q4" i="10" s="1"/>
  <c r="R4" i="10" s="1"/>
  <c r="S4" i="10" s="1"/>
  <c r="C18" i="10"/>
  <c r="N16" i="10"/>
  <c r="M16" i="10"/>
  <c r="L16" i="10"/>
  <c r="K16" i="10"/>
  <c r="J16" i="10"/>
  <c r="I16" i="10"/>
  <c r="H16" i="10"/>
  <c r="G16" i="10"/>
  <c r="F16" i="10"/>
  <c r="E16" i="10"/>
  <c r="D16" i="10"/>
  <c r="N15" i="10"/>
  <c r="M15" i="10"/>
  <c r="L15" i="10"/>
  <c r="K15" i="10"/>
  <c r="J15" i="10"/>
  <c r="I15" i="10"/>
  <c r="H15" i="10"/>
  <c r="G15" i="10"/>
  <c r="F15" i="10"/>
  <c r="E15" i="10"/>
  <c r="D15" i="10"/>
  <c r="C12" i="10"/>
  <c r="C11" i="10"/>
  <c r="N6" i="10"/>
  <c r="N18" i="10" s="1"/>
  <c r="M6" i="10"/>
  <c r="M18" i="10" s="1"/>
  <c r="L6" i="10"/>
  <c r="L18" i="10" s="1"/>
  <c r="K6" i="10"/>
  <c r="K11" i="10" s="1"/>
  <c r="J6" i="10"/>
  <c r="J18" i="10" s="1"/>
  <c r="I6" i="10"/>
  <c r="I18" i="10" s="1"/>
  <c r="H6" i="10"/>
  <c r="H18" i="10" s="1"/>
  <c r="G6" i="10"/>
  <c r="G18" i="10" s="1"/>
  <c r="F6" i="10"/>
  <c r="F18" i="10" s="1"/>
  <c r="E6" i="10"/>
  <c r="E18" i="10" s="1"/>
  <c r="D6" i="10"/>
  <c r="D18" i="10" s="1"/>
  <c r="P27" i="10"/>
  <c r="Q27" i="10"/>
  <c r="R27" i="10"/>
  <c r="S27" i="10"/>
  <c r="O27" i="10"/>
  <c r="O21" i="10"/>
  <c r="H9" i="6" s="1"/>
  <c r="H114" i="6" s="1"/>
  <c r="D11" i="6"/>
  <c r="E11" i="6"/>
  <c r="F11" i="6"/>
  <c r="G11" i="6"/>
  <c r="H11" i="6"/>
  <c r="I11" i="6"/>
  <c r="J11" i="6"/>
  <c r="K11" i="6"/>
  <c r="L11" i="6"/>
  <c r="D9" i="6"/>
  <c r="E9" i="6"/>
  <c r="F9" i="6"/>
  <c r="G9" i="6"/>
  <c r="C11" i="6"/>
  <c r="C9" i="6"/>
  <c r="C13" i="14"/>
  <c r="D13" i="14"/>
  <c r="D15" i="14" s="1"/>
  <c r="E13" i="14"/>
  <c r="E15" i="14" s="1"/>
  <c r="D55" i="14"/>
  <c r="E55" i="14"/>
  <c r="F55" i="14"/>
  <c r="G55" i="14"/>
  <c r="L55" i="14"/>
  <c r="P12" i="17" s="1"/>
  <c r="C55" i="14"/>
  <c r="D48" i="14"/>
  <c r="E48" i="14"/>
  <c r="F48" i="14"/>
  <c r="G48" i="14"/>
  <c r="H48" i="14"/>
  <c r="I48" i="14"/>
  <c r="J48" i="14"/>
  <c r="K48" i="14"/>
  <c r="L48" i="14"/>
  <c r="C48" i="14"/>
  <c r="D40" i="14"/>
  <c r="E40" i="14"/>
  <c r="F40" i="14"/>
  <c r="G40" i="14"/>
  <c r="C40" i="14"/>
  <c r="D23" i="14"/>
  <c r="E23" i="14"/>
  <c r="E25" i="14" s="1"/>
  <c r="F23" i="14"/>
  <c r="G23" i="14"/>
  <c r="H23" i="14"/>
  <c r="I23" i="14"/>
  <c r="J23" i="14"/>
  <c r="C23" i="14"/>
  <c r="F13" i="14"/>
  <c r="F15" i="14" s="1"/>
  <c r="G13" i="14"/>
  <c r="G15" i="14" s="1"/>
  <c r="C15" i="14"/>
  <c r="E38" i="11"/>
  <c r="C46" i="11"/>
  <c r="C40" i="11" s="1"/>
  <c r="D46" i="11"/>
  <c r="C38" i="11"/>
  <c r="C33" i="11" s="1"/>
  <c r="G28" i="11"/>
  <c r="F28" i="11"/>
  <c r="E28" i="11"/>
  <c r="H11" i="11"/>
  <c r="I11" i="11"/>
  <c r="J11" i="11"/>
  <c r="K11" i="11"/>
  <c r="L11" i="11"/>
  <c r="D7" i="11"/>
  <c r="E7" i="11"/>
  <c r="F7" i="11"/>
  <c r="G7" i="11"/>
  <c r="D28" i="11"/>
  <c r="C28" i="11"/>
  <c r="D19" i="18" l="1"/>
  <c r="D18" i="18" s="1"/>
  <c r="F11" i="17" s="1"/>
  <c r="E8" i="18"/>
  <c r="G9" i="17"/>
  <c r="K10" i="12"/>
  <c r="K9" i="12"/>
  <c r="P13" i="17"/>
  <c r="Q13" i="17" s="1"/>
  <c r="Q12" i="17"/>
  <c r="L47" i="6"/>
  <c r="L51" i="6"/>
  <c r="L54" i="6" s="1"/>
  <c r="H134" i="6"/>
  <c r="H136" i="6" s="1"/>
  <c r="H133" i="6" s="1"/>
  <c r="H83" i="6" s="1"/>
  <c r="H77" i="6"/>
  <c r="K98" i="6"/>
  <c r="K81" i="6"/>
  <c r="K84" i="6"/>
  <c r="K82" i="6"/>
  <c r="L81" i="6"/>
  <c r="L82" i="6"/>
  <c r="L84" i="6"/>
  <c r="L98" i="6"/>
  <c r="L24" i="12"/>
  <c r="L25" i="12"/>
  <c r="L26" i="12"/>
  <c r="C114" i="6"/>
  <c r="C42" i="6"/>
  <c r="G114" i="6"/>
  <c r="G42" i="6"/>
  <c r="E114" i="6"/>
  <c r="E42" i="6"/>
  <c r="F114" i="6"/>
  <c r="F42" i="6"/>
  <c r="D114" i="6"/>
  <c r="D42" i="6"/>
  <c r="L130" i="6"/>
  <c r="L128" i="6" s="1"/>
  <c r="L80" i="6" s="1"/>
  <c r="K128" i="6"/>
  <c r="K80" i="6" s="1"/>
  <c r="L122" i="6"/>
  <c r="L124" i="6" s="1"/>
  <c r="L121" i="6" s="1"/>
  <c r="L79" i="6" s="1"/>
  <c r="K124" i="6"/>
  <c r="K121" i="6" s="1"/>
  <c r="K79" i="6" s="1"/>
  <c r="P21" i="10"/>
  <c r="K12" i="10"/>
  <c r="K18" i="10"/>
  <c r="H11" i="10"/>
  <c r="L11" i="10"/>
  <c r="D12" i="10"/>
  <c r="D11" i="10" s="1"/>
  <c r="H12" i="10"/>
  <c r="L12" i="10"/>
  <c r="D14" i="10"/>
  <c r="H14" i="10"/>
  <c r="L14" i="10"/>
  <c r="G14" i="10"/>
  <c r="K14" i="10"/>
  <c r="I11" i="10"/>
  <c r="M11" i="10"/>
  <c r="E12" i="10"/>
  <c r="E11" i="10" s="1"/>
  <c r="I12" i="10"/>
  <c r="M12" i="10"/>
  <c r="E14" i="10"/>
  <c r="I14" i="10"/>
  <c r="M14" i="10"/>
  <c r="G12" i="10"/>
  <c r="G11" i="10" s="1"/>
  <c r="J11" i="10"/>
  <c r="N11" i="10"/>
  <c r="F12" i="10"/>
  <c r="F11" i="10" s="1"/>
  <c r="J12" i="10"/>
  <c r="N12" i="10"/>
  <c r="F14" i="10"/>
  <c r="J14" i="10"/>
  <c r="N14" i="10"/>
  <c r="F25" i="14"/>
  <c r="G25" i="14"/>
  <c r="D25" i="14"/>
  <c r="C25" i="14"/>
  <c r="G57" i="14"/>
  <c r="F57" i="14"/>
  <c r="F58" i="14" s="1"/>
  <c r="C57" i="14"/>
  <c r="D57" i="14"/>
  <c r="E57" i="14"/>
  <c r="E58" i="14" s="1"/>
  <c r="P14" i="17" l="1"/>
  <c r="Q14" i="17" s="1"/>
  <c r="K11" i="12"/>
  <c r="D134" i="6"/>
  <c r="D136" i="6" s="1"/>
  <c r="D133" i="6" s="1"/>
  <c r="D77" i="6"/>
  <c r="E134" i="6"/>
  <c r="E136" i="6" s="1"/>
  <c r="E133" i="6" s="1"/>
  <c r="E77" i="6"/>
  <c r="C134" i="6"/>
  <c r="C136" i="6" s="1"/>
  <c r="C133" i="6" s="1"/>
  <c r="C77" i="6"/>
  <c r="F134" i="6"/>
  <c r="F136" i="6" s="1"/>
  <c r="F133" i="6" s="1"/>
  <c r="F77" i="6"/>
  <c r="G134" i="6"/>
  <c r="G136" i="6" s="1"/>
  <c r="G133" i="6" s="1"/>
  <c r="G77" i="6"/>
  <c r="G58" i="14"/>
  <c r="D58" i="14"/>
  <c r="L23" i="12"/>
  <c r="L26" i="11"/>
  <c r="G39" i="6"/>
  <c r="G62" i="6"/>
  <c r="G59" i="6" s="1"/>
  <c r="F39" i="6"/>
  <c r="F62" i="6"/>
  <c r="F59" i="6" s="1"/>
  <c r="D39" i="6"/>
  <c r="D62" i="6"/>
  <c r="D59" i="6" s="1"/>
  <c r="E39" i="6"/>
  <c r="E62" i="6"/>
  <c r="E59" i="6" s="1"/>
  <c r="C39" i="6"/>
  <c r="C62" i="6"/>
  <c r="C59" i="6" s="1"/>
  <c r="C57" i="6"/>
  <c r="C58" i="14"/>
  <c r="I9" i="6"/>
  <c r="I114" i="6" s="1"/>
  <c r="Q21" i="10"/>
  <c r="C27" i="11"/>
  <c r="C20" i="11"/>
  <c r="C12" i="11"/>
  <c r="C11" i="11" s="1"/>
  <c r="C7" i="11"/>
  <c r="H9" i="17" l="1"/>
  <c r="I9" i="17" s="1"/>
  <c r="F8" i="18"/>
  <c r="L8" i="12"/>
  <c r="K21" i="12"/>
  <c r="K18" i="14" s="1"/>
  <c r="I134" i="6"/>
  <c r="I136" i="6" s="1"/>
  <c r="I133" i="6" s="1"/>
  <c r="I83" i="6" s="1"/>
  <c r="I77" i="6"/>
  <c r="R21" i="10"/>
  <c r="J9" i="6"/>
  <c r="J114" i="6" s="1"/>
  <c r="G59" i="11"/>
  <c r="E59" i="11"/>
  <c r="D59" i="11"/>
  <c r="K23" i="14" l="1"/>
  <c r="E19" i="18"/>
  <c r="E18" i="18" s="1"/>
  <c r="G11" i="17" s="1"/>
  <c r="L9" i="12"/>
  <c r="L11" i="12" s="1"/>
  <c r="L21" i="12" s="1"/>
  <c r="L18" i="14" s="1"/>
  <c r="L10" i="12"/>
  <c r="J134" i="6"/>
  <c r="J136" i="6" s="1"/>
  <c r="J133" i="6" s="1"/>
  <c r="J83" i="6" s="1"/>
  <c r="J77" i="6"/>
  <c r="K9" i="6"/>
  <c r="K114" i="6" s="1"/>
  <c r="S21" i="10"/>
  <c r="L9" i="6" s="1"/>
  <c r="L114" i="6" s="1"/>
  <c r="D40" i="11"/>
  <c r="G46" i="11"/>
  <c r="F46" i="11"/>
  <c r="F40" i="11" s="1"/>
  <c r="G44" i="11"/>
  <c r="E46" i="11"/>
  <c r="E40" i="11" s="1"/>
  <c r="L23" i="14" l="1"/>
  <c r="F19" i="18"/>
  <c r="F18" i="18" s="1"/>
  <c r="H11" i="17" s="1"/>
  <c r="I11" i="17" s="1"/>
  <c r="L134" i="6"/>
  <c r="L136" i="6" s="1"/>
  <c r="L133" i="6" s="1"/>
  <c r="L83" i="6" s="1"/>
  <c r="L77" i="6"/>
  <c r="K134" i="6"/>
  <c r="K136" i="6" s="1"/>
  <c r="K133" i="6" s="1"/>
  <c r="K83" i="6" s="1"/>
  <c r="K77" i="6"/>
  <c r="G40" i="11"/>
  <c r="G26" i="12"/>
  <c r="E33" i="11"/>
  <c r="G38" i="11"/>
  <c r="F38" i="11"/>
  <c r="F33" i="11" s="1"/>
  <c r="G36" i="11"/>
  <c r="G35" i="11"/>
  <c r="F35" i="11"/>
  <c r="F25" i="12" s="1"/>
  <c r="D38" i="11"/>
  <c r="D33" i="11" s="1"/>
  <c r="F23" i="12" l="1"/>
  <c r="F30" i="12"/>
  <c r="G33" i="11"/>
  <c r="G25" i="12"/>
  <c r="G23" i="12" s="1"/>
  <c r="G27" i="11"/>
  <c r="F27" i="11"/>
  <c r="G20" i="11"/>
  <c r="F20" i="11"/>
  <c r="E27" i="11"/>
  <c r="D27" i="11"/>
  <c r="D74" i="6" s="1"/>
  <c r="E20" i="11"/>
  <c r="D20" i="11"/>
  <c r="D17" i="11"/>
  <c r="D148" i="6" s="1"/>
  <c r="C17" i="11"/>
  <c r="C148" i="6" s="1"/>
  <c r="E17" i="11"/>
  <c r="E148" i="6" s="1"/>
  <c r="F17" i="11"/>
  <c r="F148" i="6" s="1"/>
  <c r="G17" i="11"/>
  <c r="G148" i="6" s="1"/>
  <c r="C16" i="11"/>
  <c r="D12" i="11"/>
  <c r="D11" i="11" s="1"/>
  <c r="D15" i="11" s="1"/>
  <c r="G12" i="11"/>
  <c r="G11" i="11" s="1"/>
  <c r="G15" i="11" s="1"/>
  <c r="F12" i="11"/>
  <c r="F11" i="11" s="1"/>
  <c r="F15" i="11" s="1"/>
  <c r="E12" i="11"/>
  <c r="E11" i="11" s="1"/>
  <c r="E15" i="11" s="1"/>
  <c r="E146" i="6" s="1"/>
  <c r="E16" i="11" l="1"/>
  <c r="G19" i="11"/>
  <c r="G67" i="6"/>
  <c r="F74" i="6"/>
  <c r="D162" i="6"/>
  <c r="D154" i="6"/>
  <c r="D70" i="6"/>
  <c r="D69" i="6"/>
  <c r="D73" i="6"/>
  <c r="D72" i="6"/>
  <c r="D68" i="6"/>
  <c r="D71" i="6"/>
  <c r="E74" i="6"/>
  <c r="G74" i="6"/>
  <c r="G30" i="12"/>
  <c r="G29" i="12"/>
  <c r="F154" i="6"/>
  <c r="F162" i="6"/>
  <c r="F72" i="6"/>
  <c r="F68" i="6"/>
  <c r="F71" i="6"/>
  <c r="F70" i="6"/>
  <c r="F73" i="6"/>
  <c r="F69" i="6"/>
  <c r="E19" i="11"/>
  <c r="E67" i="6"/>
  <c r="G162" i="6"/>
  <c r="G154" i="6"/>
  <c r="G73" i="6"/>
  <c r="G69" i="6"/>
  <c r="G68" i="6"/>
  <c r="G70" i="6"/>
  <c r="G72" i="6"/>
  <c r="G71" i="6"/>
  <c r="F146" i="6"/>
  <c r="F31" i="12"/>
  <c r="F29" i="12"/>
  <c r="E162" i="6"/>
  <c r="E154" i="6"/>
  <c r="E71" i="6"/>
  <c r="E70" i="6"/>
  <c r="E73" i="6"/>
  <c r="E69" i="6"/>
  <c r="E72" i="6"/>
  <c r="E68" i="6"/>
  <c r="G16" i="11"/>
  <c r="D19" i="11"/>
  <c r="D30" i="11" s="1"/>
  <c r="D50" i="11" s="1"/>
  <c r="D169" i="6" s="1"/>
  <c r="D67" i="6"/>
  <c r="F19" i="11"/>
  <c r="F67" i="6"/>
  <c r="G31" i="12"/>
  <c r="G146" i="6"/>
  <c r="D146" i="6"/>
  <c r="D16" i="11"/>
  <c r="F16" i="11"/>
  <c r="F30" i="11"/>
  <c r="C15" i="11"/>
  <c r="B17" i="13"/>
  <c r="C17" i="13" s="1"/>
  <c r="D17" i="13" s="1"/>
  <c r="N22" i="10"/>
  <c r="M22" i="10"/>
  <c r="D51" i="11" l="1"/>
  <c r="D57" i="11"/>
  <c r="D64" i="11" s="1"/>
  <c r="D152" i="6"/>
  <c r="D155" i="6"/>
  <c r="D153" i="6"/>
  <c r="C162" i="6"/>
  <c r="C154" i="6"/>
  <c r="C70" i="6"/>
  <c r="C73" i="6"/>
  <c r="C69" i="6"/>
  <c r="C72" i="6"/>
  <c r="C68" i="6"/>
  <c r="C71" i="6"/>
  <c r="C146" i="6"/>
  <c r="C67" i="6"/>
  <c r="C74" i="6"/>
  <c r="D31" i="11"/>
  <c r="F153" i="6"/>
  <c r="F152" i="6"/>
  <c r="F155" i="6"/>
  <c r="E30" i="11"/>
  <c r="E153" i="6"/>
  <c r="E152" i="6"/>
  <c r="E155" i="6"/>
  <c r="G30" i="11"/>
  <c r="G31" i="11" s="1"/>
  <c r="G155" i="6"/>
  <c r="G153" i="6"/>
  <c r="G152" i="6"/>
  <c r="G50" i="11"/>
  <c r="G169" i="6" s="1"/>
  <c r="F50" i="11"/>
  <c r="F169" i="6" s="1"/>
  <c r="F31" i="11"/>
  <c r="D58" i="11"/>
  <c r="D60" i="11"/>
  <c r="R14" i="13"/>
  <c r="S14" i="13"/>
  <c r="T14" i="13"/>
  <c r="U14" i="13"/>
  <c r="Q14" i="13"/>
  <c r="E50" i="11" l="1"/>
  <c r="E31" i="11"/>
  <c r="F57" i="11"/>
  <c r="F51" i="11"/>
  <c r="G57" i="11"/>
  <c r="G64" i="11" s="1"/>
  <c r="G51" i="11"/>
  <c r="F60" i="11" l="1"/>
  <c r="F64" i="11"/>
  <c r="E169" i="6"/>
  <c r="E57" i="11"/>
  <c r="E51" i="11"/>
  <c r="G58" i="11"/>
  <c r="G60" i="11"/>
  <c r="Q16" i="17" s="1"/>
  <c r="B4" i="13"/>
  <c r="C4" i="13"/>
  <c r="D4" i="13"/>
  <c r="E4" i="13"/>
  <c r="F4" i="13"/>
  <c r="B5" i="13"/>
  <c r="C5" i="13"/>
  <c r="D5" i="13"/>
  <c r="E5" i="13"/>
  <c r="F5" i="13"/>
  <c r="B8" i="13"/>
  <c r="B11" i="13" s="1"/>
  <c r="C8" i="13"/>
  <c r="C11" i="13" s="1"/>
  <c r="D8" i="13"/>
  <c r="D11" i="13" s="1"/>
  <c r="E8" i="13"/>
  <c r="E11" i="13" s="1"/>
  <c r="F8" i="13"/>
  <c r="B24" i="13"/>
  <c r="B31" i="13" s="1"/>
  <c r="C24" i="13"/>
  <c r="C31" i="13" s="1"/>
  <c r="D24" i="13"/>
  <c r="D31" i="13" s="1"/>
  <c r="E24" i="13"/>
  <c r="E31" i="13" s="1"/>
  <c r="F24" i="13"/>
  <c r="F31" i="13" s="1"/>
  <c r="G24" i="13"/>
  <c r="G31" i="13" s="1"/>
  <c r="H24" i="13"/>
  <c r="H31" i="13" s="1"/>
  <c r="I24" i="13"/>
  <c r="I31" i="13" s="1"/>
  <c r="B33" i="13"/>
  <c r="C33" i="13"/>
  <c r="D33" i="13"/>
  <c r="B35" i="13"/>
  <c r="C35" i="13"/>
  <c r="D35" i="13"/>
  <c r="D34" i="13"/>
  <c r="C34" i="13"/>
  <c r="B34" i="13"/>
  <c r="G68" i="11" l="1"/>
  <c r="G62" i="11"/>
  <c r="Q18" i="17"/>
  <c r="Q15" i="17" s="1"/>
  <c r="F68" i="11"/>
  <c r="F62" i="11"/>
  <c r="E64" i="11"/>
  <c r="E60" i="11"/>
  <c r="E58" i="11"/>
  <c r="E3" i="13"/>
  <c r="C3" i="13"/>
  <c r="B32" i="13"/>
  <c r="C32" i="13"/>
  <c r="D32" i="13"/>
  <c r="D3" i="13"/>
  <c r="D9" i="13" s="1"/>
  <c r="B3" i="13"/>
  <c r="B9" i="13" s="1"/>
  <c r="F3" i="13"/>
  <c r="F9" i="13" s="1"/>
  <c r="N41" i="10"/>
  <c r="N43" i="10"/>
  <c r="O43" i="10" s="1"/>
  <c r="N32" i="10"/>
  <c r="O32" i="10" s="1"/>
  <c r="P32" i="10" s="1"/>
  <c r="Q32" i="10" s="1"/>
  <c r="R32" i="10" s="1"/>
  <c r="S32" i="10" s="1"/>
  <c r="N27" i="10"/>
  <c r="O8" i="10" l="1"/>
  <c r="P43" i="10"/>
  <c r="E68" i="11"/>
  <c r="E62" i="11"/>
  <c r="E9" i="13"/>
  <c r="C9" i="13"/>
  <c r="N45" i="10"/>
  <c r="Q43" i="10" l="1"/>
  <c r="P8" i="10"/>
  <c r="G5" i="13"/>
  <c r="N47" i="10"/>
  <c r="N51" i="10"/>
  <c r="N50" i="10" s="1"/>
  <c r="H5" i="13" l="1"/>
  <c r="R43" i="10"/>
  <c r="Q8" i="10"/>
  <c r="M33" i="10"/>
  <c r="M29" i="10"/>
  <c r="M27" i="10"/>
  <c r="M25" i="10" s="1"/>
  <c r="N25" i="10" s="1"/>
  <c r="O25" i="10" s="1"/>
  <c r="M23" i="10"/>
  <c r="N23" i="10" s="1"/>
  <c r="O23" i="10" s="1"/>
  <c r="S43" i="10" l="1"/>
  <c r="R8" i="10"/>
  <c r="I5" i="13"/>
  <c r="O34" i="10"/>
  <c r="O29" i="10"/>
  <c r="P23" i="10"/>
  <c r="P25" i="10"/>
  <c r="O36" i="10"/>
  <c r="N36" i="10"/>
  <c r="N31" i="10"/>
  <c r="N34" i="10"/>
  <c r="M30" i="10"/>
  <c r="N30" i="10"/>
  <c r="M36" i="10"/>
  <c r="M37" i="10" s="1"/>
  <c r="M34" i="10"/>
  <c r="M35" i="10" s="1"/>
  <c r="M31" i="10"/>
  <c r="S8" i="10" l="1"/>
  <c r="O30" i="10"/>
  <c r="J5" i="13"/>
  <c r="Q25" i="10"/>
  <c r="P36" i="10"/>
  <c r="O37" i="10"/>
  <c r="Q23" i="10"/>
  <c r="P34" i="10"/>
  <c r="P29" i="10"/>
  <c r="O35" i="10"/>
  <c r="N37" i="10"/>
  <c r="N35" i="10"/>
  <c r="H41" i="10"/>
  <c r="I41" i="10"/>
  <c r="J41" i="10"/>
  <c r="K41" i="10"/>
  <c r="L41" i="10"/>
  <c r="M41" i="10"/>
  <c r="H43" i="10"/>
  <c r="I43" i="10"/>
  <c r="J43" i="10"/>
  <c r="K43" i="10"/>
  <c r="L43" i="10"/>
  <c r="M43" i="10"/>
  <c r="L37" i="10"/>
  <c r="K37" i="10"/>
  <c r="J37" i="10"/>
  <c r="I37" i="10"/>
  <c r="H37" i="10"/>
  <c r="L35" i="10"/>
  <c r="K35" i="10"/>
  <c r="J35" i="10"/>
  <c r="I35" i="10"/>
  <c r="L33" i="10"/>
  <c r="K33" i="10"/>
  <c r="J33" i="10"/>
  <c r="I33" i="10"/>
  <c r="H33" i="10"/>
  <c r="L31" i="10"/>
  <c r="K31" i="10"/>
  <c r="J31" i="10"/>
  <c r="I31" i="10"/>
  <c r="H31" i="10"/>
  <c r="L30" i="10"/>
  <c r="K30" i="10"/>
  <c r="J30" i="10"/>
  <c r="I30" i="10"/>
  <c r="H30" i="10"/>
  <c r="L27" i="10"/>
  <c r="K24" i="10"/>
  <c r="K27" i="10" s="1"/>
  <c r="J24" i="10"/>
  <c r="J27" i="10" s="1"/>
  <c r="I24" i="10"/>
  <c r="I27" i="10" s="1"/>
  <c r="L22" i="10"/>
  <c r="K22" i="10"/>
  <c r="J22" i="10"/>
  <c r="I22" i="10"/>
  <c r="H22" i="10"/>
  <c r="P35" i="10" l="1"/>
  <c r="K5" i="13"/>
  <c r="P30" i="10"/>
  <c r="R23" i="10"/>
  <c r="Q34" i="10"/>
  <c r="Q29" i="10"/>
  <c r="P37" i="10"/>
  <c r="R25" i="10"/>
  <c r="Q36" i="10"/>
  <c r="Q37" i="10" s="1"/>
  <c r="N44" i="10"/>
  <c r="N55" i="10"/>
  <c r="N54" i="10"/>
  <c r="N42" i="10"/>
  <c r="L44" i="10"/>
  <c r="J45" i="10"/>
  <c r="J47" i="10" s="1"/>
  <c r="K45" i="10"/>
  <c r="K47" i="10" s="1"/>
  <c r="K44" i="10"/>
  <c r="L42" i="10"/>
  <c r="L54" i="10"/>
  <c r="K54" i="10"/>
  <c r="K55" i="10"/>
  <c r="M42" i="10"/>
  <c r="I42" i="10"/>
  <c r="M54" i="10"/>
  <c r="I54" i="10"/>
  <c r="L45" i="10"/>
  <c r="L47" i="10" s="1"/>
  <c r="H45" i="10"/>
  <c r="H47" i="10" s="1"/>
  <c r="M44" i="10"/>
  <c r="I44" i="10"/>
  <c r="J42" i="10"/>
  <c r="L55" i="10"/>
  <c r="J54" i="10"/>
  <c r="M45" i="10"/>
  <c r="M47" i="10" s="1"/>
  <c r="I45" i="10"/>
  <c r="I47" i="10" s="1"/>
  <c r="J44" i="10"/>
  <c r="K42" i="10"/>
  <c r="M55" i="10"/>
  <c r="I55" i="10"/>
  <c r="J55" i="10"/>
  <c r="Q30" i="10" l="1"/>
  <c r="Q35" i="10"/>
  <c r="S25" i="10"/>
  <c r="S36" i="10" s="1"/>
  <c r="R36" i="10"/>
  <c r="S23" i="10"/>
  <c r="R34" i="10"/>
  <c r="R29" i="10"/>
  <c r="J51" i="10"/>
  <c r="J50" i="10" s="1"/>
  <c r="K51" i="10"/>
  <c r="K50" i="10" s="1"/>
  <c r="L51" i="10"/>
  <c r="L50" i="10" s="1"/>
  <c r="H51" i="10"/>
  <c r="H50" i="10" s="1"/>
  <c r="M51" i="10"/>
  <c r="M50" i="10" s="1"/>
  <c r="I51" i="10"/>
  <c r="I50" i="10" s="1"/>
  <c r="R30" i="10" l="1"/>
  <c r="R35" i="10"/>
  <c r="S37" i="10"/>
  <c r="R37" i="10"/>
  <c r="S34" i="10"/>
  <c r="S29" i="10"/>
  <c r="C60" i="10"/>
  <c r="D59" i="10"/>
  <c r="C59" i="10"/>
  <c r="C55" i="10"/>
  <c r="C54" i="10"/>
  <c r="C45" i="10"/>
  <c r="C51" i="10" s="1"/>
  <c r="C50" i="10" s="1"/>
  <c r="C44" i="10"/>
  <c r="G43" i="10"/>
  <c r="F43" i="10"/>
  <c r="E43" i="10"/>
  <c r="D43" i="10"/>
  <c r="D55" i="10" s="1"/>
  <c r="C42" i="10"/>
  <c r="G41" i="10"/>
  <c r="F41" i="10"/>
  <c r="E41" i="10"/>
  <c r="D41" i="10"/>
  <c r="G37" i="10"/>
  <c r="F37" i="10"/>
  <c r="E37" i="10"/>
  <c r="D37" i="10"/>
  <c r="G33" i="10"/>
  <c r="F33" i="10"/>
  <c r="E33" i="10"/>
  <c r="C31" i="10"/>
  <c r="G30" i="10"/>
  <c r="F30" i="10"/>
  <c r="E30" i="10"/>
  <c r="D30" i="10"/>
  <c r="G27" i="10"/>
  <c r="F27" i="10"/>
  <c r="E27" i="10"/>
  <c r="D27" i="10"/>
  <c r="C27" i="10"/>
  <c r="D23" i="10"/>
  <c r="D34" i="10" s="1"/>
  <c r="G22" i="10"/>
  <c r="F22" i="10"/>
  <c r="E22" i="10"/>
  <c r="D22" i="10"/>
  <c r="O59" i="10" l="1"/>
  <c r="S30" i="10"/>
  <c r="S35" i="10"/>
  <c r="E44" i="10"/>
  <c r="N59" i="10"/>
  <c r="C62" i="10"/>
  <c r="C63" i="10" s="1"/>
  <c r="H59" i="10"/>
  <c r="L59" i="10"/>
  <c r="K59" i="10"/>
  <c r="J59" i="10"/>
  <c r="I59" i="10"/>
  <c r="M59" i="10"/>
  <c r="G54" i="10"/>
  <c r="H42" i="10"/>
  <c r="H54" i="10"/>
  <c r="H44" i="10"/>
  <c r="H55" i="10"/>
  <c r="F54" i="10"/>
  <c r="G42" i="10"/>
  <c r="E23" i="10"/>
  <c r="E42" i="10"/>
  <c r="D44" i="10"/>
  <c r="D45" i="10"/>
  <c r="D47" i="10" s="1"/>
  <c r="C47" i="10"/>
  <c r="E54" i="10"/>
  <c r="G55" i="10"/>
  <c r="D60" i="10"/>
  <c r="D62" i="10" s="1"/>
  <c r="D63" i="10" s="1"/>
  <c r="D31" i="10"/>
  <c r="D42" i="10"/>
  <c r="G44" i="10"/>
  <c r="G45" i="10"/>
  <c r="G47" i="10" s="1"/>
  <c r="D54" i="10"/>
  <c r="F55" i="10"/>
  <c r="G59" i="10"/>
  <c r="F44" i="10"/>
  <c r="F45" i="10"/>
  <c r="F47" i="10" s="1"/>
  <c r="E55" i="10"/>
  <c r="F59" i="10"/>
  <c r="F42" i="10"/>
  <c r="E45" i="10"/>
  <c r="E47" i="10" s="1"/>
  <c r="E59" i="10"/>
  <c r="D51" i="10" l="1"/>
  <c r="D50" i="10" s="1"/>
  <c r="F51" i="10"/>
  <c r="F50" i="10" s="1"/>
  <c r="E51" i="10"/>
  <c r="E50" i="10" s="1"/>
  <c r="E60" i="10"/>
  <c r="E62" i="10" s="1"/>
  <c r="E63" i="10" s="1"/>
  <c r="F23" i="10"/>
  <c r="E34" i="10"/>
  <c r="E31" i="10"/>
  <c r="G51" i="10"/>
  <c r="G50" i="10" s="1"/>
  <c r="E35" i="10" l="1"/>
  <c r="F31" i="10"/>
  <c r="F60" i="10"/>
  <c r="F62" i="10" s="1"/>
  <c r="F63" i="10" s="1"/>
  <c r="G23" i="10"/>
  <c r="F34" i="10"/>
  <c r="O60" i="10" l="1"/>
  <c r="N60" i="10"/>
  <c r="N62" i="10" s="1"/>
  <c r="N63" i="10" s="1"/>
  <c r="H60" i="10"/>
  <c r="H62" i="10" s="1"/>
  <c r="H63" i="10" s="1"/>
  <c r="H24" i="10"/>
  <c r="H27" i="10" s="1"/>
  <c r="M60" i="10"/>
  <c r="M62" i="10" s="1"/>
  <c r="M63" i="10" s="1"/>
  <c r="L60" i="10"/>
  <c r="L62" i="10" s="1"/>
  <c r="L63" i="10" s="1"/>
  <c r="I60" i="10"/>
  <c r="I62" i="10" s="1"/>
  <c r="I63" i="10" s="1"/>
  <c r="K60" i="10"/>
  <c r="K62" i="10" s="1"/>
  <c r="K63" i="10" s="1"/>
  <c r="J60" i="10"/>
  <c r="J62" i="10" s="1"/>
  <c r="J63" i="10" s="1"/>
  <c r="F35" i="10"/>
  <c r="G34" i="10"/>
  <c r="O61" i="10" s="1"/>
  <c r="G31" i="10"/>
  <c r="G60" i="10"/>
  <c r="G62" i="10" s="1"/>
  <c r="G63" i="10" s="1"/>
  <c r="O41" i="10" l="1"/>
  <c r="O62" i="10"/>
  <c r="H35" i="10"/>
  <c r="G35" i="10"/>
  <c r="M5" i="17"/>
  <c r="N5" i="17" s="1"/>
  <c r="O5" i="17" s="1"/>
  <c r="P5" i="17" s="1"/>
  <c r="E5" i="17"/>
  <c r="F5" i="17" s="1"/>
  <c r="G5" i="17" s="1"/>
  <c r="H5" i="17" s="1"/>
  <c r="G4" i="17"/>
  <c r="H4" i="17" s="1"/>
  <c r="A1" i="17"/>
  <c r="P60" i="10" l="1"/>
  <c r="P41" i="10" s="1"/>
  <c r="Q59" i="10" s="1"/>
  <c r="O7" i="10"/>
  <c r="O42" i="10"/>
  <c r="O45" i="10"/>
  <c r="O47" i="10" s="1"/>
  <c r="O18" i="10" s="1"/>
  <c r="P59" i="10"/>
  <c r="Q61" i="10"/>
  <c r="P61" i="10"/>
  <c r="P2" i="13"/>
  <c r="Q2" i="13" s="1"/>
  <c r="R15" i="13"/>
  <c r="Q15" i="13"/>
  <c r="R16" i="13"/>
  <c r="Q16" i="13"/>
  <c r="R13" i="13"/>
  <c r="Q13" i="13"/>
  <c r="O6" i="10" l="1"/>
  <c r="O11" i="10" s="1"/>
  <c r="O15" i="10" s="1"/>
  <c r="G4" i="13"/>
  <c r="P62" i="10"/>
  <c r="P42" i="10"/>
  <c r="P7" i="10"/>
  <c r="P45" i="10"/>
  <c r="P47" i="10" s="1"/>
  <c r="P18" i="10" s="1"/>
  <c r="Q60" i="10"/>
  <c r="Q41" i="10" s="1"/>
  <c r="R2" i="13"/>
  <c r="Q9" i="13"/>
  <c r="Q62" i="10" l="1"/>
  <c r="P6" i="10"/>
  <c r="H4" i="13"/>
  <c r="G3" i="13"/>
  <c r="G8" i="13" s="1"/>
  <c r="O12" i="10"/>
  <c r="O16" i="10" s="1"/>
  <c r="Q42" i="10"/>
  <c r="Q7" i="10"/>
  <c r="Q45" i="10"/>
  <c r="Q47" i="10" s="1"/>
  <c r="Q18" i="10" s="1"/>
  <c r="R61" i="10"/>
  <c r="R60" i="10"/>
  <c r="R41" i="10" s="1"/>
  <c r="S61" i="10"/>
  <c r="R59" i="10"/>
  <c r="R62" i="10" s="1"/>
  <c r="S2" i="13"/>
  <c r="R9" i="13"/>
  <c r="S60" i="10" l="1"/>
  <c r="S41" i="10" s="1"/>
  <c r="R7" i="10"/>
  <c r="R42" i="10"/>
  <c r="R45" i="10"/>
  <c r="R47" i="10" s="1"/>
  <c r="R18" i="10" s="1"/>
  <c r="H3" i="13"/>
  <c r="H8" i="13" s="1"/>
  <c r="P12" i="10"/>
  <c r="P16" i="10" s="1"/>
  <c r="I4" i="13"/>
  <c r="Q6" i="10"/>
  <c r="P11" i="10"/>
  <c r="P15" i="10" s="1"/>
  <c r="S59" i="10"/>
  <c r="S62" i="10" s="1"/>
  <c r="T2" i="13"/>
  <c r="S9" i="13"/>
  <c r="I3" i="13" l="1"/>
  <c r="I8" i="13" s="1"/>
  <c r="Q12" i="10"/>
  <c r="Q16" i="10" s="1"/>
  <c r="Q11" i="10"/>
  <c r="Q15" i="10" s="1"/>
  <c r="J4" i="13"/>
  <c r="R6" i="10"/>
  <c r="S42" i="10"/>
  <c r="S7" i="10"/>
  <c r="S45" i="10"/>
  <c r="S47" i="10" s="1"/>
  <c r="S18" i="10" s="1"/>
  <c r="U2" i="13"/>
  <c r="T9" i="13"/>
  <c r="K4" i="13" l="1"/>
  <c r="S6" i="10"/>
  <c r="J3" i="13"/>
  <c r="J8" i="13" s="1"/>
  <c r="R12" i="10"/>
  <c r="R16" i="10" s="1"/>
  <c r="R11" i="10"/>
  <c r="R15" i="10" s="1"/>
  <c r="V2" i="13"/>
  <c r="U9" i="13"/>
  <c r="K3" i="13" l="1"/>
  <c r="K8" i="13" s="1"/>
  <c r="S12" i="10"/>
  <c r="S16" i="10" s="1"/>
  <c r="S11" i="10"/>
  <c r="S15" i="10" s="1"/>
  <c r="W2" i="13"/>
  <c r="W9" i="13" s="1"/>
  <c r="V9" i="13"/>
  <c r="O9" i="13"/>
  <c r="P9" i="13" l="1"/>
  <c r="E266" i="6" l="1"/>
  <c r="T13" i="13" l="1"/>
  <c r="S13" i="13"/>
  <c r="U13" i="13"/>
  <c r="S15" i="13" l="1"/>
  <c r="T15" i="13"/>
  <c r="U15" i="13"/>
  <c r="S16" i="13"/>
  <c r="T16" i="13"/>
  <c r="U16" i="13"/>
  <c r="C19" i="11"/>
  <c r="C30" i="11" l="1"/>
  <c r="C31" i="11" s="1"/>
  <c r="C152" i="6"/>
  <c r="C155" i="6"/>
  <c r="C153" i="6"/>
  <c r="G10" i="13"/>
  <c r="H10" i="13"/>
  <c r="I10" i="13"/>
  <c r="J10" i="13"/>
  <c r="K10" i="13"/>
  <c r="H36" i="6"/>
  <c r="H23" i="6"/>
  <c r="H24" i="6"/>
  <c r="I23" i="6"/>
  <c r="J23" i="6"/>
  <c r="K23" i="6"/>
  <c r="L23" i="6"/>
  <c r="I24" i="6"/>
  <c r="J24" i="6"/>
  <c r="K24" i="6"/>
  <c r="L24" i="6"/>
  <c r="H41" i="6" l="1"/>
  <c r="H61" i="6"/>
  <c r="H16" i="11" s="1"/>
  <c r="L41" i="6"/>
  <c r="L61" i="6"/>
  <c r="L16" i="11" s="1"/>
  <c r="J41" i="6"/>
  <c r="J61" i="6"/>
  <c r="J16" i="11" s="1"/>
  <c r="K41" i="6"/>
  <c r="K61" i="6"/>
  <c r="K16" i="11" s="1"/>
  <c r="I41" i="6"/>
  <c r="I61" i="6"/>
  <c r="I16" i="11" s="1"/>
  <c r="I36" i="6"/>
  <c r="H42" i="6"/>
  <c r="H9" i="11" s="1"/>
  <c r="H8" i="11" l="1"/>
  <c r="H7" i="11" s="1"/>
  <c r="H56" i="6"/>
  <c r="I8" i="11"/>
  <c r="I56" i="6"/>
  <c r="J8" i="11"/>
  <c r="J56" i="6"/>
  <c r="K8" i="11"/>
  <c r="K56" i="6"/>
  <c r="L8" i="11"/>
  <c r="L56" i="6"/>
  <c r="H39" i="6"/>
  <c r="H62" i="6"/>
  <c r="J36" i="6"/>
  <c r="I42" i="6"/>
  <c r="I9" i="11" s="1"/>
  <c r="I7" i="11" l="1"/>
  <c r="I39" i="6"/>
  <c r="I62" i="6"/>
  <c r="H59" i="6"/>
  <c r="H70" i="6" s="1"/>
  <c r="H17" i="11"/>
  <c r="K36" i="6"/>
  <c r="J42" i="6"/>
  <c r="J9" i="11" s="1"/>
  <c r="J7" i="11" s="1"/>
  <c r="H40" i="11" l="1"/>
  <c r="H15" i="11"/>
  <c r="J39" i="6"/>
  <c r="J62" i="6"/>
  <c r="I59" i="6"/>
  <c r="I70" i="6" s="1"/>
  <c r="I17" i="11"/>
  <c r="L36" i="6"/>
  <c r="L42" i="6" s="1"/>
  <c r="L9" i="11" s="1"/>
  <c r="L7" i="11" s="1"/>
  <c r="K42" i="6"/>
  <c r="K9" i="11" s="1"/>
  <c r="K7" i="11" s="1"/>
  <c r="H33" i="11" l="1"/>
  <c r="H49" i="11"/>
  <c r="H160" i="6" s="1"/>
  <c r="H10" i="14"/>
  <c r="K39" i="6"/>
  <c r="K62" i="6"/>
  <c r="L39" i="6"/>
  <c r="L62" i="6"/>
  <c r="I40" i="11"/>
  <c r="I15" i="11"/>
  <c r="H27" i="11"/>
  <c r="H20" i="11"/>
  <c r="H25" i="11"/>
  <c r="H21" i="11"/>
  <c r="H24" i="11"/>
  <c r="J59" i="6"/>
  <c r="J70" i="6" s="1"/>
  <c r="J17" i="11"/>
  <c r="B11" i="18" l="1"/>
  <c r="I49" i="11"/>
  <c r="I160" i="6" s="1"/>
  <c r="I10" i="14"/>
  <c r="C11" i="18" s="1"/>
  <c r="H19" i="11"/>
  <c r="L17" i="11"/>
  <c r="L59" i="6"/>
  <c r="L70" i="6" s="1"/>
  <c r="J40" i="11"/>
  <c r="J15" i="11"/>
  <c r="I20" i="11"/>
  <c r="I21" i="11"/>
  <c r="I24" i="11"/>
  <c r="I25" i="11"/>
  <c r="I27" i="11"/>
  <c r="I33" i="11"/>
  <c r="K17" i="11"/>
  <c r="K59" i="6"/>
  <c r="K70" i="6" s="1"/>
  <c r="H9" i="14" l="1"/>
  <c r="B10" i="18" s="1"/>
  <c r="H29" i="14"/>
  <c r="B12" i="18" s="1"/>
  <c r="J49" i="11"/>
  <c r="J160" i="6" s="1"/>
  <c r="J10" i="14"/>
  <c r="D11" i="18" s="1"/>
  <c r="H30" i="11"/>
  <c r="H40" i="14"/>
  <c r="H8" i="14"/>
  <c r="I19" i="11"/>
  <c r="L40" i="11"/>
  <c r="L15" i="11"/>
  <c r="K40" i="11"/>
  <c r="K15" i="11"/>
  <c r="J33" i="11"/>
  <c r="J20" i="11"/>
  <c r="J21" i="11"/>
  <c r="J24" i="11"/>
  <c r="J25" i="11"/>
  <c r="J27" i="11"/>
  <c r="I29" i="14" l="1"/>
  <c r="C12" i="18" s="1"/>
  <c r="I9" i="14"/>
  <c r="B13" i="18"/>
  <c r="B9" i="18" s="1"/>
  <c r="D10" i="17" s="1"/>
  <c r="L49" i="11"/>
  <c r="L160" i="6" s="1"/>
  <c r="L10" i="14"/>
  <c r="H31" i="11"/>
  <c r="H50" i="11"/>
  <c r="K49" i="11"/>
  <c r="K160" i="6" s="1"/>
  <c r="K10" i="14"/>
  <c r="F11" i="18" s="1"/>
  <c r="I30" i="11"/>
  <c r="I8" i="14"/>
  <c r="C13" i="18" s="1"/>
  <c r="J19" i="11"/>
  <c r="L33" i="11"/>
  <c r="L20" i="11"/>
  <c r="L24" i="11"/>
  <c r="L21" i="11"/>
  <c r="L25" i="11"/>
  <c r="L27" i="11"/>
  <c r="K33" i="11"/>
  <c r="K20" i="11"/>
  <c r="K21" i="11"/>
  <c r="K24" i="11"/>
  <c r="K25" i="11"/>
  <c r="K27" i="11"/>
  <c r="C10" i="18" l="1"/>
  <c r="C9" i="18" s="1"/>
  <c r="E10" i="17" s="1"/>
  <c r="J29" i="14"/>
  <c r="D12" i="18" s="1"/>
  <c r="J9" i="14"/>
  <c r="I40" i="14"/>
  <c r="E11" i="18"/>
  <c r="H169" i="6"/>
  <c r="H51" i="11"/>
  <c r="H57" i="11"/>
  <c r="I31" i="11"/>
  <c r="I50" i="11"/>
  <c r="J30" i="11"/>
  <c r="J8" i="14"/>
  <c r="L19" i="11"/>
  <c r="K19" i="11"/>
  <c r="J40" i="14" l="1"/>
  <c r="L29" i="14"/>
  <c r="L9" i="14"/>
  <c r="K9" i="14"/>
  <c r="F10" i="18" s="1"/>
  <c r="K29" i="14"/>
  <c r="E12" i="18" s="1"/>
  <c r="D10" i="18"/>
  <c r="D7" i="17"/>
  <c r="B7" i="18"/>
  <c r="D13" i="18"/>
  <c r="L40" i="14"/>
  <c r="L57" i="14" s="1"/>
  <c r="I169" i="6"/>
  <c r="I51" i="11"/>
  <c r="I57" i="11"/>
  <c r="H58" i="11"/>
  <c r="H59" i="11"/>
  <c r="J31" i="11"/>
  <c r="J50" i="11"/>
  <c r="K30" i="11"/>
  <c r="K8" i="14"/>
  <c r="E13" i="18" s="1"/>
  <c r="L30" i="11"/>
  <c r="L8" i="14"/>
  <c r="D9" i="18" l="1"/>
  <c r="F10" i="17" s="1"/>
  <c r="F12" i="18"/>
  <c r="K40" i="14"/>
  <c r="E10" i="18"/>
  <c r="E9" i="18" s="1"/>
  <c r="G10" i="17" s="1"/>
  <c r="E7" i="17"/>
  <c r="C7" i="18"/>
  <c r="F13" i="18"/>
  <c r="F9" i="18" s="1"/>
  <c r="H10" i="17" s="1"/>
  <c r="I10" i="17" s="1"/>
  <c r="D8" i="17"/>
  <c r="D12" i="17" s="1"/>
  <c r="B15" i="18"/>
  <c r="B16" i="18" s="1"/>
  <c r="H60" i="11"/>
  <c r="K31" i="11"/>
  <c r="K50" i="11"/>
  <c r="J169" i="6"/>
  <c r="J51" i="11"/>
  <c r="J57" i="11"/>
  <c r="L31" i="11"/>
  <c r="L50" i="11"/>
  <c r="I58" i="11"/>
  <c r="I59" i="11"/>
  <c r="H62" i="11" l="1"/>
  <c r="I60" i="11"/>
  <c r="C15" i="18"/>
  <c r="E8" i="17"/>
  <c r="E12" i="17" s="1"/>
  <c r="F7" i="17"/>
  <c r="D7" i="18"/>
  <c r="C16" i="18"/>
  <c r="J59" i="11"/>
  <c r="J58" i="11"/>
  <c r="L169" i="6"/>
  <c r="L51" i="11"/>
  <c r="L57" i="11"/>
  <c r="K169" i="6"/>
  <c r="K51" i="11"/>
  <c r="K57" i="11"/>
  <c r="I62" i="11" l="1"/>
  <c r="D15" i="18"/>
  <c r="D16" i="18" s="1"/>
  <c r="F8" i="17"/>
  <c r="F12" i="17" s="1"/>
  <c r="H7" i="17"/>
  <c r="F7" i="18"/>
  <c r="E7" i="18"/>
  <c r="G7" i="17"/>
  <c r="J60" i="11"/>
  <c r="J62" i="11" s="1"/>
  <c r="K59" i="11"/>
  <c r="K60" i="11" s="1"/>
  <c r="K62" i="11" s="1"/>
  <c r="K58" i="11"/>
  <c r="L59" i="11"/>
  <c r="L58" i="11"/>
  <c r="E15" i="18" l="1"/>
  <c r="E16" i="18" s="1"/>
  <c r="G8" i="17"/>
  <c r="G12" i="17" s="1"/>
  <c r="L60" i="11"/>
  <c r="L62" i="11" s="1"/>
  <c r="H8" i="17"/>
  <c r="I8" i="17" s="1"/>
  <c r="F15" i="18"/>
  <c r="F16" i="18" s="1"/>
  <c r="I7" i="17"/>
  <c r="H12" i="17" l="1"/>
  <c r="I12" i="17" l="1"/>
  <c r="I13" i="17" s="1"/>
  <c r="B16" i="17" s="1"/>
  <c r="H13" i="17"/>
  <c r="H67" i="11"/>
  <c r="I67" i="11"/>
  <c r="J67" i="11"/>
  <c r="K67" i="11"/>
  <c r="L67" i="11"/>
  <c r="H66" i="11" l="1"/>
  <c r="H53" i="14" s="1"/>
  <c r="H55" i="14" s="1"/>
  <c r="K66" i="11"/>
  <c r="E24" i="18" s="1"/>
  <c r="E21" i="18" s="1"/>
  <c r="E26" i="18" s="1"/>
  <c r="J66" i="11"/>
  <c r="D24" i="18" s="1"/>
  <c r="D21" i="18" s="1"/>
  <c r="D26" i="18" s="1"/>
  <c r="I66" i="11"/>
  <c r="L66" i="11"/>
  <c r="F24" i="18" s="1"/>
  <c r="F21" i="18" s="1"/>
  <c r="F26" i="18" s="1"/>
  <c r="B24" i="18" l="1"/>
  <c r="B21" i="18" s="1"/>
  <c r="B26" i="18" s="1"/>
  <c r="B28" i="18" s="1"/>
  <c r="H14" i="14" s="1"/>
  <c r="L12" i="17"/>
  <c r="H57" i="14"/>
  <c r="I53" i="14"/>
  <c r="J53" i="14" s="1"/>
  <c r="C24" i="18"/>
  <c r="C21" i="18" s="1"/>
  <c r="C26" i="18" s="1"/>
  <c r="L13" i="17" l="1"/>
  <c r="L14" i="17" s="1"/>
  <c r="D13" i="17" s="1"/>
  <c r="I55" i="14"/>
  <c r="C27" i="18"/>
  <c r="C28" i="18" s="1"/>
  <c r="I14" i="14" s="1"/>
  <c r="H15" i="14"/>
  <c r="H25" i="14" s="1"/>
  <c r="H58" i="14" s="1"/>
  <c r="K53" i="14"/>
  <c r="K55" i="14" s="1"/>
  <c r="J55" i="14"/>
  <c r="M12" i="17"/>
  <c r="I57" i="14"/>
  <c r="D27" i="18" l="1"/>
  <c r="D28" i="18" s="1"/>
  <c r="J14" i="14" s="1"/>
  <c r="I15" i="14"/>
  <c r="I25" i="14" s="1"/>
  <c r="I58" i="14" s="1"/>
  <c r="O12" i="17"/>
  <c r="K57" i="14"/>
  <c r="N12" i="17"/>
  <c r="J57" i="14"/>
  <c r="M13" i="17"/>
  <c r="M14" i="17" s="1"/>
  <c r="E13" i="17" s="1"/>
  <c r="E27" i="18" l="1"/>
  <c r="E28" i="18" s="1"/>
  <c r="K14" i="14" s="1"/>
  <c r="J15" i="14"/>
  <c r="J25" i="14" s="1"/>
  <c r="J58" i="14" s="1"/>
  <c r="N13" i="17"/>
  <c r="N14" i="17" s="1"/>
  <c r="F13" i="17" s="1"/>
  <c r="O13" i="17"/>
  <c r="O14" i="17" s="1"/>
  <c r="G13" i="17" s="1"/>
  <c r="K15" i="14" l="1"/>
  <c r="K25" i="14" s="1"/>
  <c r="K58" i="14" s="1"/>
  <c r="F27" i="18"/>
  <c r="F28" i="18" s="1"/>
  <c r="L14" i="14" s="1"/>
  <c r="L15" i="14" s="1"/>
  <c r="L25" i="14" s="1"/>
  <c r="L58" i="14" s="1"/>
  <c r="B15" i="17"/>
  <c r="B17" i="17" s="1"/>
  <c r="C109" i="6"/>
  <c r="D109" i="6"/>
  <c r="E109" i="6"/>
  <c r="F109" i="6"/>
  <c r="G109" i="6"/>
  <c r="H109" i="6"/>
  <c r="I109" i="6"/>
  <c r="J109" i="6"/>
  <c r="K109" i="6"/>
  <c r="L109" i="6"/>
  <c r="D62" i="11"/>
  <c r="D68" i="11"/>
  <c r="B21" i="17" l="1"/>
  <c r="B22" i="17" s="1"/>
  <c r="AB10" i="13" s="1"/>
  <c r="AB11" i="13" s="1"/>
  <c r="B27" i="17"/>
  <c r="B29" i="17" s="1"/>
  <c r="F11" i="13"/>
  <c r="F10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Saad Rafi</author>
  </authors>
  <commentList>
    <comment ref="N4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Saad Rafi:</t>
        </r>
        <r>
          <rPr>
            <sz val="9"/>
            <color indexed="81"/>
            <rFont val="Tahoma"/>
            <family val="2"/>
          </rPr>
          <t xml:space="preserve">
Add Varaiance of 3 Million Ton</t>
        </r>
      </text>
    </comment>
    <comment ref="O4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Saad Rafi:</t>
        </r>
        <r>
          <rPr>
            <sz val="9"/>
            <color indexed="81"/>
            <rFont val="Tahoma"/>
            <family val="2"/>
          </rPr>
          <t xml:space="preserve">
Add Varaiance of 4 Million Ton</t>
        </r>
      </text>
    </comment>
    <comment ref="B59" authorId="0" shapeId="0" xr:uid="{00000000-0006-0000-0000-000003000000}">
      <text>
        <r>
          <rPr>
            <sz val="8"/>
            <color indexed="81"/>
            <rFont val="Tahoma"/>
            <family val="2"/>
          </rPr>
          <t>"x" - Variable = PSDP (Independent Variable)
"y" - Variable = Local Dispatches Industry (Dependent Variable)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Umer Habib</author>
  </authors>
  <commentList>
    <comment ref="F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Umer Habib:</t>
        </r>
        <r>
          <rPr>
            <sz val="9"/>
            <color indexed="81"/>
            <rFont val="Tahoma"/>
            <family val="2"/>
          </rPr>
          <t xml:space="preserve">
Alt H+ M+C to merge and center. 
Alt H+W to wrap 
Alt H+AM to middle
Alt H+AC to center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Umer Habib</author>
  </authors>
  <commentList>
    <comment ref="C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Umer Habib:</t>
        </r>
        <r>
          <rPr>
            <sz val="9"/>
            <color indexed="81"/>
            <rFont val="Tahoma"/>
            <family val="2"/>
          </rPr>
          <t xml:space="preserve">
Alt H+ M+C to merge and center. 
Alt H+W to wrap 
Alt H+AM to middle
Alt H+AC to center</t>
        </r>
      </text>
    </comment>
  </commentList>
</comments>
</file>

<file path=xl/sharedStrings.xml><?xml version="1.0" encoding="utf-8"?>
<sst xmlns="http://schemas.openxmlformats.org/spreadsheetml/2006/main" count="665" uniqueCount="495">
  <si>
    <t>Income Statement</t>
  </si>
  <si>
    <t>PKR-Million</t>
  </si>
  <si>
    <t xml:space="preserve">Profit and Loss </t>
  </si>
  <si>
    <t>2018F</t>
  </si>
  <si>
    <t>Gross Sales</t>
  </si>
  <si>
    <t>Local Sales</t>
  </si>
  <si>
    <t>Export Sales</t>
  </si>
  <si>
    <t>Less: Taxes</t>
  </si>
  <si>
    <t>Government Levies</t>
  </si>
  <si>
    <t>Export Related</t>
  </si>
  <si>
    <t>Net Sales</t>
  </si>
  <si>
    <t>Cost of Goods Sold</t>
  </si>
  <si>
    <t>Raw Material and Packaging</t>
  </si>
  <si>
    <t>Salaries</t>
  </si>
  <si>
    <t>Electricity Costs</t>
  </si>
  <si>
    <t>Stores and Spares</t>
  </si>
  <si>
    <t>Repairs and Maintenance</t>
  </si>
  <si>
    <t>Depreciation</t>
  </si>
  <si>
    <t>Others</t>
  </si>
  <si>
    <t>Stock Adjustment</t>
  </si>
  <si>
    <t xml:space="preserve">Gross Profit </t>
  </si>
  <si>
    <t xml:space="preserve">Gross Margin </t>
  </si>
  <si>
    <t>Administration Costs</t>
  </si>
  <si>
    <t xml:space="preserve">Salaries </t>
  </si>
  <si>
    <t xml:space="preserve">Depreciation </t>
  </si>
  <si>
    <t>Professional Fees</t>
  </si>
  <si>
    <t xml:space="preserve">Entertainment &amp; Traveling </t>
  </si>
  <si>
    <t>Selling &amp; Distribution Costs</t>
  </si>
  <si>
    <t xml:space="preserve">Transportation &amp; Logistics </t>
  </si>
  <si>
    <t>Marketing &amp; Advertisements</t>
  </si>
  <si>
    <t xml:space="preserve">Other Operating Income </t>
  </si>
  <si>
    <t>Other Operating Charges</t>
  </si>
  <si>
    <t>Earnings Before Interest &amp; Tax</t>
  </si>
  <si>
    <t xml:space="preserve">EBIT Margin </t>
  </si>
  <si>
    <t>EBITDA</t>
  </si>
  <si>
    <t>EBITDA/ton</t>
  </si>
  <si>
    <t xml:space="preserve">Other One-off Items </t>
  </si>
  <si>
    <t xml:space="preserve">Financial Charges </t>
  </si>
  <si>
    <t xml:space="preserve">Profit Before Tax </t>
  </si>
  <si>
    <t xml:space="preserve">PBT Margin </t>
  </si>
  <si>
    <t xml:space="preserve">Tax </t>
  </si>
  <si>
    <t xml:space="preserve">Profit After Tax </t>
  </si>
  <si>
    <t xml:space="preserve">PAT Margin </t>
  </si>
  <si>
    <t>EPS</t>
  </si>
  <si>
    <t>Effective Tax Rate</t>
  </si>
  <si>
    <t>No of Shares Outstanding</t>
  </si>
  <si>
    <t>Dividends</t>
  </si>
  <si>
    <t>DPS</t>
  </si>
  <si>
    <t>Dividend Payout</t>
  </si>
  <si>
    <t>Balance Sheet</t>
  </si>
  <si>
    <t xml:space="preserve">Key Financials </t>
  </si>
  <si>
    <t>Assets</t>
  </si>
  <si>
    <t>Current Assets</t>
  </si>
  <si>
    <t>Stock in Trade</t>
  </si>
  <si>
    <t>Trade Debts</t>
  </si>
  <si>
    <t>Investments</t>
  </si>
  <si>
    <t>Prepayments</t>
  </si>
  <si>
    <t>Cash &amp; Bank Balances</t>
  </si>
  <si>
    <t>Total Current Assets</t>
  </si>
  <si>
    <t>Non Current Assets</t>
  </si>
  <si>
    <t>Property Plant &amp; Equipment</t>
  </si>
  <si>
    <t>Advances &amp; Loans</t>
  </si>
  <si>
    <t>Total Non Current Assets</t>
  </si>
  <si>
    <t>Total Assets</t>
  </si>
  <si>
    <t>Liabilities</t>
  </si>
  <si>
    <t>Current Liabilities</t>
  </si>
  <si>
    <t>Trade and Payables</t>
  </si>
  <si>
    <t>Current Portion of LTL</t>
  </si>
  <si>
    <t>Total Current Liabilities</t>
  </si>
  <si>
    <t>Non-Current Liabilities</t>
  </si>
  <si>
    <t>Long Term Finances</t>
  </si>
  <si>
    <t xml:space="preserve">Deferred Tax </t>
  </si>
  <si>
    <t>Total Non-Current Liabilities</t>
  </si>
  <si>
    <t>Shareholder Equity</t>
  </si>
  <si>
    <t>Total shareholder equity</t>
  </si>
  <si>
    <t>Total Liabilities &amp; SH Equity</t>
  </si>
  <si>
    <t>Check</t>
  </si>
  <si>
    <t>D/(D+E)</t>
  </si>
  <si>
    <t>PKR Million</t>
  </si>
  <si>
    <t>Driver Sheet</t>
  </si>
  <si>
    <t>HOME</t>
  </si>
  <si>
    <t>GENERAL &amp; MACRO ASSUMPTIONS</t>
  </si>
  <si>
    <t xml:space="preserve">USD:PKR </t>
  </si>
  <si>
    <t>6M KIBOR</t>
  </si>
  <si>
    <t>Inflation</t>
  </si>
  <si>
    <t xml:space="preserve">CAPACITY </t>
  </si>
  <si>
    <t>Mn Tons</t>
  </si>
  <si>
    <t xml:space="preserve">North </t>
  </si>
  <si>
    <t xml:space="preserve">Mn Tons </t>
  </si>
  <si>
    <t xml:space="preserve">Cement Production </t>
  </si>
  <si>
    <t>%</t>
  </si>
  <si>
    <t xml:space="preserve">North Plant </t>
  </si>
  <si>
    <t xml:space="preserve">SALES VOLUME </t>
  </si>
  <si>
    <t>Domestic</t>
  </si>
  <si>
    <t>Exports</t>
  </si>
  <si>
    <t xml:space="preserve">GROSS SALES PRICE </t>
  </si>
  <si>
    <t xml:space="preserve">Local Gross Price </t>
  </si>
  <si>
    <t>PKR/Bag</t>
  </si>
  <si>
    <t xml:space="preserve">Increase In Retail Price </t>
  </si>
  <si>
    <t xml:space="preserve">Export Price </t>
  </si>
  <si>
    <t>US$/Ton</t>
  </si>
  <si>
    <t xml:space="preserve">Increase in Price </t>
  </si>
  <si>
    <t xml:space="preserve">GROSS SALES </t>
  </si>
  <si>
    <t xml:space="preserve">PKR Mn </t>
  </si>
  <si>
    <t xml:space="preserve">Local Sales </t>
  </si>
  <si>
    <t>PKR Mn</t>
  </si>
  <si>
    <t xml:space="preserve">Export Sales </t>
  </si>
  <si>
    <t xml:space="preserve">NET SALES PRICE </t>
  </si>
  <si>
    <t>PKR/Ton</t>
  </si>
  <si>
    <t>Less:</t>
  </si>
  <si>
    <t>Sales Tax</t>
  </si>
  <si>
    <t xml:space="preserve">Sales Tax Rate </t>
  </si>
  <si>
    <t xml:space="preserve">Excise Duty </t>
  </si>
  <si>
    <t>NET SALES</t>
  </si>
  <si>
    <t>Local</t>
  </si>
  <si>
    <t>Export</t>
  </si>
  <si>
    <t xml:space="preserve">COST OF GOODS SOLD </t>
  </si>
  <si>
    <t xml:space="preserve">% of Sales </t>
  </si>
  <si>
    <t>Total Fuel and Power Cost (Est.)</t>
  </si>
  <si>
    <t xml:space="preserve">Coal </t>
  </si>
  <si>
    <t>Electricity - FO</t>
  </si>
  <si>
    <t>Electricity - Gas</t>
  </si>
  <si>
    <t>Electricity - Grid</t>
  </si>
  <si>
    <t>Electricity - WHR</t>
  </si>
  <si>
    <t xml:space="preserve">Electricity - Coal </t>
  </si>
  <si>
    <t xml:space="preserve">Coal and Electricity Consumption </t>
  </si>
  <si>
    <t xml:space="preserve">Electricity - North </t>
  </si>
  <si>
    <t>kwh/ton</t>
  </si>
  <si>
    <t>Mn Kwh</t>
  </si>
  <si>
    <t xml:space="preserve">Check </t>
  </si>
  <si>
    <t xml:space="preserve">Total Electricity Requirements </t>
  </si>
  <si>
    <t xml:space="preserve">Electricity Required </t>
  </si>
  <si>
    <t>MW</t>
  </si>
  <si>
    <t xml:space="preserve">Cost of Fuel and Energy </t>
  </si>
  <si>
    <t>Coal Price</t>
  </si>
  <si>
    <t>PKR/ton</t>
  </si>
  <si>
    <t>FOB</t>
  </si>
  <si>
    <t>USD/ton</t>
  </si>
  <si>
    <t>Ex Karachi Price</t>
  </si>
  <si>
    <t>Conversion to MMBTU</t>
  </si>
  <si>
    <t>Price of 1MMBTU</t>
  </si>
  <si>
    <t>Efficiency</t>
  </si>
  <si>
    <t>Captive Power Plant Efficiency</t>
  </si>
  <si>
    <t>Conversion to KWH</t>
  </si>
  <si>
    <t>PKR/kwh</t>
  </si>
  <si>
    <t>ADMINISTRATION &amp; DISTRIBUTION</t>
  </si>
  <si>
    <t>Admin Cost</t>
  </si>
  <si>
    <t>% of Sales</t>
  </si>
  <si>
    <t>Selling &amp; Distribution Cost</t>
  </si>
  <si>
    <t xml:space="preserve">BALANCE SHEET DRIVERS </t>
  </si>
  <si>
    <t xml:space="preserve">Store and Spare Days </t>
  </si>
  <si>
    <t>Stock in Trade Days</t>
  </si>
  <si>
    <t xml:space="preserve">Trade Debts Days </t>
  </si>
  <si>
    <t xml:space="preserve">Payable Days </t>
  </si>
  <si>
    <t xml:space="preserve">OTHER OPERATING EXPENSES </t>
  </si>
  <si>
    <t>Asset schedule</t>
  </si>
  <si>
    <t>PKR mn</t>
  </si>
  <si>
    <t xml:space="preserve">Asset Schedule </t>
  </si>
  <si>
    <t xml:space="preserve">Existing Assets </t>
  </si>
  <si>
    <t>Opening Balance</t>
  </si>
  <si>
    <t xml:space="preserve">Additions </t>
  </si>
  <si>
    <t>Closing Balance</t>
  </si>
  <si>
    <t>Additions Rate</t>
  </si>
  <si>
    <t>Opening Depreciation</t>
  </si>
  <si>
    <t>Depreciation Rate</t>
  </si>
  <si>
    <t>Depreciation During Year</t>
  </si>
  <si>
    <t>Closing Depreciation</t>
  </si>
  <si>
    <t>NBV</t>
  </si>
  <si>
    <t>Depreciation Allocation</t>
  </si>
  <si>
    <t>COGS</t>
  </si>
  <si>
    <t xml:space="preserve">Admin </t>
  </si>
  <si>
    <t>S&amp;D</t>
  </si>
  <si>
    <t>total requirement</t>
  </si>
  <si>
    <t>Tons</t>
  </si>
  <si>
    <t>Custom Duty (1%)</t>
  </si>
  <si>
    <t>Inland Frieght</t>
  </si>
  <si>
    <t>2022F</t>
  </si>
  <si>
    <t>2023F</t>
  </si>
  <si>
    <t>Real GDP growth</t>
  </si>
  <si>
    <t>Inflation (CPI)</t>
  </si>
  <si>
    <t>Nominal GDP growth</t>
  </si>
  <si>
    <t>Fiscal deficit</t>
  </si>
  <si>
    <t>PSDP (Rs-Bn)</t>
  </si>
  <si>
    <t>PSDP Growth</t>
  </si>
  <si>
    <t>PSDP Allocation as % of GDP</t>
  </si>
  <si>
    <t>Popullation (Million)</t>
  </si>
  <si>
    <t>Popullation (%)</t>
  </si>
  <si>
    <t>Per Capita Income (Real GDP)</t>
  </si>
  <si>
    <t>Per Capita Income ($-MP)</t>
  </si>
  <si>
    <t xml:space="preserve">Portfolio Investment &amp;  Income </t>
  </si>
  <si>
    <t xml:space="preserve">Total Other Income </t>
  </si>
  <si>
    <t xml:space="preserve">Dividend Income </t>
  </si>
  <si>
    <t>Recurring core other income</t>
  </si>
  <si>
    <t>Gain on sale of assets</t>
  </si>
  <si>
    <t>Interest Income</t>
  </si>
  <si>
    <t xml:space="preserve">Exceptional Other Income </t>
  </si>
  <si>
    <t xml:space="preserve">Total Associate Dividend Income </t>
  </si>
  <si>
    <t xml:space="preserve">Non Associate Div Income </t>
  </si>
  <si>
    <t xml:space="preserve">Total Dividend Income </t>
  </si>
  <si>
    <t>Investments (mn shares)</t>
  </si>
  <si>
    <t>DPS of Associates (as received)</t>
  </si>
  <si>
    <t>Installed Capacity</t>
  </si>
  <si>
    <t>Sales Mix</t>
  </si>
  <si>
    <t>Growth</t>
  </si>
  <si>
    <t>Forcast</t>
  </si>
  <si>
    <t>Local Cement Consump vs PSDP</t>
  </si>
  <si>
    <t>Local Cement Consump vs GDP</t>
  </si>
  <si>
    <t>Average</t>
  </si>
  <si>
    <t>Capacity Utilization</t>
  </si>
  <si>
    <t>FY10</t>
  </si>
  <si>
    <t xml:space="preserve">FY11 </t>
  </si>
  <si>
    <t>FY12</t>
  </si>
  <si>
    <t>FY13</t>
  </si>
  <si>
    <t>FY14</t>
  </si>
  <si>
    <t>FY15</t>
  </si>
  <si>
    <t>FY16</t>
  </si>
  <si>
    <t>FY17</t>
  </si>
  <si>
    <t>FY21 E</t>
  </si>
  <si>
    <t>FY22 E</t>
  </si>
  <si>
    <t>Total Sales</t>
  </si>
  <si>
    <t>Sales Growth</t>
  </si>
  <si>
    <t>Local Sales Growth</t>
  </si>
  <si>
    <t>Export Sales Growth</t>
  </si>
  <si>
    <t>Economy</t>
  </si>
  <si>
    <t>Per Capita Income (Growth)</t>
  </si>
  <si>
    <t>Industry Data</t>
  </si>
  <si>
    <t>% Allocation</t>
  </si>
  <si>
    <t>Net Sales Price (Actual)</t>
  </si>
  <si>
    <t>Net Export Price</t>
  </si>
  <si>
    <t xml:space="preserve">Revenue Drivers </t>
  </si>
  <si>
    <t>Valuation Assumptions</t>
  </si>
  <si>
    <t xml:space="preserve">Items </t>
  </si>
  <si>
    <t>Industry (Mn Tons)</t>
  </si>
  <si>
    <t xml:space="preserve">Interest Rate </t>
  </si>
  <si>
    <t xml:space="preserve">Equity Premium </t>
  </si>
  <si>
    <t xml:space="preserve">Debt/Equity </t>
  </si>
  <si>
    <t>North Industry</t>
  </si>
  <si>
    <t>Terminal Growth</t>
  </si>
  <si>
    <t>Current Market Price</t>
  </si>
  <si>
    <t>Industry Market Share (North)</t>
  </si>
  <si>
    <t>Valuation Multiples</t>
  </si>
  <si>
    <t xml:space="preserve">Valuation </t>
  </si>
  <si>
    <t>Upside/(Downside)</t>
  </si>
  <si>
    <t>PE</t>
  </si>
  <si>
    <t>PBV</t>
  </si>
  <si>
    <t xml:space="preserve">Ratios </t>
  </si>
  <si>
    <t>Gross Margin</t>
  </si>
  <si>
    <t>EBIT Margin</t>
  </si>
  <si>
    <t>Net Margin</t>
  </si>
  <si>
    <t>ROE</t>
  </si>
  <si>
    <t>Local Sales Price Growth</t>
  </si>
  <si>
    <t xml:space="preserve">Export Sales Price Growth </t>
  </si>
  <si>
    <t>Gas Price (PKR/mmbtu)</t>
  </si>
  <si>
    <t>Electricity (PKR/kwh)</t>
  </si>
  <si>
    <t>WHR (PKR/kwh)</t>
  </si>
  <si>
    <t>FO Price (PKR/ton)</t>
  </si>
  <si>
    <t xml:space="preserve">Balance Sheet Drivers </t>
  </si>
  <si>
    <t>Stores and Spares days</t>
  </si>
  <si>
    <t xml:space="preserve">Macro Level Assumptions </t>
  </si>
  <si>
    <t>PKR:USD Devaluation</t>
  </si>
  <si>
    <t>6-M KIBOR</t>
  </si>
  <si>
    <t xml:space="preserve">Industry Sales (North) </t>
  </si>
  <si>
    <t>Units</t>
  </si>
  <si>
    <t>mmbtu/ton</t>
  </si>
  <si>
    <t>PKR/mmbtu</t>
  </si>
  <si>
    <t>Conversion to kwh</t>
  </si>
  <si>
    <t>Electricity - Coal</t>
  </si>
  <si>
    <t>mmbtu/kwh</t>
  </si>
  <si>
    <t>PKR/Kwh</t>
  </si>
  <si>
    <t xml:space="preserve">Fuel- Coal </t>
  </si>
  <si>
    <t xml:space="preserve">Income Statement - Cost Drivers </t>
  </si>
  <si>
    <t>BVPS</t>
  </si>
  <si>
    <t>% of Exp. Sales</t>
  </si>
  <si>
    <t>Bank Deposit Rate</t>
  </si>
  <si>
    <t xml:space="preserve">Fuel - Coal </t>
  </si>
  <si>
    <t>FY18</t>
  </si>
  <si>
    <t>FY19</t>
  </si>
  <si>
    <t>Valuation</t>
  </si>
  <si>
    <t xml:space="preserve">VALUATION </t>
  </si>
  <si>
    <t xml:space="preserve">Terminal </t>
  </si>
  <si>
    <t>WACC</t>
  </si>
  <si>
    <t xml:space="preserve">Operating Profit </t>
  </si>
  <si>
    <t xml:space="preserve">Less: Tax </t>
  </si>
  <si>
    <t>Add: Depreciation</t>
  </si>
  <si>
    <t xml:space="preserve">Less: Working Capital </t>
  </si>
  <si>
    <t>Tax Rate</t>
  </si>
  <si>
    <t xml:space="preserve">Less: Capex </t>
  </si>
  <si>
    <t>FCFF</t>
  </si>
  <si>
    <t>Discounted FCFF</t>
  </si>
  <si>
    <t xml:space="preserve">Growth </t>
  </si>
  <si>
    <t xml:space="preserve">NPV of Cash Flow </t>
  </si>
  <si>
    <t xml:space="preserve">NPV of Terminal Value </t>
  </si>
  <si>
    <t xml:space="preserve">Enterprise Value </t>
  </si>
  <si>
    <t xml:space="preserve">Investments </t>
  </si>
  <si>
    <t xml:space="preserve">Cash </t>
  </si>
  <si>
    <t xml:space="preserve">Less: Debt </t>
  </si>
  <si>
    <t xml:space="preserve">Equity Value </t>
  </si>
  <si>
    <t xml:space="preserve">Per Share Value </t>
  </si>
  <si>
    <t>Portfolio Value</t>
  </si>
  <si>
    <t>No. Shares (millions)</t>
  </si>
  <si>
    <t>Value of core business</t>
  </si>
  <si>
    <t>D.G Khan Cement</t>
  </si>
  <si>
    <t>Cashflow Statement</t>
  </si>
  <si>
    <t>Less: Working Capital</t>
  </si>
  <si>
    <t>Change Stock in Trade</t>
  </si>
  <si>
    <t xml:space="preserve">Change in Trade Debt </t>
  </si>
  <si>
    <t xml:space="preserve">Change in Payables </t>
  </si>
  <si>
    <t>Change in Stores and Spares</t>
  </si>
  <si>
    <t>Less: Tax</t>
  </si>
  <si>
    <t>Cash Flow from Operations</t>
  </si>
  <si>
    <t>Cash Flow from Investing</t>
  </si>
  <si>
    <t>Capital Expenditure</t>
  </si>
  <si>
    <t>Cash Flow from Financing</t>
  </si>
  <si>
    <t>Equity Injection</t>
  </si>
  <si>
    <t>Long Term Loan</t>
  </si>
  <si>
    <t>Dividends Paid</t>
  </si>
  <si>
    <t>Net Change in Cash During Year</t>
  </si>
  <si>
    <t>Opening Cash Balance</t>
  </si>
  <si>
    <t>Ending Cash Balance</t>
  </si>
  <si>
    <t>FCFE</t>
  </si>
  <si>
    <t>Risk Premimum (RM)</t>
  </si>
  <si>
    <t>3 Year PIB Yeild (RF)</t>
  </si>
  <si>
    <t>Cost of Debt Kd (6M Kibor+Spread(3%))</t>
  </si>
  <si>
    <t xml:space="preserve">Cost of Equity (Ke) </t>
  </si>
  <si>
    <t>n</t>
  </si>
  <si>
    <t>Wd: D/(D+E)</t>
  </si>
  <si>
    <t>We: E/(D+E)</t>
  </si>
  <si>
    <t>RR</t>
  </si>
  <si>
    <t>g</t>
  </si>
  <si>
    <t>FY23 E</t>
  </si>
  <si>
    <t>FY24 E</t>
  </si>
  <si>
    <t>USD PKR Devaluation</t>
  </si>
  <si>
    <t>GDP (FC) (Rs-Mn)</t>
  </si>
  <si>
    <t>GDP (MP) (Rs-Mn)</t>
  </si>
  <si>
    <t>2024F</t>
  </si>
  <si>
    <t>Ex-Factory / Gross Sales Price -North</t>
  </si>
  <si>
    <t>Fuel &amp; Energy Mix - North</t>
  </si>
  <si>
    <t>Total Estimated - Electricity -Notth</t>
  </si>
  <si>
    <t>Items MN tons</t>
  </si>
  <si>
    <t>Price per FO Ton (PSO Website)</t>
  </si>
  <si>
    <t>FY20</t>
  </si>
  <si>
    <t>Formulas</t>
  </si>
  <si>
    <t>North Sales / Total Sales</t>
  </si>
  <si>
    <t>Actual Numbers from APCMA</t>
  </si>
  <si>
    <t>FY25 E</t>
  </si>
  <si>
    <t>Formula</t>
  </si>
  <si>
    <t xml:space="preserve">Forecast(2021PSDP, Local Sales FY01-FY20, PSDP FY01-FY20) </t>
  </si>
  <si>
    <t xml:space="preserve">Forecast(2021GDP, Local Sales FY01-FY20, GDP FY01-FY20) </t>
  </si>
  <si>
    <t>X=Independent (PSDP) ; Y=Dependent (Local Sales)</t>
  </si>
  <si>
    <t>X=Independent (GDP) ; Y=Dependent (Local Sales)</t>
  </si>
  <si>
    <t>% Change = (Current Year Number /  Previous Year) - 1 * 100</t>
  </si>
  <si>
    <t>FV= PV * (1+i%)</t>
  </si>
  <si>
    <t>Local Dispacthes / Total Dispaches</t>
  </si>
  <si>
    <t>Export Dispacthes / Total Dispaches</t>
  </si>
  <si>
    <t>Total Dispatches / Total Capacity</t>
  </si>
  <si>
    <t>Total Sales / Total Installed Capacity</t>
  </si>
  <si>
    <t>2025F</t>
  </si>
  <si>
    <t>Unclaimed Dividends</t>
  </si>
  <si>
    <t>Short Term Borrowing</t>
  </si>
  <si>
    <t>Defered Government Grant</t>
  </si>
  <si>
    <t>FY26 E</t>
  </si>
  <si>
    <t>GDP at FC / Popullation</t>
  </si>
  <si>
    <t>GDP at MP / Popullation / PKR -USD</t>
  </si>
  <si>
    <t>Local Sales / Total Sales</t>
  </si>
  <si>
    <t>Eport Sales / Total Sales</t>
  </si>
  <si>
    <t>Local Sales (Mn-Tonnes)</t>
  </si>
  <si>
    <t>Export Sales  (Mn-Tonnes)</t>
  </si>
  <si>
    <t>Total Sales (Mn-Tonnes)</t>
  </si>
  <si>
    <t>Local Sales + Export Sales</t>
  </si>
  <si>
    <t>2026F</t>
  </si>
  <si>
    <t>2022E</t>
  </si>
  <si>
    <t>2023E</t>
  </si>
  <si>
    <t>2024E</t>
  </si>
  <si>
    <t>2025E</t>
  </si>
  <si>
    <t>2026E</t>
  </si>
  <si>
    <t>Source: State Bank Website</t>
  </si>
  <si>
    <t>Source: Pakistan Beuearu of Statistics (PBS)</t>
  </si>
  <si>
    <t>CAPACITY UTILIZATION</t>
  </si>
  <si>
    <t>North Capacity + South Capacity</t>
  </si>
  <si>
    <t>Source: DGKC Annual Report</t>
  </si>
  <si>
    <t>Production/Capacity</t>
  </si>
  <si>
    <t>Ex-Factory Retention</t>
  </si>
  <si>
    <t>Retail Selling Price -North</t>
  </si>
  <si>
    <t>Update weekly on SPI Numbers from Pakistan Berue of Statistics</t>
  </si>
  <si>
    <t>Retail Seling Price * Ex Facory Retention</t>
  </si>
  <si>
    <t>Gross Selling Price/Retail Selling Price</t>
  </si>
  <si>
    <t>Local Sales PKR (Mn) / Total Domestic Sales</t>
  </si>
  <si>
    <t>Export Price USD/ton * PKR/USD *  Export Sales</t>
  </si>
  <si>
    <t>Local Price PKR/ton * Domestic Sales</t>
  </si>
  <si>
    <t>Decide by government in budget every year (Exise duty Rs. 200/ton or Rs. 100/ Bag</t>
  </si>
  <si>
    <t>Decide by government in budget every year (Sale Tax 17%)</t>
  </si>
  <si>
    <t>Sale Tax rate * Gross selling or Ex Factory Price</t>
  </si>
  <si>
    <t>Gross sales price North-Sale tax -Excise Duty</t>
  </si>
  <si>
    <t>Local Net Sale price/20</t>
  </si>
  <si>
    <t>Domestic sales/Domestic sales volume</t>
  </si>
  <si>
    <t>Export sales/Export sales volume</t>
  </si>
  <si>
    <t>Local Net Sales price PKR/ton*Domestic Sales</t>
  </si>
  <si>
    <t>Gross Sales export*0.92=8% export tax deducted from Gross Sales</t>
  </si>
  <si>
    <t>Bank Term Deposit Rate</t>
  </si>
  <si>
    <t>Sea Frieght and handling  (20%)</t>
  </si>
  <si>
    <t>Richard bay coal price index Bloomberg, International Database</t>
  </si>
  <si>
    <t>Ex-karachi+inland fright+custom Duty</t>
  </si>
  <si>
    <t>20% Frieght charges of the FOB (20% * Cola FOB prices)</t>
  </si>
  <si>
    <t>Ex-Karachi=(FOB+Sea Frieght)*USDPKR</t>
  </si>
  <si>
    <t>Custom Duty=1% Rate *Ex Karachi Price</t>
  </si>
  <si>
    <t>Conversion rate to convert TONS into MMBTU</t>
  </si>
  <si>
    <t>Plant Wastage in power generation</t>
  </si>
  <si>
    <t>FO (PKR/mmbtu)= FO price in tons / mmbtu</t>
  </si>
  <si>
    <t>conversion rate to convert MMBTU into KWH</t>
  </si>
  <si>
    <t>Oil Refinery Website or Energy Book</t>
  </si>
  <si>
    <t>Electricity Cost - FO (PKR/kwh)= (FO price in MMBTU * Conversion in kwh)/Efficiency %</t>
  </si>
  <si>
    <t xml:space="preserve">Price per MMBTU </t>
  </si>
  <si>
    <t>(OGRA Notification on Gas Prices)</t>
  </si>
  <si>
    <t>Plant wastage in power generation</t>
  </si>
  <si>
    <t>Plant wastage in power generation thorigh coal</t>
  </si>
  <si>
    <t>Gas Electricity Cost - FO (PKR/kwh)= (Gas price in MMBTU * Conversion in kwh)/Efficiency %</t>
  </si>
  <si>
    <t>Coal Electricity Cost - FO (PKR/kwh)= (Coal price in MMBTU * Conversion in kwh)/Efficiency %</t>
  </si>
  <si>
    <t>Total Electricity -North -300 DAYS</t>
  </si>
  <si>
    <t>Convert MW in Mn Kwh = (Electricity required by north in MW *  24 hours * 300 working days ) / 1000</t>
  </si>
  <si>
    <t>Electricity Required in (Kwh/ton) * North total sales in Mn tons * 1000 / 24 hours / 300 woring days</t>
  </si>
  <si>
    <t>Coal req/ton * total cement sales in mn tons * coal price in pkr/ton</t>
  </si>
  <si>
    <t>% Use of FO * Electricity Req (mnkwh) * FO Electricty Cost (PKR/kwh)</t>
  </si>
  <si>
    <t>% Use of Grid * Electricity Req (mnkwh) * Grid Electricty Cost (PKR/kwh)</t>
  </si>
  <si>
    <t>% Use of WHR * Electricity Req (mnkwh) * WHR Electricty Cost (PKR/kwh)</t>
  </si>
  <si>
    <t>% Use of Coal * Electricity Req (mnkwh) * Coal Electricty Cost (PKR/kwh)</t>
  </si>
  <si>
    <t>% Use of Gas * Electricity Req (mnkwh) *  Gas Electricty Cost (PKR/kwh)</t>
  </si>
  <si>
    <t>In forecasting Salaries linked with Inflation</t>
  </si>
  <si>
    <t>In forecasting Raw Material linked with Average</t>
  </si>
  <si>
    <t>In forecasting others linked with 3 Yr Average</t>
  </si>
  <si>
    <t>In forecasting Repair linked with 3 Yr Average</t>
  </si>
  <si>
    <t>Link with Calculated Value</t>
  </si>
  <si>
    <t>Depreciation Rate * Closing Balance of Asset</t>
  </si>
  <si>
    <t>Addition rate * Closing Balance of Asset</t>
  </si>
  <si>
    <t>Closing bal Asset - Closing Dep</t>
  </si>
  <si>
    <t>COGS - Dep</t>
  </si>
  <si>
    <t>Dividend Income - PKR Mn</t>
  </si>
  <si>
    <t>Finance Costing</t>
  </si>
  <si>
    <t>Total Debt</t>
  </si>
  <si>
    <t>Interest Expense</t>
  </si>
  <si>
    <t>Cost of Debt</t>
  </si>
  <si>
    <t>EBIT</t>
  </si>
  <si>
    <t>Link with Kibor for forecasting</t>
  </si>
  <si>
    <t>Shortterm Borrowing + LT Financing from BS</t>
  </si>
  <si>
    <t xml:space="preserve">OTHER INCOME </t>
  </si>
  <si>
    <t xml:space="preserve"> Local Net Sale Price</t>
  </si>
  <si>
    <t xml:space="preserve">Local Net Sales Price - North </t>
  </si>
  <si>
    <t>(Local Net Sales/Local Quantity Sold)</t>
  </si>
  <si>
    <t>Fauji Cement</t>
  </si>
  <si>
    <t>FCCL Market Share (North)</t>
  </si>
  <si>
    <t>FCCL Sales North / Industry Sales North</t>
  </si>
  <si>
    <t>FCCL North Market Share * North Total Sales</t>
  </si>
  <si>
    <t xml:space="preserve">Vehicle running and maintenance </t>
  </si>
  <si>
    <t>Other Receivables</t>
  </si>
  <si>
    <t>Advances</t>
  </si>
  <si>
    <t>Right of use asset</t>
  </si>
  <si>
    <t>Accrured Liabilities</t>
  </si>
  <si>
    <t>Security Deposits Payable</t>
  </si>
  <si>
    <t>Contract Liabilities</t>
  </si>
  <si>
    <t>Employee Benefit - Current Portion</t>
  </si>
  <si>
    <t>Providend Fund</t>
  </si>
  <si>
    <t>Current Portion of Lease Liability</t>
  </si>
  <si>
    <t>Employee Benefit</t>
  </si>
  <si>
    <t xml:space="preserve">    Lease Liability</t>
  </si>
  <si>
    <t>Share Capital</t>
  </si>
  <si>
    <t>Discount on Issue of Shares</t>
  </si>
  <si>
    <t>Unappropriated Profits</t>
  </si>
  <si>
    <t>Provision for taxation - net</t>
  </si>
  <si>
    <t>Local Cement Consump vs Per Capita Income</t>
  </si>
  <si>
    <t>Electricity - Solar</t>
  </si>
  <si>
    <t>Total Power Generation Available</t>
  </si>
  <si>
    <t>Electricity from Wartsilla Thermal Power Plant</t>
  </si>
  <si>
    <t>Electricity from Caterpillar Thermal Power Plant</t>
  </si>
  <si>
    <t>Electricity from WHR (12 MW + 9 MW)</t>
  </si>
  <si>
    <t>Electricity from Solar</t>
  </si>
  <si>
    <t xml:space="preserve">Electricity - FO </t>
  </si>
  <si>
    <t xml:space="preserve">Electricity - Grid </t>
  </si>
  <si>
    <t xml:space="preserve">WHR </t>
  </si>
  <si>
    <t xml:space="preserve">Total Sales (North-FFCL) </t>
  </si>
  <si>
    <t>Weightage of Domestic</t>
  </si>
  <si>
    <t>Weightage of Exports</t>
  </si>
  <si>
    <t>Increase in Sales Volume</t>
  </si>
  <si>
    <t>On Disposals</t>
  </si>
  <si>
    <t>Disposals</t>
  </si>
  <si>
    <t>Disposals Rate</t>
  </si>
  <si>
    <t xml:space="preserve">% of other recurring income </t>
  </si>
  <si>
    <t>FF</t>
  </si>
  <si>
    <t>FFBQL</t>
  </si>
  <si>
    <t>FOTD</t>
  </si>
  <si>
    <t>FFCL</t>
  </si>
  <si>
    <t>Mutual Funds</t>
  </si>
  <si>
    <t>Solar</t>
  </si>
  <si>
    <t xml:space="preserve"> </t>
  </si>
  <si>
    <t>Retained Earnings</t>
  </si>
  <si>
    <t>Electricity from Grid</t>
  </si>
  <si>
    <t>Fair Value of FCCL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</si>
</sst>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0.0%"/>
    <numFmt numFmtId="168" formatCode="_(* #,##0.0_);_(* \(#,##0.0\);_(* &quot;-&quot;??_);_(@_)"/>
    <numFmt numFmtId="169" formatCode="_-&quot;$&quot;* #,##0.00_-;\-&quot;$&quot;* #,##0.00_-;_-&quot;$&quot;* &quot;-&quot;??_-;_-@_-"/>
    <numFmt numFmtId="170" formatCode="0.000000"/>
    <numFmt numFmtId="171" formatCode="_(* #,##0.000_);_(* \(#,##0.000\);_(* &quot;-&quot;??_);_(@_)"/>
    <numFmt numFmtId="172" formatCode="#,##0.0\x"/>
    <numFmt numFmtId="173" formatCode="_ [$CHF-100C]\ * #,##0.00_ ;_ [$CHF-100C]\ * \-#,##0.00_ ;_ [$CHF-100C]\ * &quot;-&quot;??_ ;_ @_ "/>
    <numFmt numFmtId="174" formatCode="_(* #,##0.00000_);_(* \(#,##0.00000\);_(* &quot;-&quot;??_);_(@_)"/>
    <numFmt numFmtId="175" formatCode="#,##0.0;\(#,##0.0\)"/>
    <numFmt numFmtId="176" formatCode="###0;\(###0\)"/>
    <numFmt numFmtId="177" formatCode="#,##0.00;\(#,##0.00\)"/>
    <numFmt numFmtId="178" formatCode="#,##0.0_);[Red]\(#,##0.0\)"/>
    <numFmt numFmtId="179" formatCode="_(* #,##0.00_);_(* \(#,##0.00\);_(* &quot;-&quot;_);_(@_)"/>
    <numFmt numFmtId="180" formatCode="#,##0.0_);\(#,##0.0\)"/>
    <numFmt numFmtId="181" formatCode="#,##0;\(#,##0\)"/>
    <numFmt numFmtId="182" formatCode="_(* #,##0.0000_);_(* \(#,##0.0000\);_(* &quot;-&quot;??_);_(@_)"/>
    <numFmt numFmtId="183" formatCode="_(* #,##0.000000_);_(* \(#,##0.000000\);_(* &quot;-&quot;??_);_(@_)"/>
  </numFmts>
  <fonts count="8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indexed="12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indexed="17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color theme="3"/>
      <name val="Calibri"/>
      <family val="2"/>
      <scheme val="minor"/>
    </font>
    <font>
      <b/>
      <sz val="8"/>
      <color indexed="12"/>
      <name val="Calibri"/>
      <family val="2"/>
      <scheme val="minor"/>
    </font>
    <font>
      <b/>
      <sz val="8"/>
      <color indexed="8"/>
      <name val="Calibri"/>
      <family val="2"/>
      <scheme val="minor"/>
    </font>
    <font>
      <i/>
      <sz val="8"/>
      <color rgb="FFFF0000"/>
      <name val="Calibri"/>
      <family val="2"/>
      <scheme val="minor"/>
    </font>
    <font>
      <i/>
      <sz val="8"/>
      <color indexed="10"/>
      <name val="Calibri"/>
      <family val="2"/>
      <scheme val="minor"/>
    </font>
    <font>
      <i/>
      <sz val="8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0"/>
      <color theme="10"/>
      <name val="Arial"/>
      <family val="2"/>
    </font>
    <font>
      <u/>
      <sz val="8"/>
      <color theme="1"/>
      <name val="Calibri"/>
      <family val="2"/>
      <scheme val="minor"/>
    </font>
    <font>
      <sz val="8"/>
      <color indexed="10"/>
      <name val="Calibri"/>
      <family val="2"/>
      <scheme val="minor"/>
    </font>
    <font>
      <sz val="8"/>
      <color theme="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2931D7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8"/>
      <color indexed="18"/>
      <name val="Calibri"/>
      <family val="2"/>
      <scheme val="minor"/>
    </font>
    <font>
      <sz val="8"/>
      <color indexed="18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12"/>
      <name val="Calibri"/>
      <family val="2"/>
      <scheme val="minor"/>
    </font>
    <font>
      <b/>
      <sz val="9"/>
      <color indexed="12"/>
      <name val="Calibri"/>
      <family val="2"/>
      <scheme val="minor"/>
    </font>
    <font>
      <i/>
      <sz val="9"/>
      <color indexed="12"/>
      <name val="Calibri"/>
      <family val="2"/>
      <scheme val="minor"/>
    </font>
    <font>
      <sz val="8"/>
      <color indexed="81"/>
      <name val="Tahoma"/>
      <family val="2"/>
    </font>
    <font>
      <sz val="9"/>
      <color rgb="FFFF0000"/>
      <name val="Calibri"/>
      <family val="2"/>
      <scheme val="minor"/>
    </font>
    <font>
      <b/>
      <sz val="8"/>
      <color indexed="23"/>
      <name val="Calibri"/>
      <family val="2"/>
      <scheme val="minor"/>
    </font>
    <font>
      <sz val="10"/>
      <name val="Times New Roman"/>
      <family val="1"/>
    </font>
    <font>
      <b/>
      <sz val="8"/>
      <color theme="3"/>
      <name val="Calibri"/>
      <family val="2"/>
      <scheme val="minor"/>
    </font>
    <font>
      <sz val="10"/>
      <color indexed="12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rgb="FF2931D7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17"/>
      <name val="Calibri"/>
      <family val="2"/>
      <scheme val="minor"/>
    </font>
    <font>
      <b/>
      <sz val="10"/>
      <color indexed="17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3"/>
      <name val="Calibri"/>
      <family val="2"/>
      <scheme val="minor"/>
    </font>
    <font>
      <sz val="10"/>
      <name val="Calibri"/>
      <family val="2"/>
      <scheme val="minor"/>
    </font>
    <font>
      <b/>
      <i/>
      <sz val="8"/>
      <color rgb="FFFF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1" tint="0.34998626667073579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6" tint="-0.249977111117893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rgb="FFFF0000"/>
      <name val="Calibri"/>
      <family val="2"/>
      <scheme val="minor"/>
    </font>
    <font>
      <u/>
      <sz val="1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10"/>
      <color indexed="1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sz val="10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0"/>
      <color indexed="1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165" fontId="2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169" fontId="22" fillId="0" borderId="0"/>
    <xf numFmtId="0" fontId="1" fillId="0" borderId="0"/>
    <xf numFmtId="0" fontId="1" fillId="0" borderId="0"/>
    <xf numFmtId="0" fontId="1" fillId="0" borderId="0"/>
    <xf numFmtId="170" fontId="22" fillId="0" borderId="0">
      <alignment horizontal="left" wrapText="1"/>
    </xf>
    <xf numFmtId="170" fontId="22" fillId="0" borderId="0">
      <alignment horizontal="left" wrapText="1"/>
    </xf>
    <xf numFmtId="0" fontId="22" fillId="0" borderId="0"/>
    <xf numFmtId="0" fontId="1" fillId="0" borderId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165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2" fillId="0" borderId="0" applyFont="0" applyFill="0" applyBorder="0" applyAlignment="0" applyProtection="0"/>
    <xf numFmtId="170" fontId="22" fillId="0" borderId="0">
      <alignment horizontal="left" wrapText="1"/>
    </xf>
    <xf numFmtId="38" fontId="45" fillId="0" borderId="0">
      <protection locked="0"/>
    </xf>
    <xf numFmtId="9" fontId="45" fillId="0" borderId="0" applyFont="0" applyFill="0" applyBorder="0" applyAlignment="0" applyProtection="0"/>
  </cellStyleXfs>
  <cellXfs count="653">
    <xf numFmtId="0" fontId="0" fillId="0" borderId="0" xfId="0"/>
    <xf numFmtId="165" fontId="2" fillId="0" borderId="0" xfId="1" applyFont="1"/>
    <xf numFmtId="165" fontId="3" fillId="0" borderId="0" xfId="1" applyFont="1"/>
    <xf numFmtId="0" fontId="3" fillId="0" borderId="0" xfId="0" applyFont="1"/>
    <xf numFmtId="165" fontId="4" fillId="0" borderId="0" xfId="1" applyFont="1"/>
    <xf numFmtId="165" fontId="6" fillId="0" borderId="0" xfId="3" applyNumberFormat="1" applyFont="1" applyFill="1" applyBorder="1" applyAlignment="1">
      <alignment vertical="center" wrapText="1"/>
    </xf>
    <xf numFmtId="165" fontId="7" fillId="0" borderId="0" xfId="1" applyFont="1"/>
    <xf numFmtId="0" fontId="8" fillId="2" borderId="0" xfId="1" applyNumberFormat="1" applyFont="1" applyFill="1" applyAlignment="1">
      <alignment horizontal="center"/>
    </xf>
    <xf numFmtId="165" fontId="8" fillId="2" borderId="0" xfId="1" applyFont="1" applyFill="1" applyAlignment="1">
      <alignment horizontal="center"/>
    </xf>
    <xf numFmtId="165" fontId="3" fillId="0" borderId="0" xfId="1" applyFont="1" applyBorder="1"/>
    <xf numFmtId="165" fontId="10" fillId="0" borderId="0" xfId="1" applyFont="1"/>
    <xf numFmtId="166" fontId="10" fillId="0" borderId="0" xfId="0" applyNumberFormat="1" applyFont="1"/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center" vertical="center"/>
    </xf>
    <xf numFmtId="166" fontId="11" fillId="0" borderId="0" xfId="1" applyNumberFormat="1" applyFont="1"/>
    <xf numFmtId="166" fontId="3" fillId="0" borderId="0" xfId="1" applyNumberFormat="1" applyFont="1"/>
    <xf numFmtId="0" fontId="12" fillId="0" borderId="1" xfId="0" applyFont="1" applyBorder="1"/>
    <xf numFmtId="0" fontId="3" fillId="0" borderId="1" xfId="0" applyFont="1" applyBorder="1" applyAlignment="1">
      <alignment horizontal="center" vertical="center"/>
    </xf>
    <xf numFmtId="165" fontId="10" fillId="3" borderId="0" xfId="1" applyFont="1" applyFill="1"/>
    <xf numFmtId="0" fontId="3" fillId="3" borderId="0" xfId="0" applyFont="1" applyFill="1" applyAlignment="1">
      <alignment horizontal="center" vertical="center"/>
    </xf>
    <xf numFmtId="166" fontId="3" fillId="0" borderId="0" xfId="1" applyNumberFormat="1" applyFont="1" applyBorder="1"/>
    <xf numFmtId="0" fontId="12" fillId="0" borderId="0" xfId="0" applyFont="1" applyAlignment="1">
      <alignment horizontal="left" indent="1"/>
    </xf>
    <xf numFmtId="166" fontId="10" fillId="0" borderId="0" xfId="1" applyNumberFormat="1" applyFont="1" applyBorder="1"/>
    <xf numFmtId="166" fontId="13" fillId="0" borderId="0" xfId="1" applyNumberFormat="1" applyFont="1" applyBorder="1"/>
    <xf numFmtId="0" fontId="3" fillId="0" borderId="1" xfId="0" applyFont="1" applyBorder="1"/>
    <xf numFmtId="166" fontId="3" fillId="0" borderId="1" xfId="1" applyNumberFormat="1" applyFont="1" applyBorder="1"/>
    <xf numFmtId="166" fontId="19" fillId="0" borderId="0" xfId="1" applyNumberFormat="1" applyFont="1"/>
    <xf numFmtId="167" fontId="18" fillId="0" borderId="0" xfId="1" applyNumberFormat="1" applyFont="1" applyBorder="1"/>
    <xf numFmtId="0" fontId="10" fillId="0" borderId="0" xfId="0" applyFont="1"/>
    <xf numFmtId="165" fontId="3" fillId="0" borderId="0" xfId="1" applyFont="1" applyFill="1" applyBorder="1"/>
    <xf numFmtId="165" fontId="3" fillId="0" borderId="1" xfId="1" applyFont="1" applyBorder="1"/>
    <xf numFmtId="0" fontId="10" fillId="0" borderId="1" xfId="0" applyFont="1" applyBorder="1"/>
    <xf numFmtId="166" fontId="13" fillId="0" borderId="1" xfId="1" applyNumberFormat="1" applyFont="1" applyBorder="1"/>
    <xf numFmtId="0" fontId="3" fillId="3" borderId="0" xfId="0" applyFont="1" applyFill="1"/>
    <xf numFmtId="165" fontId="18" fillId="0" borderId="0" xfId="1" applyFont="1"/>
    <xf numFmtId="165" fontId="20" fillId="0" borderId="0" xfId="1" applyFont="1"/>
    <xf numFmtId="0" fontId="21" fillId="0" borderId="0" xfId="0" applyFont="1"/>
    <xf numFmtId="165" fontId="10" fillId="0" borderId="1" xfId="1" applyFont="1" applyBorder="1"/>
    <xf numFmtId="166" fontId="3" fillId="0" borderId="1" xfId="0" applyNumberFormat="1" applyFont="1" applyBorder="1"/>
    <xf numFmtId="166" fontId="3" fillId="0" borderId="0" xfId="0" applyNumberFormat="1" applyFont="1"/>
    <xf numFmtId="166" fontId="10" fillId="0" borderId="0" xfId="1" applyNumberFormat="1" applyFont="1"/>
    <xf numFmtId="165" fontId="10" fillId="0" borderId="2" xfId="1" applyFont="1" applyBorder="1"/>
    <xf numFmtId="0" fontId="3" fillId="0" borderId="2" xfId="0" applyFont="1" applyBorder="1"/>
    <xf numFmtId="165" fontId="9" fillId="0" borderId="0" xfId="1" applyFont="1"/>
    <xf numFmtId="165" fontId="3" fillId="0" borderId="0" xfId="0" applyNumberFormat="1" applyFont="1"/>
    <xf numFmtId="165" fontId="3" fillId="4" borderId="0" xfId="1" applyFont="1" applyFill="1"/>
    <xf numFmtId="0" fontId="3" fillId="4" borderId="0" xfId="0" applyFont="1" applyFill="1"/>
    <xf numFmtId="0" fontId="10" fillId="4" borderId="0" xfId="0" applyFont="1" applyFill="1"/>
    <xf numFmtId="165" fontId="9" fillId="4" borderId="0" xfId="1" applyFont="1" applyFill="1"/>
    <xf numFmtId="0" fontId="9" fillId="4" borderId="0" xfId="0" applyFont="1" applyFill="1"/>
    <xf numFmtId="165" fontId="21" fillId="0" borderId="0" xfId="1" applyFont="1"/>
    <xf numFmtId="0" fontId="25" fillId="0" borderId="0" xfId="0" applyFont="1"/>
    <xf numFmtId="0" fontId="15" fillId="0" borderId="0" xfId="0" applyFont="1" applyAlignment="1">
      <alignment horizontal="center"/>
    </xf>
    <xf numFmtId="9" fontId="10" fillId="0" borderId="0" xfId="2" applyFont="1" applyBorder="1" applyAlignment="1">
      <alignment horizontal="left"/>
    </xf>
    <xf numFmtId="0" fontId="10" fillId="0" borderId="0" xfId="0" applyFont="1" applyAlignment="1">
      <alignment horizontal="left" indent="1"/>
    </xf>
    <xf numFmtId="0" fontId="10" fillId="0" borderId="2" xfId="0" applyFont="1" applyBorder="1"/>
    <xf numFmtId="166" fontId="10" fillId="0" borderId="2" xfId="1" applyNumberFormat="1" applyFont="1" applyBorder="1"/>
    <xf numFmtId="0" fontId="26" fillId="0" borderId="0" xfId="0" applyFont="1"/>
    <xf numFmtId="165" fontId="3" fillId="0" borderId="0" xfId="1" applyFont="1" applyAlignment="1">
      <alignment horizontal="left" indent="1"/>
    </xf>
    <xf numFmtId="0" fontId="8" fillId="11" borderId="0" xfId="1" applyNumberFormat="1" applyFont="1" applyFill="1" applyAlignment="1">
      <alignment horizontal="center"/>
    </xf>
    <xf numFmtId="165" fontId="10" fillId="8" borderId="0" xfId="1" applyFont="1" applyFill="1"/>
    <xf numFmtId="0" fontId="3" fillId="8" borderId="0" xfId="0" applyFont="1" applyFill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 applyAlignment="1">
      <alignment wrapText="1"/>
    </xf>
    <xf numFmtId="0" fontId="34" fillId="0" borderId="0" xfId="0" applyFont="1" applyAlignment="1">
      <alignment wrapText="1"/>
    </xf>
    <xf numFmtId="37" fontId="9" fillId="0" borderId="0" xfId="6" applyNumberFormat="1" applyFont="1"/>
    <xf numFmtId="3" fontId="9" fillId="0" borderId="0" xfId="6" applyNumberFormat="1" applyFont="1"/>
    <xf numFmtId="0" fontId="9" fillId="0" borderId="1" xfId="6" applyFont="1" applyBorder="1"/>
    <xf numFmtId="0" fontId="7" fillId="0" borderId="0" xfId="6" applyFont="1"/>
    <xf numFmtId="37" fontId="11" fillId="0" borderId="0" xfId="2" applyNumberFormat="1" applyFont="1" applyBorder="1"/>
    <xf numFmtId="37" fontId="11" fillId="0" borderId="0" xfId="6" applyNumberFormat="1" applyFont="1"/>
    <xf numFmtId="37" fontId="7" fillId="0" borderId="0" xfId="6" applyNumberFormat="1" applyFont="1"/>
    <xf numFmtId="0" fontId="9" fillId="0" borderId="0" xfId="6" applyFont="1"/>
    <xf numFmtId="2" fontId="37" fillId="0" borderId="0" xfId="6" applyNumberFormat="1" applyFont="1"/>
    <xf numFmtId="9" fontId="37" fillId="0" borderId="0" xfId="2" applyFont="1"/>
    <xf numFmtId="37" fontId="37" fillId="0" borderId="0" xfId="6" applyNumberFormat="1" applyFont="1"/>
    <xf numFmtId="2" fontId="14" fillId="0" borderId="0" xfId="6" applyNumberFormat="1" applyFont="1"/>
    <xf numFmtId="166" fontId="17" fillId="0" borderId="0" xfId="1" applyNumberFormat="1" applyFont="1"/>
    <xf numFmtId="0" fontId="35" fillId="0" borderId="0" xfId="0" applyFont="1"/>
    <xf numFmtId="165" fontId="35" fillId="10" borderId="0" xfId="10" applyFont="1" applyFill="1"/>
    <xf numFmtId="165" fontId="35" fillId="0" borderId="0" xfId="10" applyFont="1" applyFill="1"/>
    <xf numFmtId="165" fontId="35" fillId="0" borderId="0" xfId="10" applyFont="1"/>
    <xf numFmtId="165" fontId="35" fillId="0" borderId="0" xfId="0" applyNumberFormat="1" applyFont="1"/>
    <xf numFmtId="165" fontId="34" fillId="10" borderId="0" xfId="10" applyFont="1" applyFill="1"/>
    <xf numFmtId="167" fontId="34" fillId="10" borderId="0" xfId="22" applyNumberFormat="1" applyFont="1" applyFill="1"/>
    <xf numFmtId="167" fontId="34" fillId="0" borderId="0" xfId="22" applyNumberFormat="1" applyFont="1" applyFill="1"/>
    <xf numFmtId="167" fontId="34" fillId="0" borderId="0" xfId="22" applyNumberFormat="1" applyFont="1"/>
    <xf numFmtId="166" fontId="34" fillId="10" borderId="0" xfId="10" applyNumberFormat="1" applyFont="1" applyFill="1"/>
    <xf numFmtId="3" fontId="34" fillId="0" borderId="0" xfId="0" applyNumberFormat="1" applyFont="1"/>
    <xf numFmtId="167" fontId="34" fillId="0" borderId="0" xfId="0" applyNumberFormat="1" applyFont="1"/>
    <xf numFmtId="0" fontId="35" fillId="10" borderId="0" xfId="0" applyFont="1" applyFill="1"/>
    <xf numFmtId="166" fontId="34" fillId="0" borderId="0" xfId="10" applyNumberFormat="1" applyFont="1"/>
    <xf numFmtId="0" fontId="34" fillId="0" borderId="0" xfId="6" applyFont="1" applyProtection="1">
      <protection locked="0"/>
    </xf>
    <xf numFmtId="0" fontId="38" fillId="0" borderId="0" xfId="0" applyFont="1"/>
    <xf numFmtId="0" fontId="40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5" fillId="10" borderId="0" xfId="0" applyFont="1" applyFill="1" applyAlignment="1">
      <alignment horizontal="right"/>
    </xf>
    <xf numFmtId="0" fontId="35" fillId="0" borderId="0" xfId="0" applyFont="1" applyAlignment="1">
      <alignment horizontal="right"/>
    </xf>
    <xf numFmtId="165" fontId="34" fillId="0" borderId="0" xfId="10" applyFont="1"/>
    <xf numFmtId="165" fontId="34" fillId="0" borderId="0" xfId="10" applyFont="1" applyFill="1"/>
    <xf numFmtId="165" fontId="34" fillId="0" borderId="0" xfId="0" applyNumberFormat="1" applyFont="1"/>
    <xf numFmtId="171" fontId="34" fillId="10" borderId="0" xfId="26" applyNumberFormat="1" applyFont="1" applyFill="1"/>
    <xf numFmtId="171" fontId="34" fillId="0" borderId="0" xfId="26" applyNumberFormat="1" applyFont="1" applyFill="1"/>
    <xf numFmtId="0" fontId="34" fillId="10" borderId="0" xfId="0" applyFont="1" applyFill="1"/>
    <xf numFmtId="168" fontId="13" fillId="0" borderId="0" xfId="10" applyNumberFormat="1" applyFont="1" applyFill="1" applyBorder="1" applyAlignment="1">
      <alignment horizontal="right"/>
    </xf>
    <xf numFmtId="9" fontId="34" fillId="10" borderId="0" xfId="27" applyFont="1" applyFill="1"/>
    <xf numFmtId="167" fontId="39" fillId="5" borderId="0" xfId="27" applyNumberFormat="1" applyFont="1" applyFill="1"/>
    <xf numFmtId="168" fontId="34" fillId="0" borderId="0" xfId="26" applyNumberFormat="1" applyFont="1"/>
    <xf numFmtId="10" fontId="34" fillId="0" borderId="0" xfId="27" applyNumberFormat="1" applyFont="1"/>
    <xf numFmtId="10" fontId="34" fillId="10" borderId="0" xfId="27" applyNumberFormat="1" applyFont="1" applyFill="1"/>
    <xf numFmtId="10" fontId="35" fillId="0" borderId="0" xfId="27" applyNumberFormat="1" applyFont="1"/>
    <xf numFmtId="167" fontId="40" fillId="5" borderId="0" xfId="27" applyNumberFormat="1" applyFont="1" applyFill="1"/>
    <xf numFmtId="9" fontId="41" fillId="5" borderId="0" xfId="27" applyFont="1" applyFill="1"/>
    <xf numFmtId="167" fontId="34" fillId="0" borderId="0" xfId="27" applyNumberFormat="1" applyFont="1"/>
    <xf numFmtId="165" fontId="34" fillId="10" borderId="0" xfId="0" applyNumberFormat="1" applyFont="1" applyFill="1"/>
    <xf numFmtId="165" fontId="34" fillId="13" borderId="0" xfId="0" applyNumberFormat="1" applyFont="1" applyFill="1"/>
    <xf numFmtId="165" fontId="39" fillId="5" borderId="0" xfId="10" applyFont="1" applyFill="1"/>
    <xf numFmtId="0" fontId="38" fillId="13" borderId="0" xfId="0" applyFont="1" applyFill="1"/>
    <xf numFmtId="166" fontId="10" fillId="0" borderId="1" xfId="0" applyNumberFormat="1" applyFont="1" applyBorder="1"/>
    <xf numFmtId="165" fontId="37" fillId="0" borderId="0" xfId="1" applyFont="1"/>
    <xf numFmtId="165" fontId="7" fillId="0" borderId="0" xfId="1" applyFont="1" applyFill="1"/>
    <xf numFmtId="166" fontId="9" fillId="0" borderId="0" xfId="1" applyNumberFormat="1" applyFont="1" applyBorder="1"/>
    <xf numFmtId="166" fontId="37" fillId="0" borderId="0" xfId="1" applyNumberFormat="1" applyFont="1" applyBorder="1"/>
    <xf numFmtId="37" fontId="44" fillId="0" borderId="0" xfId="6" applyNumberFormat="1" applyFont="1" applyAlignment="1">
      <alignment horizontal="center" vertical="center"/>
    </xf>
    <xf numFmtId="0" fontId="44" fillId="0" borderId="0" xfId="31" applyNumberFormat="1" applyFont="1" applyAlignment="1" applyProtection="1">
      <alignment horizontal="center"/>
    </xf>
    <xf numFmtId="175" fontId="9" fillId="0" borderId="0" xfId="31" applyNumberFormat="1" applyFont="1" applyAlignment="1" applyProtection="1">
      <alignment horizontal="center"/>
    </xf>
    <xf numFmtId="175" fontId="7" fillId="0" borderId="0" xfId="31" applyNumberFormat="1" applyFont="1" applyAlignment="1" applyProtection="1">
      <alignment horizontal="center"/>
    </xf>
    <xf numFmtId="0" fontId="11" fillId="5" borderId="0" xfId="0" applyFont="1" applyFill="1" applyAlignment="1">
      <alignment horizontal="center"/>
    </xf>
    <xf numFmtId="0" fontId="7" fillId="0" borderId="0" xfId="7" applyFont="1"/>
    <xf numFmtId="1" fontId="8" fillId="0" borderId="0" xfId="7" applyNumberFormat="1" applyFont="1" applyAlignment="1">
      <alignment horizontal="center"/>
    </xf>
    <xf numFmtId="0" fontId="27" fillId="0" borderId="0" xfId="7" applyFont="1" applyAlignment="1">
      <alignment horizontal="center" vertical="center"/>
    </xf>
    <xf numFmtId="0" fontId="8" fillId="0" borderId="0" xfId="7" applyFont="1" applyAlignment="1">
      <alignment horizontal="center" vertical="center"/>
    </xf>
    <xf numFmtId="15" fontId="16" fillId="0" borderId="0" xfId="1" applyNumberFormat="1" applyFont="1" applyFill="1" applyBorder="1" applyProtection="1"/>
    <xf numFmtId="38" fontId="14" fillId="0" borderId="0" xfId="31" applyFont="1" applyAlignment="1" applyProtection="1">
      <alignment horizontal="right"/>
    </xf>
    <xf numFmtId="0" fontId="7" fillId="10" borderId="0" xfId="0" applyFont="1" applyFill="1" applyAlignment="1">
      <alignment horizontal="left"/>
    </xf>
    <xf numFmtId="9" fontId="13" fillId="0" borderId="0" xfId="2" applyFont="1" applyAlignment="1" applyProtection="1">
      <alignment horizontal="center" vertical="center"/>
    </xf>
    <xf numFmtId="9" fontId="7" fillId="0" borderId="0" xfId="2" applyFont="1" applyAlignment="1" applyProtection="1">
      <alignment horizontal="center" vertical="center"/>
    </xf>
    <xf numFmtId="167" fontId="14" fillId="0" borderId="0" xfId="2" applyNumberFormat="1" applyFont="1" applyFill="1" applyBorder="1" applyAlignment="1" applyProtection="1">
      <alignment horizontal="right"/>
    </xf>
    <xf numFmtId="165" fontId="7" fillId="10" borderId="0" xfId="1" applyFont="1" applyFill="1" applyAlignment="1">
      <alignment horizontal="left"/>
    </xf>
    <xf numFmtId="167" fontId="13" fillId="0" borderId="0" xfId="1" applyNumberFormat="1" applyFont="1" applyFill="1" applyProtection="1"/>
    <xf numFmtId="9" fontId="11" fillId="0" borderId="0" xfId="0" applyNumberFormat="1" applyFont="1"/>
    <xf numFmtId="9" fontId="7" fillId="0" borderId="0" xfId="2" applyFont="1" applyFill="1" applyBorder="1" applyAlignment="1" applyProtection="1">
      <alignment horizontal="center"/>
    </xf>
    <xf numFmtId="38" fontId="9" fillId="0" borderId="0" xfId="31" applyFont="1" applyAlignment="1" applyProtection="1">
      <alignment horizontal="center"/>
    </xf>
    <xf numFmtId="9" fontId="13" fillId="0" borderId="0" xfId="1" applyNumberFormat="1" applyFont="1" applyFill="1" applyProtection="1"/>
    <xf numFmtId="0" fontId="9" fillId="0" borderId="0" xfId="6" applyFont="1" applyAlignment="1">
      <alignment horizontal="center"/>
    </xf>
    <xf numFmtId="9" fontId="13" fillId="0" borderId="0" xfId="1" applyNumberFormat="1" applyFont="1" applyProtection="1"/>
    <xf numFmtId="165" fontId="7" fillId="0" borderId="1" xfId="1" applyFont="1" applyBorder="1"/>
    <xf numFmtId="40" fontId="14" fillId="0" borderId="0" xfId="31" applyNumberFormat="1" applyFont="1" applyAlignment="1" applyProtection="1">
      <alignment horizontal="right"/>
    </xf>
    <xf numFmtId="9" fontId="7" fillId="0" borderId="0" xfId="7" applyNumberFormat="1" applyFont="1"/>
    <xf numFmtId="4" fontId="7" fillId="0" borderId="0" xfId="6" applyNumberFormat="1" applyFont="1" applyAlignment="1">
      <alignment horizontal="center"/>
    </xf>
    <xf numFmtId="175" fontId="9" fillId="0" borderId="0" xfId="31" applyNumberFormat="1" applyFont="1" applyAlignment="1" applyProtection="1">
      <alignment horizontal="left"/>
    </xf>
    <xf numFmtId="40" fontId="7" fillId="0" borderId="0" xfId="31" applyNumberFormat="1" applyFont="1" applyAlignment="1" applyProtection="1">
      <alignment horizontal="center"/>
    </xf>
    <xf numFmtId="165" fontId="7" fillId="10" borderId="1" xfId="1" applyFont="1" applyFill="1" applyBorder="1" applyAlignment="1">
      <alignment horizontal="left"/>
    </xf>
    <xf numFmtId="9" fontId="7" fillId="0" borderId="1" xfId="2" applyFont="1" applyBorder="1" applyAlignment="1" applyProtection="1">
      <alignment vertical="center"/>
    </xf>
    <xf numFmtId="177" fontId="9" fillId="0" borderId="0" xfId="1" applyNumberFormat="1" applyFont="1" applyFill="1" applyBorder="1" applyAlignment="1" applyProtection="1">
      <alignment horizontal="center"/>
    </xf>
    <xf numFmtId="176" fontId="9" fillId="0" borderId="0" xfId="31" applyNumberFormat="1" applyFont="1" applyAlignment="1" applyProtection="1">
      <alignment horizontal="center"/>
    </xf>
    <xf numFmtId="165" fontId="9" fillId="0" borderId="0" xfId="1" applyFont="1" applyBorder="1" applyAlignment="1" applyProtection="1">
      <alignment horizontal="left"/>
    </xf>
    <xf numFmtId="167" fontId="9" fillId="0" borderId="0" xfId="2" applyNumberFormat="1" applyFont="1" applyBorder="1" applyAlignment="1" applyProtection="1">
      <alignment horizontal="right" vertical="center"/>
    </xf>
    <xf numFmtId="16" fontId="9" fillId="0" borderId="0" xfId="6" applyNumberFormat="1" applyFont="1" applyAlignment="1">
      <alignment horizontal="right"/>
    </xf>
    <xf numFmtId="165" fontId="9" fillId="10" borderId="0" xfId="1" applyFont="1" applyFill="1" applyAlignment="1">
      <alignment horizontal="left"/>
    </xf>
    <xf numFmtId="167" fontId="7" fillId="0" borderId="0" xfId="2" applyNumberFormat="1" applyFont="1" applyFill="1" applyBorder="1" applyAlignment="1" applyProtection="1">
      <alignment horizontal="center"/>
    </xf>
    <xf numFmtId="3" fontId="7" fillId="0" borderId="0" xfId="6" applyNumberFormat="1" applyFont="1" applyAlignment="1">
      <alignment horizontal="right"/>
    </xf>
    <xf numFmtId="167" fontId="11" fillId="0" borderId="0" xfId="32" applyNumberFormat="1" applyFont="1" applyFill="1" applyBorder="1" applyAlignment="1" applyProtection="1">
      <alignment horizontal="center"/>
    </xf>
    <xf numFmtId="177" fontId="9" fillId="0" borderId="0" xfId="1" applyNumberFormat="1" applyFont="1" applyFill="1" applyBorder="1" applyAlignment="1" applyProtection="1">
      <alignment horizontal="left"/>
    </xf>
    <xf numFmtId="167" fontId="9" fillId="0" borderId="0" xfId="2" applyNumberFormat="1" applyFont="1" applyFill="1" applyBorder="1" applyAlignment="1" applyProtection="1">
      <alignment horizontal="center"/>
    </xf>
    <xf numFmtId="9" fontId="7" fillId="0" borderId="0" xfId="6" applyNumberFormat="1" applyFont="1" applyAlignment="1">
      <alignment horizontal="right"/>
    </xf>
    <xf numFmtId="165" fontId="7" fillId="0" borderId="0" xfId="1" applyFont="1" applyFill="1" applyBorder="1" applyAlignment="1" applyProtection="1">
      <alignment horizontal="left"/>
    </xf>
    <xf numFmtId="168" fontId="11" fillId="0" borderId="0" xfId="1" applyNumberFormat="1" applyFont="1" applyFill="1" applyBorder="1" applyAlignment="1" applyProtection="1">
      <alignment horizontal="center"/>
    </xf>
    <xf numFmtId="38" fontId="7" fillId="0" borderId="0" xfId="31" applyFont="1" applyProtection="1"/>
    <xf numFmtId="0" fontId="7" fillId="0" borderId="0" xfId="6" applyFont="1" applyAlignment="1">
      <alignment horizontal="right"/>
    </xf>
    <xf numFmtId="166" fontId="7" fillId="0" borderId="0" xfId="0" applyNumberFormat="1" applyFont="1"/>
    <xf numFmtId="9" fontId="11" fillId="5" borderId="0" xfId="0" applyNumberFormat="1" applyFont="1" applyFill="1"/>
    <xf numFmtId="166" fontId="9" fillId="0" borderId="0" xfId="1" applyNumberFormat="1" applyFont="1" applyFill="1" applyBorder="1" applyAlignment="1" applyProtection="1">
      <alignment horizontal="center"/>
    </xf>
    <xf numFmtId="166" fontId="11" fillId="0" borderId="0" xfId="1" applyNumberFormat="1" applyFont="1" applyFill="1" applyAlignment="1"/>
    <xf numFmtId="165" fontId="11" fillId="0" borderId="0" xfId="1" applyFont="1" applyFill="1" applyAlignment="1"/>
    <xf numFmtId="37" fontId="16" fillId="0" borderId="0" xfId="7" applyNumberFormat="1" applyFont="1" applyAlignment="1">
      <alignment horizontal="right" wrapText="1"/>
    </xf>
    <xf numFmtId="167" fontId="7" fillId="0" borderId="0" xfId="32" applyNumberFormat="1" applyFont="1" applyFill="1" applyBorder="1" applyAlignment="1" applyProtection="1">
      <alignment horizontal="center"/>
    </xf>
    <xf numFmtId="9" fontId="11" fillId="0" borderId="0" xfId="0" applyNumberFormat="1" applyFont="1" applyAlignment="1">
      <alignment horizontal="center"/>
    </xf>
    <xf numFmtId="165" fontId="9" fillId="6" borderId="0" xfId="1" applyFont="1" applyFill="1"/>
    <xf numFmtId="168" fontId="10" fillId="6" borderId="0" xfId="0" applyNumberFormat="1" applyFont="1" applyFill="1"/>
    <xf numFmtId="0" fontId="16" fillId="0" borderId="0" xfId="31" applyNumberFormat="1" applyFont="1" applyAlignment="1" applyProtection="1">
      <alignment horizontal="right"/>
    </xf>
    <xf numFmtId="176" fontId="11" fillId="0" borderId="0" xfId="31" applyNumberFormat="1" applyFont="1" applyAlignment="1" applyProtection="1">
      <alignment horizontal="left"/>
    </xf>
    <xf numFmtId="38" fontId="3" fillId="0" borderId="0" xfId="0" applyNumberFormat="1" applyFont="1"/>
    <xf numFmtId="167" fontId="11" fillId="0" borderId="0" xfId="2" applyNumberFormat="1" applyFont="1" applyFill="1" applyBorder="1" applyAlignment="1" applyProtection="1">
      <alignment horizontal="right"/>
    </xf>
    <xf numFmtId="4" fontId="7" fillId="0" borderId="0" xfId="6" applyNumberFormat="1" applyFont="1" applyAlignment="1">
      <alignment horizontal="right"/>
    </xf>
    <xf numFmtId="38" fontId="7" fillId="0" borderId="0" xfId="31" applyFont="1" applyAlignment="1" applyProtection="1">
      <alignment horizontal="right"/>
    </xf>
    <xf numFmtId="40" fontId="7" fillId="0" borderId="0" xfId="31" applyNumberFormat="1" applyFont="1" applyAlignment="1" applyProtection="1">
      <alignment horizontal="right"/>
    </xf>
    <xf numFmtId="1" fontId="11" fillId="0" borderId="0" xfId="31" applyNumberFormat="1" applyFont="1" applyAlignment="1" applyProtection="1">
      <alignment horizontal="center"/>
    </xf>
    <xf numFmtId="40" fontId="9" fillId="0" borderId="0" xfId="31" applyNumberFormat="1" applyFont="1" applyAlignment="1" applyProtection="1">
      <alignment horizontal="right"/>
    </xf>
    <xf numFmtId="178" fontId="9" fillId="0" borderId="0" xfId="31" applyNumberFormat="1" applyFont="1" applyProtection="1"/>
    <xf numFmtId="9" fontId="9" fillId="0" borderId="0" xfId="2" applyFont="1" applyFill="1" applyBorder="1" applyProtection="1"/>
    <xf numFmtId="38" fontId="7" fillId="0" borderId="0" xfId="31" applyFont="1" applyAlignment="1" applyProtection="1">
      <alignment horizontal="left"/>
    </xf>
    <xf numFmtId="38" fontId="7" fillId="0" borderId="0" xfId="31" applyFont="1" applyAlignment="1" applyProtection="1">
      <alignment horizontal="center"/>
    </xf>
    <xf numFmtId="2" fontId="16" fillId="0" borderId="0" xfId="6" applyNumberFormat="1" applyFont="1" applyAlignment="1">
      <alignment horizontal="right"/>
    </xf>
    <xf numFmtId="37" fontId="27" fillId="0" borderId="0" xfId="6" applyNumberFormat="1" applyFont="1"/>
    <xf numFmtId="0" fontId="27" fillId="0" borderId="0" xfId="6" applyFont="1"/>
    <xf numFmtId="0" fontId="16" fillId="0" borderId="0" xfId="6" applyFont="1"/>
    <xf numFmtId="0" fontId="8" fillId="0" borderId="0" xfId="6" applyFont="1"/>
    <xf numFmtId="15" fontId="27" fillId="0" borderId="0" xfId="6" applyNumberFormat="1" applyFont="1" applyAlignment="1">
      <alignment horizontal="center" vertical="center"/>
    </xf>
    <xf numFmtId="39" fontId="7" fillId="0" borderId="0" xfId="6" applyNumberFormat="1" applyFont="1"/>
    <xf numFmtId="9" fontId="7" fillId="0" borderId="0" xfId="2" applyFont="1" applyFill="1" applyBorder="1"/>
    <xf numFmtId="179" fontId="7" fillId="0" borderId="0" xfId="6" applyNumberFormat="1" applyFont="1"/>
    <xf numFmtId="9" fontId="7" fillId="0" borderId="0" xfId="6" applyNumberFormat="1" applyFont="1"/>
    <xf numFmtId="164" fontId="7" fillId="0" borderId="0" xfId="6" applyNumberFormat="1" applyFont="1"/>
    <xf numFmtId="164" fontId="8" fillId="0" borderId="0" xfId="6" applyNumberFormat="1" applyFont="1"/>
    <xf numFmtId="179" fontId="8" fillId="0" borderId="0" xfId="6" applyNumberFormat="1" applyFont="1"/>
    <xf numFmtId="0" fontId="46" fillId="0" borderId="0" xfId="6" applyFont="1"/>
    <xf numFmtId="15" fontId="15" fillId="0" borderId="0" xfId="6" applyNumberFormat="1" applyFont="1" applyAlignment="1">
      <alignment horizontal="left"/>
    </xf>
    <xf numFmtId="167" fontId="7" fillId="0" borderId="0" xfId="2" applyNumberFormat="1" applyFont="1" applyFill="1" applyBorder="1"/>
    <xf numFmtId="164" fontId="46" fillId="0" borderId="0" xfId="6" applyNumberFormat="1" applyFont="1"/>
    <xf numFmtId="179" fontId="46" fillId="0" borderId="0" xfId="6" applyNumberFormat="1" applyFont="1"/>
    <xf numFmtId="15" fontId="27" fillId="0" borderId="0" xfId="6" applyNumberFormat="1" applyFont="1" applyAlignment="1">
      <alignment horizontal="left"/>
    </xf>
    <xf numFmtId="37" fontId="9" fillId="0" borderId="0" xfId="31" applyNumberFormat="1" applyFont="1" applyAlignment="1" applyProtection="1">
      <alignment horizontal="left"/>
    </xf>
    <xf numFmtId="37" fontId="9" fillId="0" borderId="0" xfId="31" applyNumberFormat="1" applyFont="1" applyAlignment="1" applyProtection="1">
      <alignment horizontal="right"/>
    </xf>
    <xf numFmtId="37" fontId="7" fillId="0" borderId="0" xfId="31" applyNumberFormat="1" applyFont="1" applyProtection="1"/>
    <xf numFmtId="39" fontId="7" fillId="0" borderId="0" xfId="31" applyNumberFormat="1" applyFont="1" applyProtection="1"/>
    <xf numFmtId="180" fontId="7" fillId="0" borderId="0" xfId="31" applyNumberFormat="1" applyFont="1" applyProtection="1"/>
    <xf numFmtId="37" fontId="9" fillId="0" borderId="0" xfId="31" applyNumberFormat="1" applyFont="1" applyProtection="1"/>
    <xf numFmtId="180" fontId="9" fillId="0" borderId="0" xfId="31" applyNumberFormat="1" applyFont="1" applyProtection="1"/>
    <xf numFmtId="3" fontId="11" fillId="0" borderId="0" xfId="2" applyNumberFormat="1" applyFont="1" applyFill="1" applyBorder="1"/>
    <xf numFmtId="37" fontId="11" fillId="0" borderId="0" xfId="6" applyNumberFormat="1" applyFont="1" applyAlignment="1">
      <alignment horizontal="right"/>
    </xf>
    <xf numFmtId="3" fontId="11" fillId="0" borderId="0" xfId="6" applyNumberFormat="1" applyFont="1"/>
    <xf numFmtId="3" fontId="11" fillId="0" borderId="0" xfId="6" applyNumberFormat="1" applyFont="1" applyAlignment="1">
      <alignment horizontal="right"/>
    </xf>
    <xf numFmtId="165" fontId="8" fillId="11" borderId="0" xfId="1" applyFont="1" applyFill="1" applyAlignment="1">
      <alignment horizontal="center"/>
    </xf>
    <xf numFmtId="0" fontId="28" fillId="0" borderId="0" xfId="0" applyFont="1"/>
    <xf numFmtId="166" fontId="13" fillId="0" borderId="0" xfId="1" applyNumberFormat="1" applyFont="1" applyFill="1" applyBorder="1"/>
    <xf numFmtId="167" fontId="33" fillId="14" borderId="0" xfId="2" applyNumberFormat="1" applyFont="1" applyFill="1" applyBorder="1" applyAlignment="1" applyProtection="1">
      <alignment horizontal="center"/>
    </xf>
    <xf numFmtId="165" fontId="9" fillId="0" borderId="0" xfId="1" applyFont="1" applyFill="1" applyBorder="1" applyAlignment="1" applyProtection="1">
      <alignment horizontal="center"/>
    </xf>
    <xf numFmtId="181" fontId="9" fillId="0" borderId="0" xfId="1" applyNumberFormat="1" applyFont="1" applyFill="1" applyBorder="1" applyAlignment="1" applyProtection="1">
      <alignment horizontal="center"/>
    </xf>
    <xf numFmtId="1" fontId="7" fillId="0" borderId="0" xfId="6" applyNumberFormat="1" applyFont="1" applyAlignment="1">
      <alignment horizontal="center"/>
    </xf>
    <xf numFmtId="9" fontId="7" fillId="0" borderId="0" xfId="2" applyFont="1" applyAlignment="1" applyProtection="1">
      <alignment horizontal="center"/>
    </xf>
    <xf numFmtId="166" fontId="34" fillId="0" borderId="0" xfId="10" applyNumberFormat="1" applyFont="1" applyFill="1"/>
    <xf numFmtId="166" fontId="34" fillId="0" borderId="0" xfId="0" applyNumberFormat="1" applyFont="1"/>
    <xf numFmtId="10" fontId="34" fillId="0" borderId="0" xfId="27" applyNumberFormat="1" applyFont="1" applyFill="1"/>
    <xf numFmtId="9" fontId="39" fillId="5" borderId="0" xfId="0" applyNumberFormat="1" applyFont="1" applyFill="1"/>
    <xf numFmtId="9" fontId="35" fillId="0" borderId="0" xfId="2" applyFont="1" applyFill="1"/>
    <xf numFmtId="0" fontId="40" fillId="14" borderId="0" xfId="0" applyFont="1" applyFill="1" applyAlignment="1">
      <alignment horizontal="center"/>
    </xf>
    <xf numFmtId="0" fontId="34" fillId="14" borderId="0" xfId="0" applyFont="1" applyFill="1"/>
    <xf numFmtId="165" fontId="34" fillId="0" borderId="0" xfId="1" applyFont="1"/>
    <xf numFmtId="165" fontId="34" fillId="10" borderId="0" xfId="1" applyFont="1" applyFill="1"/>
    <xf numFmtId="9" fontId="34" fillId="0" borderId="0" xfId="2" applyFont="1"/>
    <xf numFmtId="9" fontId="34" fillId="0" borderId="0" xfId="2" applyFont="1" applyFill="1"/>
    <xf numFmtId="168" fontId="34" fillId="10" borderId="0" xfId="1" applyNumberFormat="1" applyFont="1" applyFill="1"/>
    <xf numFmtId="167" fontId="34" fillId="0" borderId="0" xfId="2" applyNumberFormat="1" applyFont="1" applyFill="1"/>
    <xf numFmtId="10" fontId="43" fillId="0" borderId="0" xfId="2" applyNumberFormat="1" applyFont="1" applyFill="1"/>
    <xf numFmtId="167" fontId="43" fillId="0" borderId="0" xfId="27" applyNumberFormat="1" applyFont="1"/>
    <xf numFmtId="167" fontId="34" fillId="0" borderId="0" xfId="27" applyNumberFormat="1" applyFont="1" applyFill="1"/>
    <xf numFmtId="166" fontId="34" fillId="0" borderId="0" xfId="1" applyNumberFormat="1" applyFont="1"/>
    <xf numFmtId="166" fontId="34" fillId="10" borderId="0" xfId="1" applyNumberFormat="1" applyFont="1" applyFill="1" applyBorder="1"/>
    <xf numFmtId="166" fontId="34" fillId="10" borderId="0" xfId="1" applyNumberFormat="1" applyFont="1" applyFill="1"/>
    <xf numFmtId="0" fontId="48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165" fontId="48" fillId="12" borderId="0" xfId="1" applyFont="1" applyFill="1" applyBorder="1" applyAlignment="1">
      <alignment vertical="center"/>
    </xf>
    <xf numFmtId="0" fontId="48" fillId="12" borderId="0" xfId="1" applyNumberFormat="1" applyFont="1" applyFill="1" applyBorder="1" applyAlignment="1">
      <alignment horizontal="center" vertical="center"/>
    </xf>
    <xf numFmtId="165" fontId="50" fillId="0" borderId="0" xfId="1" applyFont="1" applyFill="1" applyAlignment="1">
      <alignment horizontal="center" vertical="center"/>
    </xf>
    <xf numFmtId="0" fontId="48" fillId="12" borderId="0" xfId="0" applyFont="1" applyFill="1" applyAlignment="1">
      <alignment vertical="center"/>
    </xf>
    <xf numFmtId="0" fontId="49" fillId="15" borderId="7" xfId="0" applyFont="1" applyFill="1" applyBorder="1" applyAlignment="1">
      <alignment vertical="center"/>
    </xf>
    <xf numFmtId="0" fontId="49" fillId="15" borderId="4" xfId="0" applyFont="1" applyFill="1" applyBorder="1" applyAlignment="1">
      <alignment vertical="center"/>
    </xf>
    <xf numFmtId="165" fontId="51" fillId="0" borderId="0" xfId="1" applyFont="1" applyBorder="1" applyAlignment="1">
      <alignment vertical="center"/>
    </xf>
    <xf numFmtId="165" fontId="50" fillId="0" borderId="0" xfId="0" applyNumberFormat="1" applyFont="1" applyAlignment="1">
      <alignment vertical="center"/>
    </xf>
    <xf numFmtId="166" fontId="52" fillId="0" borderId="0" xfId="1" applyNumberFormat="1" applyFont="1" applyFill="1" applyBorder="1" applyAlignment="1">
      <alignment vertical="center"/>
    </xf>
    <xf numFmtId="165" fontId="49" fillId="0" borderId="0" xfId="1" applyFont="1" applyBorder="1" applyAlignment="1">
      <alignment vertical="center"/>
    </xf>
    <xf numFmtId="172" fontId="53" fillId="0" borderId="0" xfId="1" applyNumberFormat="1" applyFont="1" applyBorder="1" applyAlignment="1">
      <alignment horizontal="center" vertical="center"/>
    </xf>
    <xf numFmtId="4" fontId="49" fillId="0" borderId="0" xfId="0" applyNumberFormat="1" applyFont="1" applyAlignment="1">
      <alignment vertical="center"/>
    </xf>
    <xf numFmtId="0" fontId="49" fillId="0" borderId="0" xfId="0" applyFont="1" applyAlignment="1">
      <alignment horizontal="center" vertical="center"/>
    </xf>
    <xf numFmtId="167" fontId="52" fillId="5" borderId="10" xfId="2" applyNumberFormat="1" applyFont="1" applyFill="1" applyBorder="1" applyAlignment="1">
      <alignment horizontal="center" vertical="center"/>
    </xf>
    <xf numFmtId="165" fontId="49" fillId="0" borderId="0" xfId="0" applyNumberFormat="1" applyFont="1" applyAlignment="1">
      <alignment vertical="center"/>
    </xf>
    <xf numFmtId="9" fontId="52" fillId="5" borderId="10" xfId="2" applyFont="1" applyFill="1" applyBorder="1" applyAlignment="1">
      <alignment horizontal="center" vertical="center"/>
    </xf>
    <xf numFmtId="168" fontId="54" fillId="0" borderId="0" xfId="1" applyNumberFormat="1" applyFont="1" applyBorder="1" applyAlignment="1">
      <alignment vertical="center"/>
    </xf>
    <xf numFmtId="165" fontId="55" fillId="0" borderId="0" xfId="2" applyNumberFormat="1" applyFont="1" applyBorder="1" applyAlignment="1">
      <alignment vertical="center"/>
    </xf>
    <xf numFmtId="165" fontId="55" fillId="0" borderId="0" xfId="2" applyNumberFormat="1" applyFont="1" applyFill="1" applyBorder="1" applyAlignment="1">
      <alignment vertical="center"/>
    </xf>
    <xf numFmtId="165" fontId="50" fillId="0" borderId="0" xfId="1" applyFont="1" applyBorder="1" applyAlignment="1">
      <alignment vertical="center"/>
    </xf>
    <xf numFmtId="165" fontId="53" fillId="0" borderId="0" xfId="1" applyFont="1" applyFill="1" applyBorder="1" applyAlignment="1">
      <alignment vertical="center"/>
    </xf>
    <xf numFmtId="165" fontId="48" fillId="0" borderId="0" xfId="1" applyFont="1" applyFill="1" applyBorder="1" applyAlignment="1">
      <alignment vertical="center"/>
    </xf>
    <xf numFmtId="0" fontId="52" fillId="0" borderId="10" xfId="1" applyNumberFormat="1" applyFont="1" applyFill="1" applyBorder="1" applyAlignment="1">
      <alignment horizontal="center" vertical="center"/>
    </xf>
    <xf numFmtId="165" fontId="56" fillId="0" borderId="0" xfId="1" applyFont="1" applyBorder="1" applyAlignment="1">
      <alignment vertical="center"/>
    </xf>
    <xf numFmtId="167" fontId="56" fillId="0" borderId="0" xfId="2" applyNumberFormat="1" applyFont="1" applyFill="1" applyBorder="1" applyAlignment="1">
      <alignment vertical="center"/>
    </xf>
    <xf numFmtId="166" fontId="52" fillId="0" borderId="10" xfId="1" applyNumberFormat="1" applyFont="1" applyFill="1" applyBorder="1" applyAlignment="1">
      <alignment horizontal="center" vertical="center"/>
    </xf>
    <xf numFmtId="182" fontId="47" fillId="0" borderId="0" xfId="1" applyNumberFormat="1" applyFont="1" applyFill="1" applyBorder="1" applyAlignment="1">
      <alignment vertical="center"/>
    </xf>
    <xf numFmtId="168" fontId="54" fillId="0" borderId="0" xfId="0" applyNumberFormat="1" applyFont="1" applyAlignment="1">
      <alignment vertical="center"/>
    </xf>
    <xf numFmtId="0" fontId="57" fillId="0" borderId="0" xfId="0" applyFont="1" applyAlignment="1">
      <alignment horizontal="center" vertical="center"/>
    </xf>
    <xf numFmtId="168" fontId="49" fillId="0" borderId="10" xfId="1" applyNumberFormat="1" applyFont="1" applyBorder="1" applyAlignment="1">
      <alignment horizontal="center" vertical="center"/>
    </xf>
    <xf numFmtId="9" fontId="54" fillId="0" borderId="0" xfId="2" applyFont="1" applyBorder="1" applyAlignment="1">
      <alignment vertical="center"/>
    </xf>
    <xf numFmtId="9" fontId="54" fillId="0" borderId="0" xfId="1" applyNumberFormat="1" applyFont="1" applyBorder="1" applyAlignment="1">
      <alignment vertical="center"/>
    </xf>
    <xf numFmtId="167" fontId="49" fillId="0" borderId="10" xfId="0" applyNumberFormat="1" applyFont="1" applyBorder="1" applyAlignment="1">
      <alignment vertical="center"/>
    </xf>
    <xf numFmtId="0" fontId="49" fillId="0" borderId="9" xfId="0" applyFont="1" applyBorder="1" applyAlignment="1">
      <alignment vertical="center"/>
    </xf>
    <xf numFmtId="0" fontId="49" fillId="0" borderId="6" xfId="0" applyFont="1" applyBorder="1" applyAlignment="1">
      <alignment vertical="center"/>
    </xf>
    <xf numFmtId="165" fontId="50" fillId="0" borderId="0" xfId="1" applyFont="1" applyFill="1" applyBorder="1" applyAlignment="1">
      <alignment horizontal="center" vertical="center"/>
    </xf>
    <xf numFmtId="9" fontId="47" fillId="0" borderId="0" xfId="2" applyFont="1" applyFill="1" applyBorder="1" applyAlignment="1">
      <alignment vertical="center"/>
    </xf>
    <xf numFmtId="165" fontId="49" fillId="0" borderId="0" xfId="1" applyFont="1" applyFill="1" applyBorder="1" applyAlignment="1">
      <alignment vertical="center"/>
    </xf>
    <xf numFmtId="9" fontId="47" fillId="5" borderId="0" xfId="0" applyNumberFormat="1" applyFont="1" applyFill="1" applyAlignment="1">
      <alignment vertical="center"/>
    </xf>
    <xf numFmtId="9" fontId="52" fillId="0" borderId="0" xfId="2" applyFont="1" applyBorder="1" applyAlignment="1">
      <alignment vertical="center"/>
    </xf>
    <xf numFmtId="9" fontId="52" fillId="5" borderId="0" xfId="2" applyFont="1" applyFill="1" applyBorder="1" applyAlignment="1">
      <alignment vertical="center"/>
    </xf>
    <xf numFmtId="165" fontId="49" fillId="0" borderId="8" xfId="1" applyFont="1" applyBorder="1" applyAlignment="1">
      <alignment vertical="center"/>
    </xf>
    <xf numFmtId="166" fontId="47" fillId="0" borderId="0" xfId="1" applyNumberFormat="1" applyFont="1" applyFill="1" applyBorder="1" applyAlignment="1">
      <alignment vertical="center"/>
    </xf>
    <xf numFmtId="166" fontId="49" fillId="0" borderId="0" xfId="1" applyNumberFormat="1" applyFont="1" applyFill="1" applyBorder="1" applyAlignment="1">
      <alignment vertical="center"/>
    </xf>
    <xf numFmtId="168" fontId="47" fillId="0" borderId="0" xfId="1" applyNumberFormat="1" applyFont="1" applyFill="1" applyBorder="1" applyAlignment="1">
      <alignment vertical="center"/>
    </xf>
    <xf numFmtId="9" fontId="52" fillId="0" borderId="0" xfId="2" applyFont="1" applyFill="1" applyBorder="1" applyAlignment="1">
      <alignment vertical="center"/>
    </xf>
    <xf numFmtId="9" fontId="58" fillId="0" borderId="0" xfId="0" applyNumberFormat="1" applyFont="1" applyAlignment="1">
      <alignment vertical="center"/>
    </xf>
    <xf numFmtId="9" fontId="52" fillId="0" borderId="0" xfId="0" applyNumberFormat="1" applyFont="1" applyAlignment="1">
      <alignment vertical="center"/>
    </xf>
    <xf numFmtId="165" fontId="49" fillId="0" borderId="5" xfId="1" applyFont="1" applyBorder="1" applyAlignment="1">
      <alignment vertical="center"/>
    </xf>
    <xf numFmtId="9" fontId="47" fillId="5" borderId="9" xfId="0" applyNumberFormat="1" applyFont="1" applyFill="1" applyBorder="1" applyAlignment="1">
      <alignment vertical="center"/>
    </xf>
    <xf numFmtId="166" fontId="47" fillId="0" borderId="9" xfId="1" applyNumberFormat="1" applyFont="1" applyFill="1" applyBorder="1" applyAlignment="1">
      <alignment vertical="center"/>
    </xf>
    <xf numFmtId="166" fontId="49" fillId="0" borderId="9" xfId="1" applyNumberFormat="1" applyFont="1" applyFill="1" applyBorder="1" applyAlignment="1">
      <alignment vertical="center"/>
    </xf>
    <xf numFmtId="9" fontId="49" fillId="0" borderId="0" xfId="0" applyNumberFormat="1" applyFont="1" applyAlignment="1">
      <alignment vertical="center"/>
    </xf>
    <xf numFmtId="167" fontId="54" fillId="0" borderId="0" xfId="2" applyNumberFormat="1" applyFont="1" applyBorder="1" applyAlignment="1">
      <alignment vertical="center"/>
    </xf>
    <xf numFmtId="167" fontId="47" fillId="5" borderId="0" xfId="0" applyNumberFormat="1" applyFont="1" applyFill="1" applyAlignment="1">
      <alignment vertical="center"/>
    </xf>
    <xf numFmtId="165" fontId="50" fillId="0" borderId="0" xfId="0" applyNumberFormat="1" applyFont="1" applyAlignment="1">
      <alignment horizontal="center" vertical="center"/>
    </xf>
    <xf numFmtId="172" fontId="54" fillId="0" borderId="0" xfId="0" applyNumberFormat="1" applyFont="1" applyAlignment="1">
      <alignment vertical="center"/>
    </xf>
    <xf numFmtId="172" fontId="52" fillId="5" borderId="0" xfId="0" applyNumberFormat="1" applyFont="1" applyFill="1" applyAlignment="1">
      <alignment vertical="center"/>
    </xf>
    <xf numFmtId="172" fontId="54" fillId="0" borderId="0" xfId="1" applyNumberFormat="1" applyFont="1" applyBorder="1" applyAlignment="1">
      <alignment vertical="center"/>
    </xf>
    <xf numFmtId="166" fontId="58" fillId="12" borderId="0" xfId="1" applyNumberFormat="1" applyFont="1" applyFill="1" applyBorder="1" applyAlignment="1">
      <alignment vertical="center"/>
    </xf>
    <xf numFmtId="166" fontId="58" fillId="0" borderId="0" xfId="1" applyNumberFormat="1" applyFont="1" applyBorder="1" applyAlignment="1">
      <alignment vertical="center"/>
    </xf>
    <xf numFmtId="165" fontId="47" fillId="9" borderId="0" xfId="1" applyFont="1" applyFill="1" applyBorder="1" applyAlignment="1">
      <alignment horizontal="center" vertical="center"/>
    </xf>
    <xf numFmtId="167" fontId="47" fillId="9" borderId="0" xfId="2" applyNumberFormat="1" applyFont="1" applyFill="1" applyBorder="1" applyAlignment="1">
      <alignment horizontal="center" vertical="center"/>
    </xf>
    <xf numFmtId="167" fontId="47" fillId="9" borderId="0" xfId="1" applyNumberFormat="1" applyFont="1" applyFill="1" applyBorder="1" applyAlignment="1">
      <alignment horizontal="center" vertical="center"/>
    </xf>
    <xf numFmtId="167" fontId="47" fillId="5" borderId="0" xfId="1" applyNumberFormat="1" applyFont="1" applyFill="1" applyBorder="1" applyAlignment="1">
      <alignment horizontal="center" vertical="center"/>
    </xf>
    <xf numFmtId="165" fontId="34" fillId="0" borderId="0" xfId="1" applyFont="1" applyFill="1"/>
    <xf numFmtId="165" fontId="17" fillId="0" borderId="1" xfId="1" applyFont="1" applyFill="1" applyBorder="1"/>
    <xf numFmtId="10" fontId="39" fillId="5" borderId="0" xfId="27" applyNumberFormat="1" applyFont="1" applyFill="1"/>
    <xf numFmtId="165" fontId="47" fillId="0" borderId="0" xfId="1" applyFont="1" applyFill="1" applyBorder="1" applyAlignment="1">
      <alignment vertical="center"/>
    </xf>
    <xf numFmtId="10" fontId="41" fillId="5" borderId="0" xfId="27" applyNumberFormat="1" applyFont="1" applyFill="1"/>
    <xf numFmtId="165" fontId="35" fillId="14" borderId="0" xfId="1" applyFont="1" applyFill="1"/>
    <xf numFmtId="9" fontId="34" fillId="14" borderId="0" xfId="2" applyFont="1" applyFill="1"/>
    <xf numFmtId="165" fontId="35" fillId="0" borderId="0" xfId="1" applyFont="1" applyFill="1"/>
    <xf numFmtId="165" fontId="34" fillId="14" borderId="0" xfId="1" applyFont="1" applyFill="1"/>
    <xf numFmtId="165" fontId="35" fillId="10" borderId="0" xfId="1" applyFont="1" applyFill="1"/>
    <xf numFmtId="165" fontId="60" fillId="0" borderId="0" xfId="1" applyFont="1" applyAlignment="1">
      <alignment horizontal="left"/>
    </xf>
    <xf numFmtId="165" fontId="49" fillId="0" borderId="0" xfId="1" applyFont="1" applyAlignment="1">
      <alignment horizontal="right"/>
    </xf>
    <xf numFmtId="166" fontId="49" fillId="0" borderId="0" xfId="1" applyNumberFormat="1" applyFont="1" applyAlignment="1">
      <alignment horizontal="right"/>
    </xf>
    <xf numFmtId="0" fontId="49" fillId="0" borderId="0" xfId="0" applyFont="1" applyAlignment="1">
      <alignment horizontal="right"/>
    </xf>
    <xf numFmtId="0" fontId="49" fillId="0" borderId="0" xfId="0" applyFont="1" applyAlignment="1">
      <alignment horizontal="left"/>
    </xf>
    <xf numFmtId="165" fontId="61" fillId="0" borderId="0" xfId="1" applyFont="1" applyAlignment="1">
      <alignment horizontal="left"/>
    </xf>
    <xf numFmtId="165" fontId="63" fillId="0" borderId="0" xfId="1" applyFont="1" applyAlignment="1">
      <alignment horizontal="left"/>
    </xf>
    <xf numFmtId="165" fontId="49" fillId="0" borderId="0" xfId="1" applyFont="1" applyAlignment="1">
      <alignment horizontal="left"/>
    </xf>
    <xf numFmtId="0" fontId="48" fillId="7" borderId="0" xfId="1" applyNumberFormat="1" applyFont="1" applyFill="1" applyAlignment="1">
      <alignment horizontal="center" vertical="center"/>
    </xf>
    <xf numFmtId="166" fontId="49" fillId="0" borderId="0" xfId="0" applyNumberFormat="1" applyFont="1" applyAlignment="1">
      <alignment horizontal="right"/>
    </xf>
    <xf numFmtId="165" fontId="65" fillId="8" borderId="0" xfId="1" applyFont="1" applyFill="1" applyAlignment="1">
      <alignment horizontal="left"/>
    </xf>
    <xf numFmtId="0" fontId="64" fillId="0" borderId="0" xfId="0" applyFont="1" applyAlignment="1">
      <alignment horizontal="right"/>
    </xf>
    <xf numFmtId="168" fontId="52" fillId="0" borderId="0" xfId="1" applyNumberFormat="1" applyFont="1" applyBorder="1"/>
    <xf numFmtId="0" fontId="49" fillId="0" borderId="0" xfId="0" applyFont="1" applyAlignment="1">
      <alignment horizontal="left" vertical="center"/>
    </xf>
    <xf numFmtId="167" fontId="52" fillId="0" borderId="0" xfId="0" applyNumberFormat="1" applyFont="1" applyAlignment="1">
      <alignment horizontal="right"/>
    </xf>
    <xf numFmtId="167" fontId="52" fillId="0" borderId="0" xfId="2" applyNumberFormat="1" applyFont="1" applyBorder="1" applyAlignment="1">
      <alignment horizontal="right"/>
    </xf>
    <xf numFmtId="9" fontId="47" fillId="5" borderId="0" xfId="0" applyNumberFormat="1" applyFont="1" applyFill="1" applyAlignment="1">
      <alignment horizontal="right"/>
    </xf>
    <xf numFmtId="9" fontId="66" fillId="0" borderId="0" xfId="0" applyNumberFormat="1" applyFont="1" applyAlignment="1">
      <alignment horizontal="right"/>
    </xf>
    <xf numFmtId="165" fontId="65" fillId="3" borderId="0" xfId="1" applyFont="1" applyFill="1" applyAlignment="1">
      <alignment horizontal="right" vertical="center"/>
    </xf>
    <xf numFmtId="168" fontId="65" fillId="3" borderId="0" xfId="1" applyNumberFormat="1" applyFont="1" applyFill="1" applyAlignment="1">
      <alignment horizontal="right"/>
    </xf>
    <xf numFmtId="0" fontId="65" fillId="9" borderId="0" xfId="0" applyFont="1" applyFill="1" applyAlignment="1">
      <alignment horizontal="right"/>
    </xf>
    <xf numFmtId="168" fontId="49" fillId="0" borderId="0" xfId="0" applyNumberFormat="1" applyFont="1" applyAlignment="1">
      <alignment horizontal="right"/>
    </xf>
    <xf numFmtId="168" fontId="66" fillId="0" borderId="0" xfId="0" applyNumberFormat="1" applyFont="1" applyAlignment="1">
      <alignment horizontal="right"/>
    </xf>
    <xf numFmtId="165" fontId="65" fillId="9" borderId="0" xfId="1" applyFont="1" applyFill="1" applyBorder="1" applyAlignment="1">
      <alignment horizontal="left"/>
    </xf>
    <xf numFmtId="165" fontId="58" fillId="0" borderId="0" xfId="1" applyFont="1" applyAlignment="1">
      <alignment horizontal="right" vertical="center"/>
    </xf>
    <xf numFmtId="168" fontId="50" fillId="0" borderId="0" xfId="1" applyNumberFormat="1" applyFont="1" applyFill="1" applyAlignment="1">
      <alignment horizontal="right"/>
    </xf>
    <xf numFmtId="0" fontId="58" fillId="9" borderId="0" xfId="0" applyFont="1" applyFill="1" applyAlignment="1">
      <alignment horizontal="right"/>
    </xf>
    <xf numFmtId="165" fontId="58" fillId="9" borderId="0" xfId="1" applyFont="1" applyFill="1" applyBorder="1" applyAlignment="1">
      <alignment horizontal="left" indent="1"/>
    </xf>
    <xf numFmtId="165" fontId="49" fillId="0" borderId="0" xfId="0" applyNumberFormat="1" applyFont="1" applyAlignment="1">
      <alignment horizontal="right"/>
    </xf>
    <xf numFmtId="171" fontId="50" fillId="0" borderId="0" xfId="1" applyNumberFormat="1" applyFont="1" applyFill="1" applyAlignment="1">
      <alignment horizontal="right"/>
    </xf>
    <xf numFmtId="9" fontId="50" fillId="0" borderId="0" xfId="0" applyNumberFormat="1" applyFont="1" applyAlignment="1">
      <alignment horizontal="right"/>
    </xf>
    <xf numFmtId="49" fontId="58" fillId="9" borderId="0" xfId="0" applyNumberFormat="1" applyFont="1" applyFill="1" applyAlignment="1">
      <alignment horizontal="left" indent="1"/>
    </xf>
    <xf numFmtId="165" fontId="65" fillId="0" borderId="0" xfId="1" applyFont="1" applyFill="1" applyAlignment="1">
      <alignment horizontal="right" vertical="center"/>
    </xf>
    <xf numFmtId="171" fontId="58" fillId="0" borderId="0" xfId="1" applyNumberFormat="1" applyFont="1" applyFill="1" applyAlignment="1">
      <alignment horizontal="right"/>
    </xf>
    <xf numFmtId="165" fontId="58" fillId="0" borderId="0" xfId="1" applyFont="1" applyAlignment="1">
      <alignment horizontal="right"/>
    </xf>
    <xf numFmtId="0" fontId="50" fillId="0" borderId="0" xfId="0" applyFont="1" applyAlignment="1">
      <alignment horizontal="left"/>
    </xf>
    <xf numFmtId="0" fontId="49" fillId="0" borderId="0" xfId="0" applyFont="1" applyAlignment="1">
      <alignment horizontal="right" vertical="center"/>
    </xf>
    <xf numFmtId="165" fontId="65" fillId="0" borderId="0" xfId="1" applyFont="1" applyFill="1" applyAlignment="1">
      <alignment horizontal="left"/>
    </xf>
    <xf numFmtId="37" fontId="58" fillId="10" borderId="0" xfId="19" applyNumberFormat="1" applyFont="1" applyFill="1" applyAlignment="1">
      <alignment horizontal="right"/>
    </xf>
    <xf numFmtId="166" fontId="65" fillId="0" borderId="0" xfId="1" applyNumberFormat="1" applyFont="1" applyBorder="1" applyAlignment="1">
      <alignment horizontal="right"/>
    </xf>
    <xf numFmtId="166" fontId="50" fillId="0" borderId="0" xfId="0" applyNumberFormat="1" applyFont="1" applyAlignment="1">
      <alignment horizontal="right"/>
    </xf>
    <xf numFmtId="165" fontId="58" fillId="0" borderId="0" xfId="1" applyFont="1" applyFill="1" applyAlignment="1">
      <alignment horizontal="left"/>
    </xf>
    <xf numFmtId="166" fontId="47" fillId="0" borderId="7" xfId="0" applyNumberFormat="1" applyFont="1" applyBorder="1" applyAlignment="1">
      <alignment horizontal="right"/>
    </xf>
    <xf numFmtId="165" fontId="58" fillId="10" borderId="0" xfId="1" applyFont="1" applyFill="1" applyBorder="1" applyAlignment="1">
      <alignment horizontal="left"/>
    </xf>
    <xf numFmtId="37" fontId="65" fillId="10" borderId="0" xfId="19" applyNumberFormat="1" applyFont="1" applyFill="1" applyAlignment="1">
      <alignment horizontal="right"/>
    </xf>
    <xf numFmtId="9" fontId="56" fillId="0" borderId="9" xfId="2" applyFont="1" applyBorder="1" applyAlignment="1">
      <alignment horizontal="right"/>
    </xf>
    <xf numFmtId="166" fontId="49" fillId="0" borderId="0" xfId="1" applyNumberFormat="1" applyFont="1" applyBorder="1" applyAlignment="1">
      <alignment horizontal="right"/>
    </xf>
    <xf numFmtId="165" fontId="63" fillId="0" borderId="0" xfId="1" applyFont="1" applyAlignment="1">
      <alignment horizontal="right"/>
    </xf>
    <xf numFmtId="165" fontId="58" fillId="0" borderId="0" xfId="1" applyFont="1" applyFill="1" applyAlignment="1">
      <alignment horizontal="left" indent="2"/>
    </xf>
    <xf numFmtId="167" fontId="54" fillId="0" borderId="0" xfId="0" applyNumberFormat="1" applyFont="1" applyAlignment="1">
      <alignment horizontal="right"/>
    </xf>
    <xf numFmtId="166" fontId="53" fillId="0" borderId="0" xfId="0" applyNumberFormat="1" applyFont="1" applyAlignment="1">
      <alignment horizontal="right"/>
    </xf>
    <xf numFmtId="9" fontId="56" fillId="0" borderId="0" xfId="2" applyFont="1" applyFill="1" applyBorder="1" applyAlignment="1">
      <alignment horizontal="right"/>
    </xf>
    <xf numFmtId="166" fontId="47" fillId="0" borderId="7" xfId="1" applyNumberFormat="1" applyFont="1" applyBorder="1" applyAlignment="1">
      <alignment horizontal="right"/>
    </xf>
    <xf numFmtId="0" fontId="50" fillId="3" borderId="0" xfId="0" applyFont="1" applyFill="1" applyAlignment="1">
      <alignment horizontal="right" vertical="center"/>
    </xf>
    <xf numFmtId="166" fontId="50" fillId="3" borderId="0" xfId="0" applyNumberFormat="1" applyFont="1" applyFill="1" applyAlignment="1">
      <alignment horizontal="right"/>
    </xf>
    <xf numFmtId="165" fontId="50" fillId="0" borderId="0" xfId="1" applyFont="1" applyAlignment="1">
      <alignment horizontal="left"/>
    </xf>
    <xf numFmtId="0" fontId="50" fillId="0" borderId="0" xfId="0" applyFont="1" applyAlignment="1">
      <alignment horizontal="right" vertical="center"/>
    </xf>
    <xf numFmtId="165" fontId="65" fillId="0" borderId="0" xfId="1" applyFont="1" applyFill="1" applyBorder="1" applyAlignment="1">
      <alignment horizontal="left"/>
    </xf>
    <xf numFmtId="37" fontId="58" fillId="0" borderId="0" xfId="19" applyNumberFormat="1" applyFont="1" applyAlignment="1">
      <alignment horizontal="right"/>
    </xf>
    <xf numFmtId="165" fontId="70" fillId="0" borderId="0" xfId="1" applyFont="1" applyFill="1" applyBorder="1" applyAlignment="1">
      <alignment horizontal="left"/>
    </xf>
    <xf numFmtId="165" fontId="58" fillId="0" borderId="0" xfId="1" applyFont="1" applyFill="1" applyBorder="1" applyAlignment="1">
      <alignment horizontal="left" indent="1"/>
    </xf>
    <xf numFmtId="165" fontId="56" fillId="0" borderId="0" xfId="1" applyFont="1" applyFill="1" applyBorder="1" applyAlignment="1">
      <alignment horizontal="left" indent="2"/>
    </xf>
    <xf numFmtId="166" fontId="47" fillId="5" borderId="0" xfId="1" applyNumberFormat="1" applyFont="1" applyFill="1" applyAlignment="1">
      <alignment horizontal="right"/>
    </xf>
    <xf numFmtId="0" fontId="53" fillId="0" borderId="0" xfId="0" applyFont="1" applyAlignment="1">
      <alignment horizontal="right"/>
    </xf>
    <xf numFmtId="165" fontId="68" fillId="0" borderId="0" xfId="1" applyFont="1" applyFill="1" applyAlignment="1">
      <alignment horizontal="left"/>
    </xf>
    <xf numFmtId="166" fontId="55" fillId="3" borderId="0" xfId="1" applyNumberFormat="1" applyFont="1" applyFill="1" applyAlignment="1">
      <alignment horizontal="right"/>
    </xf>
    <xf numFmtId="166" fontId="49" fillId="0" borderId="0" xfId="1" applyNumberFormat="1" applyFont="1"/>
    <xf numFmtId="167" fontId="54" fillId="0" borderId="0" xfId="1" applyNumberFormat="1" applyFont="1" applyBorder="1" applyAlignment="1">
      <alignment horizontal="right"/>
    </xf>
    <xf numFmtId="9" fontId="58" fillId="0" borderId="0" xfId="1" applyNumberFormat="1" applyFont="1" applyFill="1" applyBorder="1" applyAlignment="1">
      <alignment horizontal="right"/>
    </xf>
    <xf numFmtId="165" fontId="51" fillId="0" borderId="0" xfId="1" applyFont="1" applyAlignment="1">
      <alignment horizontal="left"/>
    </xf>
    <xf numFmtId="166" fontId="65" fillId="0" borderId="0" xfId="1" applyNumberFormat="1" applyFont="1" applyFill="1" applyBorder="1" applyAlignment="1">
      <alignment horizontal="right"/>
    </xf>
    <xf numFmtId="166" fontId="58" fillId="0" borderId="0" xfId="1" applyNumberFormat="1" applyFont="1" applyFill="1" applyBorder="1" applyAlignment="1">
      <alignment horizontal="right"/>
    </xf>
    <xf numFmtId="0" fontId="50" fillId="0" borderId="0" xfId="0" applyFont="1" applyAlignment="1">
      <alignment horizontal="right"/>
    </xf>
    <xf numFmtId="165" fontId="56" fillId="0" borderId="0" xfId="1" applyFont="1" applyAlignment="1">
      <alignment horizontal="left"/>
    </xf>
    <xf numFmtId="0" fontId="69" fillId="0" borderId="0" xfId="0" applyFont="1" applyAlignment="1">
      <alignment horizontal="right"/>
    </xf>
    <xf numFmtId="166" fontId="69" fillId="0" borderId="0" xfId="0" applyNumberFormat="1" applyFont="1" applyAlignment="1">
      <alignment horizontal="right"/>
    </xf>
    <xf numFmtId="0" fontId="60" fillId="0" borderId="0" xfId="0" applyFont="1" applyAlignment="1">
      <alignment horizontal="right"/>
    </xf>
    <xf numFmtId="166" fontId="71" fillId="0" borderId="0" xfId="1" applyNumberFormat="1" applyFont="1" applyBorder="1" applyAlignment="1">
      <alignment horizontal="right"/>
    </xf>
    <xf numFmtId="167" fontId="50" fillId="0" borderId="0" xfId="0" applyNumberFormat="1" applyFont="1" applyAlignment="1">
      <alignment horizontal="right"/>
    </xf>
    <xf numFmtId="167" fontId="47" fillId="5" borderId="0" xfId="1" applyNumberFormat="1" applyFont="1" applyFill="1" applyBorder="1" applyAlignment="1">
      <alignment horizontal="right"/>
    </xf>
    <xf numFmtId="167" fontId="52" fillId="0" borderId="0" xfId="1" applyNumberFormat="1" applyFont="1" applyFill="1" applyBorder="1" applyAlignment="1">
      <alignment horizontal="right"/>
    </xf>
    <xf numFmtId="0" fontId="47" fillId="5" borderId="0" xfId="0" applyFont="1" applyFill="1" applyAlignment="1">
      <alignment horizontal="right"/>
    </xf>
    <xf numFmtId="166" fontId="47" fillId="5" borderId="0" xfId="1" applyNumberFormat="1" applyFont="1" applyFill="1" applyBorder="1" applyAlignment="1">
      <alignment horizontal="right"/>
    </xf>
    <xf numFmtId="173" fontId="72" fillId="0" borderId="0" xfId="1" applyNumberFormat="1" applyFont="1" applyAlignment="1">
      <alignment horizontal="left"/>
    </xf>
    <xf numFmtId="173" fontId="49" fillId="0" borderId="0" xfId="0" applyNumberFormat="1" applyFont="1" applyAlignment="1">
      <alignment horizontal="right"/>
    </xf>
    <xf numFmtId="173" fontId="72" fillId="0" borderId="0" xfId="1" applyNumberFormat="1" applyFont="1" applyFill="1" applyBorder="1" applyAlignment="1">
      <alignment horizontal="right"/>
    </xf>
    <xf numFmtId="165" fontId="72" fillId="0" borderId="0" xfId="1" applyFont="1" applyFill="1" applyBorder="1" applyAlignment="1">
      <alignment horizontal="right"/>
    </xf>
    <xf numFmtId="173" fontId="49" fillId="0" borderId="0" xfId="0" applyNumberFormat="1" applyFont="1" applyAlignment="1">
      <alignment horizontal="left"/>
    </xf>
    <xf numFmtId="168" fontId="49" fillId="0" borderId="0" xfId="1" applyNumberFormat="1" applyFont="1" applyAlignment="1">
      <alignment horizontal="right"/>
    </xf>
    <xf numFmtId="165" fontId="49" fillId="0" borderId="0" xfId="1" applyFont="1" applyAlignment="1">
      <alignment horizontal="left" indent="1"/>
    </xf>
    <xf numFmtId="166" fontId="47" fillId="0" borderId="0" xfId="1" applyNumberFormat="1" applyFont="1" applyAlignment="1">
      <alignment horizontal="right"/>
    </xf>
    <xf numFmtId="165" fontId="73" fillId="0" borderId="0" xfId="1" applyFont="1" applyAlignment="1">
      <alignment horizontal="left"/>
    </xf>
    <xf numFmtId="0" fontId="61" fillId="0" borderId="0" xfId="0" applyFont="1" applyAlignment="1">
      <alignment horizontal="right"/>
    </xf>
    <xf numFmtId="167" fontId="49" fillId="0" borderId="0" xfId="0" applyNumberFormat="1" applyFont="1" applyAlignment="1">
      <alignment horizontal="right"/>
    </xf>
    <xf numFmtId="9" fontId="52" fillId="0" borderId="0" xfId="2" applyFont="1" applyFill="1" applyBorder="1" applyAlignment="1">
      <alignment horizontal="right"/>
    </xf>
    <xf numFmtId="168" fontId="65" fillId="0" borderId="0" xfId="1" applyNumberFormat="1" applyFont="1" applyFill="1" applyBorder="1" applyAlignment="1">
      <alignment horizontal="right"/>
    </xf>
    <xf numFmtId="166" fontId="54" fillId="0" borderId="0" xfId="1" applyNumberFormat="1" applyFont="1" applyFill="1" applyBorder="1" applyAlignment="1">
      <alignment horizontal="right"/>
    </xf>
    <xf numFmtId="165" fontId="47" fillId="0" borderId="0" xfId="0" applyNumberFormat="1" applyFont="1" applyAlignment="1">
      <alignment horizontal="right"/>
    </xf>
    <xf numFmtId="165" fontId="58" fillId="0" borderId="0" xfId="1" applyFont="1" applyAlignment="1">
      <alignment horizontal="left"/>
    </xf>
    <xf numFmtId="166" fontId="61" fillId="0" borderId="0" xfId="1" applyNumberFormat="1" applyFont="1" applyFill="1" applyBorder="1" applyAlignment="1">
      <alignment horizontal="right"/>
    </xf>
    <xf numFmtId="9" fontId="47" fillId="0" borderId="0" xfId="2" applyFont="1" applyAlignment="1">
      <alignment horizontal="right"/>
    </xf>
    <xf numFmtId="174" fontId="47" fillId="0" borderId="0" xfId="1" applyNumberFormat="1" applyFont="1" applyAlignment="1">
      <alignment horizontal="right"/>
    </xf>
    <xf numFmtId="166" fontId="52" fillId="0" borderId="0" xfId="1" applyNumberFormat="1" applyFont="1" applyFill="1" applyBorder="1" applyAlignment="1">
      <alignment horizontal="right"/>
    </xf>
    <xf numFmtId="2" fontId="65" fillId="0" borderId="0" xfId="1" applyNumberFormat="1" applyFont="1" applyFill="1" applyBorder="1" applyAlignment="1">
      <alignment horizontal="right"/>
    </xf>
    <xf numFmtId="165" fontId="74" fillId="0" borderId="0" xfId="1" applyFont="1" applyAlignment="1">
      <alignment horizontal="left"/>
    </xf>
    <xf numFmtId="1" fontId="58" fillId="0" borderId="0" xfId="1" applyNumberFormat="1" applyFont="1" applyFill="1" applyBorder="1" applyAlignment="1">
      <alignment horizontal="right"/>
    </xf>
    <xf numFmtId="171" fontId="52" fillId="0" borderId="0" xfId="1" applyNumberFormat="1" applyFont="1" applyFill="1" applyBorder="1" applyAlignment="1">
      <alignment horizontal="right"/>
    </xf>
    <xf numFmtId="165" fontId="51" fillId="0" borderId="0" xfId="1" applyFont="1" applyFill="1" applyAlignment="1">
      <alignment horizontal="left"/>
    </xf>
    <xf numFmtId="167" fontId="54" fillId="0" borderId="0" xfId="2" applyNumberFormat="1" applyFont="1" applyBorder="1" applyAlignment="1">
      <alignment horizontal="right"/>
    </xf>
    <xf numFmtId="167" fontId="54" fillId="0" borderId="0" xfId="2" applyNumberFormat="1" applyFont="1" applyFill="1" applyBorder="1" applyAlignment="1">
      <alignment horizontal="right"/>
    </xf>
    <xf numFmtId="0" fontId="52" fillId="0" borderId="0" xfId="0" applyFont="1" applyAlignment="1">
      <alignment horizontal="right"/>
    </xf>
    <xf numFmtId="165" fontId="49" fillId="0" borderId="0" xfId="1" applyFont="1" applyFill="1" applyBorder="1" applyAlignment="1">
      <alignment horizontal="left"/>
    </xf>
    <xf numFmtId="0" fontId="54" fillId="0" borderId="0" xfId="0" applyFont="1" applyAlignment="1">
      <alignment horizontal="right"/>
    </xf>
    <xf numFmtId="166" fontId="58" fillId="0" borderId="0" xfId="1" applyNumberFormat="1" applyFont="1" applyAlignment="1">
      <alignment horizontal="left"/>
    </xf>
    <xf numFmtId="10" fontId="47" fillId="0" borderId="0" xfId="2" applyNumberFormat="1" applyFont="1" applyFill="1" applyBorder="1" applyAlignment="1">
      <alignment horizontal="right"/>
    </xf>
    <xf numFmtId="0" fontId="49" fillId="0" borderId="0" xfId="0" applyFont="1" applyAlignment="1">
      <alignment horizontal="left" indent="1"/>
    </xf>
    <xf numFmtId="165" fontId="50" fillId="0" borderId="0" xfId="1" applyFont="1" applyFill="1" applyBorder="1" applyAlignment="1">
      <alignment horizontal="left"/>
    </xf>
    <xf numFmtId="165" fontId="51" fillId="0" borderId="0" xfId="1" applyFont="1" applyFill="1" applyBorder="1" applyAlignment="1">
      <alignment horizontal="left"/>
    </xf>
    <xf numFmtId="166" fontId="58" fillId="0" borderId="0" xfId="0" applyNumberFormat="1" applyFont="1" applyAlignment="1">
      <alignment horizontal="right"/>
    </xf>
    <xf numFmtId="166" fontId="52" fillId="0" borderId="0" xfId="0" applyNumberFormat="1" applyFont="1" applyAlignment="1">
      <alignment horizontal="right"/>
    </xf>
    <xf numFmtId="165" fontId="49" fillId="0" borderId="0" xfId="1" applyFont="1" applyBorder="1" applyAlignment="1">
      <alignment horizontal="left"/>
    </xf>
    <xf numFmtId="165" fontId="50" fillId="0" borderId="0" xfId="1" applyFont="1" applyBorder="1" applyAlignment="1">
      <alignment horizontal="left"/>
    </xf>
    <xf numFmtId="166" fontId="64" fillId="0" borderId="0" xfId="1" applyNumberFormat="1" applyFont="1" applyBorder="1" applyAlignment="1">
      <alignment horizontal="right"/>
    </xf>
    <xf numFmtId="165" fontId="50" fillId="4" borderId="0" xfId="1" applyFont="1" applyFill="1" applyBorder="1" applyAlignment="1">
      <alignment horizontal="left"/>
    </xf>
    <xf numFmtId="0" fontId="49" fillId="4" borderId="0" xfId="0" applyFont="1" applyFill="1" applyAlignment="1">
      <alignment horizontal="right"/>
    </xf>
    <xf numFmtId="171" fontId="65" fillId="3" borderId="0" xfId="1" applyNumberFormat="1" applyFont="1" applyFill="1" applyAlignment="1">
      <alignment horizontal="right"/>
    </xf>
    <xf numFmtId="171" fontId="47" fillId="0" borderId="0" xfId="1" applyNumberFormat="1" applyFont="1" applyFill="1" applyBorder="1" applyAlignment="1">
      <alignment vertical="center"/>
    </xf>
    <xf numFmtId="171" fontId="53" fillId="0" borderId="0" xfId="1" applyNumberFormat="1" applyFont="1" applyFill="1" applyBorder="1" applyAlignment="1">
      <alignment vertical="center"/>
    </xf>
    <xf numFmtId="167" fontId="49" fillId="0" borderId="0" xfId="2" applyNumberFormat="1" applyFont="1" applyBorder="1" applyAlignment="1">
      <alignment horizontal="right"/>
    </xf>
    <xf numFmtId="168" fontId="47" fillId="0" borderId="0" xfId="1" applyNumberFormat="1" applyFont="1" applyBorder="1" applyAlignment="1">
      <alignment horizontal="right"/>
    </xf>
    <xf numFmtId="168" fontId="53" fillId="0" borderId="0" xfId="1" applyNumberFormat="1" applyFont="1" applyFill="1" applyBorder="1" applyAlignment="1">
      <alignment horizontal="right"/>
    </xf>
    <xf numFmtId="0" fontId="49" fillId="0" borderId="0" xfId="0" applyFont="1" applyAlignment="1">
      <alignment horizontal="left" wrapText="1"/>
    </xf>
    <xf numFmtId="9" fontId="49" fillId="0" borderId="0" xfId="2" applyFont="1" applyAlignment="1">
      <alignment horizontal="right"/>
    </xf>
    <xf numFmtId="165" fontId="3" fillId="0" borderId="0" xfId="1" applyFont="1" applyFill="1"/>
    <xf numFmtId="171" fontId="29" fillId="0" borderId="0" xfId="1" applyNumberFormat="1" applyFont="1" applyFill="1"/>
    <xf numFmtId="165" fontId="16" fillId="0" borderId="0" xfId="1" applyFont="1" applyFill="1"/>
    <xf numFmtId="9" fontId="49" fillId="0" borderId="0" xfId="2" applyFont="1" applyFill="1" applyBorder="1" applyAlignment="1">
      <alignment horizontal="right"/>
    </xf>
    <xf numFmtId="166" fontId="58" fillId="3" borderId="0" xfId="1" applyNumberFormat="1" applyFont="1" applyFill="1" applyAlignment="1">
      <alignment horizontal="right"/>
    </xf>
    <xf numFmtId="166" fontId="58" fillId="0" borderId="0" xfId="1" applyNumberFormat="1" applyFont="1" applyAlignment="1">
      <alignment horizontal="right"/>
    </xf>
    <xf numFmtId="167" fontId="47" fillId="0" borderId="0" xfId="1" applyNumberFormat="1" applyFont="1" applyFill="1" applyBorder="1" applyAlignment="1">
      <alignment horizontal="center" vertical="center"/>
    </xf>
    <xf numFmtId="167" fontId="49" fillId="0" borderId="0" xfId="2" applyNumberFormat="1" applyFont="1" applyFill="1" applyBorder="1" applyAlignment="1">
      <alignment vertical="center"/>
    </xf>
    <xf numFmtId="167" fontId="47" fillId="0" borderId="0" xfId="0" applyNumberFormat="1" applyFont="1" applyAlignment="1">
      <alignment vertical="center"/>
    </xf>
    <xf numFmtId="172" fontId="52" fillId="0" borderId="0" xfId="0" applyNumberFormat="1" applyFont="1" applyAlignment="1">
      <alignment vertical="center"/>
    </xf>
    <xf numFmtId="165" fontId="11" fillId="0" borderId="0" xfId="1" applyFont="1"/>
    <xf numFmtId="174" fontId="11" fillId="0" borderId="0" xfId="1" applyNumberFormat="1" applyFont="1" applyBorder="1"/>
    <xf numFmtId="174" fontId="10" fillId="0" borderId="0" xfId="1" applyNumberFormat="1" applyFont="1" applyBorder="1"/>
    <xf numFmtId="174" fontId="10" fillId="0" borderId="0" xfId="1" applyNumberFormat="1" applyFont="1"/>
    <xf numFmtId="174" fontId="10" fillId="0" borderId="0" xfId="0" applyNumberFormat="1" applyFont="1"/>
    <xf numFmtId="174" fontId="11" fillId="0" borderId="0" xfId="0" applyNumberFormat="1" applyFont="1"/>
    <xf numFmtId="174" fontId="13" fillId="0" borderId="0" xfId="0" applyNumberFormat="1" applyFont="1"/>
    <xf numFmtId="174" fontId="17" fillId="0" borderId="0" xfId="1" applyNumberFormat="1" applyFont="1"/>
    <xf numFmtId="174" fontId="3" fillId="0" borderId="0" xfId="0" applyNumberFormat="1" applyFont="1"/>
    <xf numFmtId="174" fontId="3" fillId="0" borderId="0" xfId="2" applyNumberFormat="1" applyFont="1" applyBorder="1"/>
    <xf numFmtId="174" fontId="14" fillId="0" borderId="0" xfId="1" applyNumberFormat="1" applyFont="1"/>
    <xf numFmtId="174" fontId="11" fillId="0" borderId="0" xfId="1" applyNumberFormat="1" applyFont="1"/>
    <xf numFmtId="174" fontId="3" fillId="0" borderId="1" xfId="0" applyNumberFormat="1" applyFont="1" applyBorder="1"/>
    <xf numFmtId="174" fontId="3" fillId="0" borderId="1" xfId="2" applyNumberFormat="1" applyFont="1" applyBorder="1"/>
    <xf numFmtId="174" fontId="10" fillId="3" borderId="0" xfId="1" applyNumberFormat="1" applyFont="1" applyFill="1"/>
    <xf numFmtId="174" fontId="3" fillId="0" borderId="0" xfId="1" applyNumberFormat="1" applyFont="1"/>
    <xf numFmtId="174" fontId="15" fillId="0" borderId="0" xfId="1" applyNumberFormat="1" applyFont="1" applyAlignment="1">
      <alignment horizontal="center"/>
    </xf>
    <xf numFmtId="174" fontId="15" fillId="0" borderId="0" xfId="1" applyNumberFormat="1" applyFont="1" applyBorder="1" applyAlignment="1">
      <alignment horizontal="center"/>
    </xf>
    <xf numFmtId="174" fontId="7" fillId="0" borderId="0" xfId="0" applyNumberFormat="1" applyFont="1"/>
    <xf numFmtId="174" fontId="9" fillId="0" borderId="0" xfId="1" applyNumberFormat="1" applyFont="1" applyBorder="1"/>
    <xf numFmtId="174" fontId="3" fillId="0" borderId="1" xfId="1" applyNumberFormat="1" applyFont="1" applyBorder="1"/>
    <xf numFmtId="174" fontId="10" fillId="3" borderId="0" xfId="1" applyNumberFormat="1" applyFont="1" applyFill="1" applyBorder="1"/>
    <xf numFmtId="174" fontId="18" fillId="0" borderId="0" xfId="1" applyNumberFormat="1" applyFont="1" applyBorder="1"/>
    <xf numFmtId="174" fontId="18" fillId="0" borderId="0" xfId="2" applyNumberFormat="1" applyFont="1" applyBorder="1"/>
    <xf numFmtId="174" fontId="17" fillId="0" borderId="0" xfId="1" applyNumberFormat="1" applyFont="1" applyBorder="1"/>
    <xf numFmtId="174" fontId="3" fillId="0" borderId="0" xfId="1" applyNumberFormat="1" applyFont="1" applyBorder="1"/>
    <xf numFmtId="174" fontId="13" fillId="0" borderId="0" xfId="1" applyNumberFormat="1" applyFont="1" applyBorder="1"/>
    <xf numFmtId="174" fontId="11" fillId="0" borderId="1" xfId="1" applyNumberFormat="1" applyFont="1" applyBorder="1"/>
    <xf numFmtId="174" fontId="7" fillId="0" borderId="1" xfId="1" applyNumberFormat="1" applyFont="1" applyBorder="1"/>
    <xf numFmtId="174" fontId="20" fillId="0" borderId="0" xfId="1" applyNumberFormat="1" applyFont="1" applyBorder="1"/>
    <xf numFmtId="174" fontId="13" fillId="0" borderId="1" xfId="1" applyNumberFormat="1" applyFont="1" applyBorder="1"/>
    <xf numFmtId="174" fontId="11" fillId="0" borderId="1" xfId="1" applyNumberFormat="1" applyFont="1" applyFill="1" applyBorder="1"/>
    <xf numFmtId="174" fontId="10" fillId="0" borderId="2" xfId="0" applyNumberFormat="1" applyFont="1" applyBorder="1"/>
    <xf numFmtId="174" fontId="59" fillId="0" borderId="0" xfId="1" applyNumberFormat="1" applyFont="1" applyBorder="1"/>
    <xf numFmtId="174" fontId="3" fillId="4" borderId="0" xfId="1" applyNumberFormat="1" applyFont="1" applyFill="1"/>
    <xf numFmtId="174" fontId="3" fillId="4" borderId="0" xfId="0" applyNumberFormat="1" applyFont="1" applyFill="1"/>
    <xf numFmtId="174" fontId="10" fillId="4" borderId="0" xfId="1" applyNumberFormat="1" applyFont="1" applyFill="1"/>
    <xf numFmtId="174" fontId="75" fillId="0" borderId="0" xfId="1" applyNumberFormat="1" applyFont="1"/>
    <xf numFmtId="174" fontId="75" fillId="0" borderId="0" xfId="1" applyNumberFormat="1" applyFont="1" applyBorder="1"/>
    <xf numFmtId="174" fontId="75" fillId="0" borderId="0" xfId="0" applyNumberFormat="1" applyFont="1"/>
    <xf numFmtId="183" fontId="11" fillId="0" borderId="0" xfId="1" applyNumberFormat="1" applyFont="1" applyBorder="1"/>
    <xf numFmtId="183" fontId="3" fillId="0" borderId="0" xfId="0" applyNumberFormat="1" applyFont="1"/>
    <xf numFmtId="183" fontId="13" fillId="0" borderId="0" xfId="1" applyNumberFormat="1" applyFont="1"/>
    <xf numFmtId="183" fontId="3" fillId="0" borderId="0" xfId="1" applyNumberFormat="1" applyFont="1"/>
    <xf numFmtId="183" fontId="11" fillId="0" borderId="1" xfId="1" applyNumberFormat="1" applyFont="1" applyBorder="1"/>
    <xf numFmtId="183" fontId="3" fillId="0" borderId="1" xfId="1" applyNumberFormat="1" applyFont="1" applyBorder="1"/>
    <xf numFmtId="183" fontId="10" fillId="0" borderId="0" xfId="1" applyNumberFormat="1" applyFont="1"/>
    <xf numFmtId="183" fontId="13" fillId="0" borderId="0" xfId="1" applyNumberFormat="1" applyFont="1" applyBorder="1"/>
    <xf numFmtId="183" fontId="10" fillId="0" borderId="0" xfId="1" applyNumberFormat="1" applyFont="1" applyBorder="1"/>
    <xf numFmtId="183" fontId="3" fillId="0" borderId="0" xfId="1" applyNumberFormat="1" applyFont="1" applyBorder="1"/>
    <xf numFmtId="183" fontId="10" fillId="0" borderId="2" xfId="1" applyNumberFormat="1" applyFont="1" applyBorder="1"/>
    <xf numFmtId="183" fontId="26" fillId="0" borderId="0" xfId="1" applyNumberFormat="1" applyFont="1"/>
    <xf numFmtId="183" fontId="75" fillId="0" borderId="0" xfId="1" applyNumberFormat="1" applyFont="1"/>
    <xf numFmtId="183" fontId="75" fillId="0" borderId="0" xfId="1" applyNumberFormat="1" applyFont="1" applyBorder="1"/>
    <xf numFmtId="183" fontId="75" fillId="0" borderId="0" xfId="0" applyNumberFormat="1" applyFont="1"/>
    <xf numFmtId="183" fontId="75" fillId="0" borderId="1" xfId="1" applyNumberFormat="1" applyFont="1" applyBorder="1"/>
    <xf numFmtId="183" fontId="75" fillId="0" borderId="1" xfId="0" applyNumberFormat="1" applyFont="1" applyBorder="1"/>
    <xf numFmtId="168" fontId="65" fillId="0" borderId="0" xfId="1" applyNumberFormat="1" applyFont="1" applyBorder="1" applyAlignment="1">
      <alignment horizontal="right"/>
    </xf>
    <xf numFmtId="168" fontId="47" fillId="0" borderId="0" xfId="1" applyNumberFormat="1" applyFont="1" applyFill="1" applyBorder="1" applyAlignment="1">
      <alignment horizontal="right"/>
    </xf>
    <xf numFmtId="166" fontId="76" fillId="0" borderId="0" xfId="0" applyNumberFormat="1" applyFont="1" applyAlignment="1">
      <alignment horizontal="right"/>
    </xf>
    <xf numFmtId="166" fontId="76" fillId="0" borderId="0" xfId="1" applyNumberFormat="1" applyFont="1" applyFill="1" applyBorder="1" applyAlignment="1">
      <alignment horizontal="right"/>
    </xf>
    <xf numFmtId="168" fontId="65" fillId="16" borderId="0" xfId="1" applyNumberFormat="1" applyFont="1" applyFill="1" applyBorder="1" applyAlignment="1">
      <alignment horizontal="right"/>
    </xf>
    <xf numFmtId="166" fontId="77" fillId="16" borderId="0" xfId="1" applyNumberFormat="1" applyFont="1" applyFill="1" applyBorder="1" applyAlignment="1">
      <alignment horizontal="right"/>
    </xf>
    <xf numFmtId="165" fontId="77" fillId="16" borderId="0" xfId="0" applyNumberFormat="1" applyFont="1" applyFill="1" applyAlignment="1">
      <alignment horizontal="right"/>
    </xf>
    <xf numFmtId="166" fontId="67" fillId="16" borderId="0" xfId="1" applyNumberFormat="1" applyFont="1" applyFill="1" applyBorder="1" applyAlignment="1">
      <alignment horizontal="right"/>
    </xf>
    <xf numFmtId="9" fontId="77" fillId="16" borderId="0" xfId="2" applyFont="1" applyFill="1" applyAlignment="1">
      <alignment horizontal="right"/>
    </xf>
    <xf numFmtId="174" fontId="77" fillId="16" borderId="0" xfId="1" applyNumberFormat="1" applyFont="1" applyFill="1" applyAlignment="1">
      <alignment horizontal="right"/>
    </xf>
    <xf numFmtId="166" fontId="65" fillId="16" borderId="0" xfId="1" applyNumberFormat="1" applyFont="1" applyFill="1" applyBorder="1" applyAlignment="1">
      <alignment horizontal="right"/>
    </xf>
    <xf numFmtId="166" fontId="52" fillId="16" borderId="0" xfId="1" applyNumberFormat="1" applyFont="1" applyFill="1" applyBorder="1" applyAlignment="1">
      <alignment horizontal="right"/>
    </xf>
    <xf numFmtId="165" fontId="49" fillId="16" borderId="0" xfId="0" applyNumberFormat="1" applyFont="1" applyFill="1" applyAlignment="1">
      <alignment horizontal="right"/>
    </xf>
    <xf numFmtId="166" fontId="49" fillId="16" borderId="0" xfId="0" applyNumberFormat="1" applyFont="1" applyFill="1" applyAlignment="1">
      <alignment horizontal="right"/>
    </xf>
    <xf numFmtId="168" fontId="47" fillId="16" borderId="0" xfId="1" applyNumberFormat="1" applyFont="1" applyFill="1" applyBorder="1" applyAlignment="1">
      <alignment horizontal="right"/>
    </xf>
    <xf numFmtId="2" fontId="65" fillId="16" borderId="0" xfId="1" applyNumberFormat="1" applyFont="1" applyFill="1" applyBorder="1" applyAlignment="1">
      <alignment horizontal="right"/>
    </xf>
    <xf numFmtId="166" fontId="47" fillId="16" borderId="0" xfId="1" applyNumberFormat="1" applyFont="1" applyFill="1" applyAlignment="1">
      <alignment horizontal="right"/>
    </xf>
    <xf numFmtId="165" fontId="47" fillId="16" borderId="0" xfId="0" applyNumberFormat="1" applyFont="1" applyFill="1" applyAlignment="1">
      <alignment horizontal="right"/>
    </xf>
    <xf numFmtId="1" fontId="58" fillId="16" borderId="0" xfId="1" applyNumberFormat="1" applyFont="1" applyFill="1" applyBorder="1" applyAlignment="1">
      <alignment horizontal="right"/>
    </xf>
    <xf numFmtId="9" fontId="47" fillId="16" borderId="0" xfId="2" applyFont="1" applyFill="1" applyAlignment="1">
      <alignment horizontal="right"/>
    </xf>
    <xf numFmtId="174" fontId="47" fillId="16" borderId="0" xfId="1" applyNumberFormat="1" applyFont="1" applyFill="1" applyAlignment="1">
      <alignment horizontal="right"/>
    </xf>
    <xf numFmtId="166" fontId="54" fillId="16" borderId="0" xfId="1" applyNumberFormat="1" applyFont="1" applyFill="1" applyBorder="1" applyAlignment="1">
      <alignment horizontal="right"/>
    </xf>
    <xf numFmtId="171" fontId="65" fillId="16" borderId="0" xfId="1" applyNumberFormat="1" applyFont="1" applyFill="1" applyAlignment="1">
      <alignment horizontal="right"/>
    </xf>
    <xf numFmtId="171" fontId="58" fillId="16" borderId="0" xfId="1" applyNumberFormat="1" applyFont="1" applyFill="1" applyAlignment="1">
      <alignment horizontal="right"/>
    </xf>
    <xf numFmtId="9" fontId="50" fillId="16" borderId="0" xfId="0" applyNumberFormat="1" applyFont="1" applyFill="1" applyAlignment="1">
      <alignment horizontal="right"/>
    </xf>
    <xf numFmtId="171" fontId="50" fillId="16" borderId="0" xfId="1" applyNumberFormat="1" applyFont="1" applyFill="1" applyAlignment="1">
      <alignment horizontal="right"/>
    </xf>
    <xf numFmtId="168" fontId="50" fillId="16" borderId="0" xfId="1" applyNumberFormat="1" applyFont="1" applyFill="1" applyAlignment="1">
      <alignment horizontal="right"/>
    </xf>
    <xf numFmtId="9" fontId="56" fillId="0" borderId="0" xfId="2" applyFont="1" applyFill="1" applyAlignment="1">
      <alignment horizontal="right"/>
    </xf>
    <xf numFmtId="166" fontId="50" fillId="16" borderId="0" xfId="0" applyNumberFormat="1" applyFont="1" applyFill="1" applyAlignment="1">
      <alignment horizontal="right"/>
    </xf>
    <xf numFmtId="168" fontId="53" fillId="16" borderId="0" xfId="1" applyNumberFormat="1" applyFont="1" applyFill="1" applyBorder="1" applyAlignment="1">
      <alignment horizontal="right"/>
    </xf>
    <xf numFmtId="9" fontId="77" fillId="16" borderId="0" xfId="2" applyFont="1" applyFill="1" applyBorder="1" applyAlignment="1">
      <alignment horizontal="right"/>
    </xf>
    <xf numFmtId="166" fontId="47" fillId="16" borderId="7" xfId="0" applyNumberFormat="1" applyFont="1" applyFill="1" applyBorder="1" applyAlignment="1">
      <alignment horizontal="right"/>
    </xf>
    <xf numFmtId="167" fontId="49" fillId="16" borderId="0" xfId="2" applyNumberFormat="1" applyFont="1" applyFill="1" applyBorder="1" applyAlignment="1">
      <alignment horizontal="right"/>
    </xf>
    <xf numFmtId="9" fontId="77" fillId="16" borderId="9" xfId="2" applyFont="1" applyFill="1" applyBorder="1" applyAlignment="1">
      <alignment horizontal="right"/>
    </xf>
    <xf numFmtId="165" fontId="50" fillId="0" borderId="0" xfId="0" applyNumberFormat="1" applyFont="1" applyAlignment="1">
      <alignment horizontal="right"/>
    </xf>
    <xf numFmtId="165" fontId="50" fillId="16" borderId="0" xfId="0" applyNumberFormat="1" applyFont="1" applyFill="1" applyAlignment="1">
      <alignment horizontal="right"/>
    </xf>
    <xf numFmtId="165" fontId="49" fillId="16" borderId="0" xfId="1" applyFont="1" applyFill="1" applyAlignment="1">
      <alignment horizontal="right"/>
    </xf>
    <xf numFmtId="9" fontId="47" fillId="16" borderId="0" xfId="0" applyNumberFormat="1" applyFont="1" applyFill="1" applyAlignment="1">
      <alignment horizontal="right"/>
    </xf>
    <xf numFmtId="167" fontId="54" fillId="16" borderId="0" xfId="1" applyNumberFormat="1" applyFont="1" applyFill="1" applyBorder="1" applyAlignment="1">
      <alignment horizontal="right"/>
    </xf>
    <xf numFmtId="0" fontId="49" fillId="16" borderId="0" xfId="0" applyFont="1" applyFill="1" applyAlignment="1">
      <alignment horizontal="right"/>
    </xf>
    <xf numFmtId="183" fontId="10" fillId="0" borderId="0" xfId="0" applyNumberFormat="1" applyFont="1"/>
    <xf numFmtId="9" fontId="33" fillId="0" borderId="0" xfId="2" applyFont="1"/>
    <xf numFmtId="10" fontId="33" fillId="0" borderId="0" xfId="2" applyNumberFormat="1" applyFont="1"/>
    <xf numFmtId="0" fontId="3" fillId="16" borderId="0" xfId="0" applyFont="1" applyFill="1"/>
    <xf numFmtId="9" fontId="78" fillId="16" borderId="0" xfId="2" applyFont="1" applyFill="1"/>
    <xf numFmtId="167" fontId="78" fillId="16" borderId="0" xfId="2" applyNumberFormat="1" applyFont="1" applyFill="1"/>
    <xf numFmtId="10" fontId="3" fillId="0" borderId="0" xfId="2" applyNumberFormat="1" applyFont="1"/>
    <xf numFmtId="166" fontId="11" fillId="16" borderId="0" xfId="1" applyNumberFormat="1" applyFont="1" applyFill="1"/>
    <xf numFmtId="174" fontId="3" fillId="16" borderId="0" xfId="1" applyNumberFormat="1" applyFont="1" applyFill="1"/>
    <xf numFmtId="166" fontId="3" fillId="16" borderId="0" xfId="1" applyNumberFormat="1" applyFont="1" applyFill="1"/>
    <xf numFmtId="166" fontId="10" fillId="16" borderId="1" xfId="0" applyNumberFormat="1" applyFont="1" applyFill="1" applyBorder="1"/>
    <xf numFmtId="166" fontId="3" fillId="16" borderId="0" xfId="1" applyNumberFormat="1" applyFont="1" applyFill="1" applyBorder="1"/>
    <xf numFmtId="166" fontId="10" fillId="16" borderId="0" xfId="0" applyNumberFormat="1" applyFont="1" applyFill="1"/>
    <xf numFmtId="9" fontId="3" fillId="0" borderId="0" xfId="2" applyFont="1" applyBorder="1"/>
    <xf numFmtId="183" fontId="3" fillId="10" borderId="0" xfId="0" applyNumberFormat="1" applyFont="1" applyFill="1"/>
    <xf numFmtId="166" fontId="3" fillId="16" borderId="0" xfId="0" applyNumberFormat="1" applyFont="1" applyFill="1"/>
    <xf numFmtId="10" fontId="3" fillId="0" borderId="0" xfId="2" applyNumberFormat="1" applyFont="1" applyBorder="1"/>
    <xf numFmtId="9" fontId="78" fillId="16" borderId="0" xfId="2" applyFont="1" applyFill="1" applyBorder="1"/>
    <xf numFmtId="167" fontId="78" fillId="16" borderId="0" xfId="2" applyNumberFormat="1" applyFont="1" applyFill="1" applyBorder="1"/>
    <xf numFmtId="174" fontId="10" fillId="17" borderId="0" xfId="1" applyNumberFormat="1" applyFont="1" applyFill="1" applyBorder="1"/>
    <xf numFmtId="174" fontId="7" fillId="16" borderId="0" xfId="1" applyNumberFormat="1" applyFont="1" applyFill="1" applyBorder="1"/>
    <xf numFmtId="174" fontId="10" fillId="17" borderId="0" xfId="1" applyNumberFormat="1" applyFont="1" applyFill="1"/>
    <xf numFmtId="174" fontId="7" fillId="16" borderId="0" xfId="1" applyNumberFormat="1" applyFont="1" applyFill="1"/>
    <xf numFmtId="9" fontId="18" fillId="0" borderId="0" xfId="2" applyFont="1" applyBorder="1"/>
    <xf numFmtId="9" fontId="36" fillId="0" borderId="0" xfId="2" applyFont="1"/>
    <xf numFmtId="180" fontId="37" fillId="0" borderId="0" xfId="2" applyNumberFormat="1" applyFont="1" applyFill="1" applyBorder="1"/>
    <xf numFmtId="180" fontId="37" fillId="0" borderId="0" xfId="1" applyNumberFormat="1" applyFont="1" applyFill="1" applyBorder="1"/>
    <xf numFmtId="180" fontId="3" fillId="0" borderId="0" xfId="1" applyNumberFormat="1" applyFont="1"/>
    <xf numFmtId="180" fontId="37" fillId="0" borderId="0" xfId="2" applyNumberFormat="1" applyFont="1" applyBorder="1"/>
    <xf numFmtId="180" fontId="37" fillId="0" borderId="0" xfId="6" applyNumberFormat="1" applyFont="1"/>
    <xf numFmtId="180" fontId="37" fillId="0" borderId="0" xfId="1" applyNumberFormat="1" applyFont="1" applyBorder="1"/>
    <xf numFmtId="168" fontId="37" fillId="0" borderId="0" xfId="1" applyNumberFormat="1" applyFont="1" applyFill="1"/>
    <xf numFmtId="37" fontId="29" fillId="16" borderId="0" xfId="6" applyNumberFormat="1" applyFont="1" applyFill="1"/>
    <xf numFmtId="166" fontId="37" fillId="16" borderId="0" xfId="1" applyNumberFormat="1" applyFont="1" applyFill="1" applyBorder="1"/>
    <xf numFmtId="2" fontId="37" fillId="17" borderId="0" xfId="6" applyNumberFormat="1" applyFont="1" applyFill="1"/>
    <xf numFmtId="165" fontId="7" fillId="17" borderId="0" xfId="1" applyFont="1" applyFill="1"/>
    <xf numFmtId="2" fontId="3" fillId="0" borderId="0" xfId="0" applyNumberFormat="1" applyFont="1"/>
    <xf numFmtId="168" fontId="37" fillId="0" borderId="0" xfId="6" applyNumberFormat="1" applyFont="1"/>
    <xf numFmtId="9" fontId="36" fillId="16" borderId="0" xfId="2" applyFont="1" applyFill="1"/>
    <xf numFmtId="37" fontId="17" fillId="16" borderId="0" xfId="6" applyNumberFormat="1" applyFont="1" applyFill="1"/>
    <xf numFmtId="37" fontId="17" fillId="16" borderId="1" xfId="2" applyNumberFormat="1" applyFont="1" applyFill="1" applyBorder="1"/>
    <xf numFmtId="167" fontId="54" fillId="16" borderId="0" xfId="2" applyNumberFormat="1" applyFont="1" applyFill="1" applyBorder="1" applyAlignment="1">
      <alignment horizontal="right"/>
    </xf>
    <xf numFmtId="165" fontId="54" fillId="16" borderId="0" xfId="1" applyFont="1" applyFill="1" applyBorder="1" applyAlignment="1">
      <alignment horizontal="right"/>
    </xf>
    <xf numFmtId="9" fontId="3" fillId="4" borderId="0" xfId="2" applyFont="1" applyFill="1"/>
    <xf numFmtId="174" fontId="10" fillId="16" borderId="0" xfId="1" applyNumberFormat="1" applyFont="1" applyFill="1" applyBorder="1"/>
    <xf numFmtId="9" fontId="3" fillId="16" borderId="0" xfId="2" applyFont="1" applyFill="1"/>
    <xf numFmtId="174" fontId="3" fillId="16" borderId="0" xfId="0" applyNumberFormat="1" applyFont="1" applyFill="1"/>
    <xf numFmtId="174" fontId="10" fillId="16" borderId="0" xfId="1" applyNumberFormat="1" applyFont="1" applyFill="1"/>
    <xf numFmtId="9" fontId="9" fillId="4" borderId="0" xfId="2" applyFont="1" applyFill="1"/>
    <xf numFmtId="9" fontId="9" fillId="16" borderId="0" xfId="2" applyFont="1" applyFill="1"/>
    <xf numFmtId="183" fontId="78" fillId="0" borderId="0" xfId="1" applyNumberFormat="1" applyFont="1"/>
    <xf numFmtId="183" fontId="78" fillId="0" borderId="0" xfId="1" applyNumberFormat="1" applyFont="1" applyBorder="1"/>
    <xf numFmtId="183" fontId="78" fillId="0" borderId="1" xfId="1" applyNumberFormat="1" applyFont="1" applyBorder="1"/>
    <xf numFmtId="0" fontId="9" fillId="4" borderId="0" xfId="2" applyNumberFormat="1" applyFont="1" applyFill="1"/>
    <xf numFmtId="165" fontId="62" fillId="6" borderId="3" xfId="3" applyNumberFormat="1" applyFont="1" applyFill="1" applyBorder="1" applyAlignment="1">
      <alignment horizontal="right" vertical="center" wrapText="1"/>
    </xf>
    <xf numFmtId="165" fontId="62" fillId="6" borderId="4" xfId="3" applyNumberFormat="1" applyFont="1" applyFill="1" applyBorder="1" applyAlignment="1">
      <alignment horizontal="right" vertical="center" wrapText="1"/>
    </xf>
    <xf numFmtId="165" fontId="62" fillId="6" borderId="5" xfId="3" applyNumberFormat="1" applyFont="1" applyFill="1" applyBorder="1" applyAlignment="1">
      <alignment horizontal="right" vertical="center" wrapText="1"/>
    </xf>
    <xf numFmtId="165" fontId="62" fillId="6" borderId="6" xfId="3" applyNumberFormat="1" applyFont="1" applyFill="1" applyBorder="1" applyAlignment="1">
      <alignment horizontal="right" vertical="center" wrapText="1"/>
    </xf>
    <xf numFmtId="165" fontId="6" fillId="6" borderId="3" xfId="3" applyNumberFormat="1" applyFont="1" applyFill="1" applyBorder="1" applyAlignment="1">
      <alignment horizontal="center" vertical="center" wrapText="1"/>
    </xf>
    <xf numFmtId="165" fontId="6" fillId="6" borderId="4" xfId="3" applyNumberFormat="1" applyFont="1" applyFill="1" applyBorder="1" applyAlignment="1">
      <alignment horizontal="center" vertical="center" wrapText="1"/>
    </xf>
    <xf numFmtId="165" fontId="6" fillId="6" borderId="5" xfId="3" applyNumberFormat="1" applyFont="1" applyFill="1" applyBorder="1" applyAlignment="1">
      <alignment horizontal="center" vertical="center" wrapText="1"/>
    </xf>
    <xf numFmtId="165" fontId="6" fillId="6" borderId="6" xfId="3" applyNumberFormat="1" applyFont="1" applyFill="1" applyBorder="1" applyAlignment="1">
      <alignment horizontal="center" vertical="center" wrapText="1"/>
    </xf>
    <xf numFmtId="0" fontId="35" fillId="18" borderId="0" xfId="0" applyFont="1" applyFill="1"/>
    <xf numFmtId="0" fontId="50" fillId="18" borderId="0" xfId="0" applyFont="1" applyFill="1" applyAlignment="1">
      <alignment vertical="center"/>
    </xf>
    <xf numFmtId="165" fontId="68" fillId="18" borderId="0" xfId="1" applyFont="1" applyFill="1" applyBorder="1" applyAlignment="1">
      <alignment vertical="center"/>
    </xf>
    <xf numFmtId="9" fontId="79" fillId="18" borderId="0" xfId="2" applyFont="1" applyFill="1" applyBorder="1" applyAlignment="1">
      <alignment vertical="center"/>
    </xf>
    <xf numFmtId="165" fontId="8" fillId="19" borderId="0" xfId="1" applyFont="1" applyFill="1"/>
    <xf numFmtId="165" fontId="3" fillId="19" borderId="0" xfId="1" applyFont="1" applyFill="1"/>
    <xf numFmtId="0" fontId="8" fillId="19" borderId="0" xfId="1" applyNumberFormat="1" applyFont="1" applyFill="1" applyAlignment="1">
      <alignment horizontal="center"/>
    </xf>
    <xf numFmtId="165" fontId="48" fillId="19" borderId="0" xfId="1" applyFont="1" applyFill="1" applyAlignment="1">
      <alignment horizontal="left"/>
    </xf>
    <xf numFmtId="165" fontId="64" fillId="19" borderId="0" xfId="1" applyFont="1" applyFill="1" applyAlignment="1">
      <alignment horizontal="right"/>
    </xf>
    <xf numFmtId="0" fontId="48" fillId="19" borderId="0" xfId="1" applyNumberFormat="1" applyFont="1" applyFill="1" applyAlignment="1">
      <alignment horizontal="center" vertical="center"/>
    </xf>
    <xf numFmtId="0" fontId="48" fillId="19" borderId="0" xfId="0" applyFont="1" applyFill="1" applyAlignment="1">
      <alignment horizontal="center" vertical="center"/>
    </xf>
    <xf numFmtId="0" fontId="48" fillId="19" borderId="0" xfId="0" applyFont="1" applyFill="1" applyAlignment="1">
      <alignment horizontal="center" vertical="center"/>
    </xf>
    <xf numFmtId="166" fontId="48" fillId="19" borderId="0" xfId="1" applyNumberFormat="1" applyFont="1" applyFill="1" applyBorder="1" applyAlignment="1">
      <alignment horizontal="center" vertical="center"/>
    </xf>
    <xf numFmtId="166" fontId="48" fillId="19" borderId="0" xfId="1" applyNumberFormat="1" applyFont="1" applyFill="1" applyBorder="1" applyAlignment="1">
      <alignment horizontal="center" vertical="center"/>
    </xf>
    <xf numFmtId="165" fontId="48" fillId="19" borderId="3" xfId="1" applyFont="1" applyFill="1" applyBorder="1" applyAlignment="1">
      <alignment horizontal="center" vertical="center"/>
    </xf>
    <xf numFmtId="165" fontId="48" fillId="19" borderId="7" xfId="1" applyFont="1" applyFill="1" applyBorder="1" applyAlignment="1">
      <alignment horizontal="center" vertical="center"/>
    </xf>
    <xf numFmtId="165" fontId="48" fillId="19" borderId="4" xfId="1" applyFont="1" applyFill="1" applyBorder="1" applyAlignment="1">
      <alignment horizontal="center" vertical="center"/>
    </xf>
    <xf numFmtId="1" fontId="8" fillId="19" borderId="0" xfId="7" applyNumberFormat="1" applyFont="1" applyFill="1" applyAlignment="1">
      <alignment horizontal="center"/>
    </xf>
    <xf numFmtId="39" fontId="8" fillId="19" borderId="0" xfId="1" applyNumberFormat="1" applyFont="1" applyFill="1" applyAlignment="1" applyProtection="1">
      <alignment horizontal="left"/>
    </xf>
    <xf numFmtId="39" fontId="8" fillId="19" borderId="11" xfId="31" applyNumberFormat="1" applyFont="1" applyFill="1" applyBorder="1" applyAlignment="1" applyProtection="1">
      <alignment horizontal="left"/>
    </xf>
    <xf numFmtId="37" fontId="9" fillId="19" borderId="0" xfId="6" applyNumberFormat="1" applyFont="1" applyFill="1"/>
    <xf numFmtId="2" fontId="37" fillId="19" borderId="0" xfId="6" applyNumberFormat="1" applyFont="1" applyFill="1"/>
  </cellXfs>
  <cellStyles count="33">
    <cellStyle name="§Q\?1@" xfId="4" xr:uid="{00000000-0005-0000-0000-000000000000}"/>
    <cellStyle name="§Q\òm1@À" xfId="5" xr:uid="{00000000-0005-0000-0000-000001000000}"/>
    <cellStyle name="AFE" xfId="6" xr:uid="{00000000-0005-0000-0000-000002000000}"/>
    <cellStyle name="AFE 2" xfId="7" xr:uid="{00000000-0005-0000-0000-000003000000}"/>
    <cellStyle name="AFE 2 2" xfId="8" xr:uid="{00000000-0005-0000-0000-000004000000}"/>
    <cellStyle name="AFE 4 2" xfId="9" xr:uid="{00000000-0005-0000-0000-000005000000}"/>
    <cellStyle name="Comma" xfId="1" builtinId="3"/>
    <cellStyle name="Comma 2" xfId="10" xr:uid="{00000000-0005-0000-0000-000007000000}"/>
    <cellStyle name="Comma 2 2" xfId="26" xr:uid="{00000000-0005-0000-0000-000008000000}"/>
    <cellStyle name="Comma 3" xfId="11" xr:uid="{00000000-0005-0000-0000-000009000000}"/>
    <cellStyle name="Comma 4" xfId="12" xr:uid="{00000000-0005-0000-0000-00000A000000}"/>
    <cellStyle name="Comma 4 2" xfId="28" xr:uid="{00000000-0005-0000-0000-00000B000000}"/>
    <cellStyle name="Comma 5" xfId="29" xr:uid="{00000000-0005-0000-0000-00000C000000}"/>
    <cellStyle name="Hyperlink" xfId="3" builtinId="8"/>
    <cellStyle name="Hyperlink 2" xfId="13" xr:uid="{00000000-0005-0000-0000-00000E000000}"/>
    <cellStyle name="Normal" xfId="0" builtinId="0"/>
    <cellStyle name="Normal - Style1" xfId="14" xr:uid="{00000000-0005-0000-0000-000010000000}"/>
    <cellStyle name="Normal 11" xfId="15" xr:uid="{00000000-0005-0000-0000-000011000000}"/>
    <cellStyle name="Normal 2" xfId="16" xr:uid="{00000000-0005-0000-0000-000012000000}"/>
    <cellStyle name="Normal 2 2" xfId="30" xr:uid="{00000000-0005-0000-0000-000013000000}"/>
    <cellStyle name="Normal 2 2 3" xfId="17" xr:uid="{00000000-0005-0000-0000-000014000000}"/>
    <cellStyle name="Normal 20" xfId="18" xr:uid="{00000000-0005-0000-0000-000015000000}"/>
    <cellStyle name="Normal 24" xfId="19" xr:uid="{00000000-0005-0000-0000-000016000000}"/>
    <cellStyle name="Normal 3" xfId="20" xr:uid="{00000000-0005-0000-0000-000017000000}"/>
    <cellStyle name="Normal 7" xfId="21" xr:uid="{00000000-0005-0000-0000-000018000000}"/>
    <cellStyle name="Normal_DCF" xfId="31" xr:uid="{00000000-0005-0000-0000-000019000000}"/>
    <cellStyle name="Percent" xfId="2" builtinId="5"/>
    <cellStyle name="Percent 2" xfId="22" xr:uid="{00000000-0005-0000-0000-00001B000000}"/>
    <cellStyle name="Percent 3" xfId="23" xr:uid="{00000000-0005-0000-0000-00001C000000}"/>
    <cellStyle name="Percent 4" xfId="24" xr:uid="{00000000-0005-0000-0000-00001D000000}"/>
    <cellStyle name="Percent 5" xfId="27" xr:uid="{00000000-0005-0000-0000-00001E000000}"/>
    <cellStyle name="Percent_DCF" xfId="32" xr:uid="{00000000-0005-0000-0000-00001F000000}"/>
    <cellStyle name="Style 1" xfId="25" xr:uid="{00000000-0005-0000-0000-000020000000}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1</xdr:col>
      <xdr:colOff>19050</xdr:colOff>
      <xdr:row>7</xdr:row>
      <xdr:rowOff>12700</xdr:rowOff>
    </xdr:to>
    <xdr:pic>
      <xdr:nvPicPr>
        <xdr:cNvPr id="18433" name="Picture 1">
          <a:extLst>
            <a:ext uri="{FF2B5EF4-FFF2-40B4-BE49-F238E27FC236}">
              <a16:creationId xmlns:a16="http://schemas.microsoft.com/office/drawing/2014/main" id="{00000000-0008-0000-0100-0000014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49400" y="1111250"/>
          <a:ext cx="19050" cy="12700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b11/Downloads/Cement/Cememt%20-KASB/DGK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b11/Downloads/Users/faculty/Downloads/Cement/Cememt%20-KASB/DGK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ement/Cememt%20-KASB/DGKC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b11/Downloads/Users/Umer%20Habib/AppData/Local/Microsoft/Windows/Temporary%20Internet%20Files/Content.Outlook/1HTR02BK/Cememt%20-KASB/DGKC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b11/Downloads/Users/faculty/Downloads/Users/Umer%20Habib/AppData/Local/Microsoft/Windows/Temporary%20Internet%20Files/Content.Outlook/1HTR02BK/Cememt%20-KASB/DGKC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mer%20Habib/AppData/Local/Microsoft/Windows/Temporary%20Internet%20Files/Content.Outlook/1HTR02BK/Cememt%20-KASB/DGKC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b11.CBML/Downloads/DG%20Khan%20Cement%202016-10-2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b11/Downloads/Financial%20Modeling%20(Security%20Analysis)/DG%20Khan%20Cement%202016-10-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KASB UNIVERSE"/>
      <sheetName val="P&amp;L"/>
      <sheetName val="SOP"/>
      <sheetName val="Ratios"/>
      <sheetName val="Assump"/>
      <sheetName val="Qtrly"/>
      <sheetName val="Tables"/>
      <sheetName val="BS"/>
      <sheetName val="CF"/>
      <sheetName val="Inv"/>
      <sheetName val="Sensitivity"/>
      <sheetName val="Loan"/>
      <sheetName val="Assets"/>
      <sheetName val="WACC"/>
      <sheetName val="DCF"/>
      <sheetName val="iQ_Measure_Validations_Errors"/>
      <sheetName val="iQ_CoreIndustrials"/>
    </sheetNames>
    <sheetDataSet>
      <sheetData sheetId="0">
        <row r="17">
          <cell r="C17">
            <v>93.78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KASB UNIVERSE"/>
      <sheetName val="P&amp;L"/>
      <sheetName val="SOP"/>
      <sheetName val="Ratios"/>
      <sheetName val="Assump"/>
      <sheetName val="Qtrly"/>
      <sheetName val="Tables"/>
      <sheetName val="BS"/>
      <sheetName val="CF"/>
      <sheetName val="Inv"/>
      <sheetName val="Sensitivity"/>
      <sheetName val="Loan"/>
      <sheetName val="Assets"/>
      <sheetName val="WACC"/>
      <sheetName val="DCF"/>
      <sheetName val="iQ_Measure_Validations_Errors"/>
      <sheetName val="iQ_CoreIndustrials"/>
    </sheetNames>
    <sheetDataSet>
      <sheetData sheetId="0">
        <row r="17">
          <cell r="C17">
            <v>93.78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KASB UNIVERSE"/>
      <sheetName val="P&amp;L"/>
      <sheetName val="SOP"/>
      <sheetName val="Ratios"/>
      <sheetName val="Assump"/>
      <sheetName val="Qtrly"/>
      <sheetName val="Tables"/>
      <sheetName val="BS"/>
      <sheetName val="CF"/>
      <sheetName val="Inv"/>
      <sheetName val="Sensitivity"/>
      <sheetName val="Loan"/>
      <sheetName val="Assets"/>
      <sheetName val="WACC"/>
      <sheetName val="DCF"/>
      <sheetName val="iQ_Measure_Validations_Errors"/>
      <sheetName val="iQ_CoreIndustrials"/>
    </sheetNames>
    <sheetDataSet>
      <sheetData sheetId="0">
        <row r="17">
          <cell r="C17">
            <v>93.78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KASB UNIVERSE"/>
      <sheetName val="P&amp;L"/>
      <sheetName val="SOP"/>
      <sheetName val="Ratios"/>
      <sheetName val="Assump"/>
      <sheetName val="Qtrly"/>
      <sheetName val="Tables"/>
      <sheetName val="BS"/>
      <sheetName val="CF"/>
      <sheetName val="Inv"/>
      <sheetName val="Sensitivity"/>
      <sheetName val="Loan"/>
      <sheetName val="Assets"/>
      <sheetName val="WACC"/>
      <sheetName val="DCF"/>
      <sheetName val="iQ_Measure_Validations_Errors"/>
      <sheetName val="iQ_CoreIndustrials"/>
    </sheetNames>
    <sheetDataSet>
      <sheetData sheetId="0" refreshError="1">
        <row r="13">
          <cell r="C13">
            <v>438.11919999999998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KASB UNIVERSE"/>
      <sheetName val="P&amp;L"/>
      <sheetName val="SOP"/>
      <sheetName val="Ratios"/>
      <sheetName val="Assump"/>
      <sheetName val="Qtrly"/>
      <sheetName val="Tables"/>
      <sheetName val="BS"/>
      <sheetName val="CF"/>
      <sheetName val="Inv"/>
      <sheetName val="Sensitivity"/>
      <sheetName val="Loan"/>
      <sheetName val="Assets"/>
      <sheetName val="WACC"/>
      <sheetName val="DCF"/>
      <sheetName val="iQ_Measure_Validations_Errors"/>
      <sheetName val="iQ_CoreIndustrials"/>
    </sheetNames>
    <sheetDataSet>
      <sheetData sheetId="0" refreshError="1">
        <row r="13">
          <cell r="C13">
            <v>438.11919999999998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KASB UNIVERSE"/>
      <sheetName val="P&amp;L"/>
      <sheetName val="SOP"/>
      <sheetName val="Ratios"/>
      <sheetName val="Assump"/>
      <sheetName val="Qtrly"/>
      <sheetName val="Tables"/>
      <sheetName val="BS"/>
      <sheetName val="CF"/>
      <sheetName val="Inv"/>
      <sheetName val="Sensitivity"/>
      <sheetName val="Loan"/>
      <sheetName val="Assets"/>
      <sheetName val="WACC"/>
      <sheetName val="DCF"/>
      <sheetName val="iQ_Measure_Validations_Errors"/>
      <sheetName val="iQ_CoreIndustrials"/>
    </sheetNames>
    <sheetDataSet>
      <sheetData sheetId="0" refreshError="1">
        <row r="13">
          <cell r="C13">
            <v>438.11919999999998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Dashboard"/>
      <sheetName val="Drivers Sheet"/>
      <sheetName val="IS"/>
      <sheetName val="BS"/>
      <sheetName val="CF"/>
      <sheetName val="Valuation"/>
      <sheetName val="Fixed Assets"/>
      <sheetName val="Loans"/>
      <sheetName val="Investments"/>
      <sheetName val="Graphs"/>
      <sheetName val="Sheet1"/>
      <sheetName val="DGKHAN"/>
      <sheetName val="Timeline"/>
      <sheetName val="Universe Sheet"/>
      <sheetName val="Sheet2"/>
    </sheetNames>
    <sheetDataSet>
      <sheetData sheetId="0"/>
      <sheetData sheetId="1">
        <row r="3">
          <cell r="V3">
            <v>7.4999999999999997E-2</v>
          </cell>
        </row>
      </sheetData>
      <sheetData sheetId="2"/>
      <sheetData sheetId="3">
        <row r="20">
          <cell r="A20" t="str">
            <v>Raw Material and Packaging</v>
          </cell>
        </row>
      </sheetData>
      <sheetData sheetId="4"/>
      <sheetData sheetId="5"/>
      <sheetData sheetId="6"/>
      <sheetData sheetId="7"/>
      <sheetData sheetId="8">
        <row r="5">
          <cell r="H5" t="str">
            <v>2020F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Dashboard"/>
      <sheetName val="Drivers Sheet"/>
      <sheetName val="IS"/>
      <sheetName val="BS"/>
      <sheetName val="CF"/>
      <sheetName val="Valuation"/>
      <sheetName val="Fixed Assets"/>
      <sheetName val="Loans"/>
      <sheetName val="Investments"/>
      <sheetName val="Graphs"/>
      <sheetName val="Sheet1"/>
      <sheetName val="DGKHAN"/>
      <sheetName val="Timeline"/>
      <sheetName val="Universe Sheet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A1" t="str">
            <v>D.G Khan Cement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1"/>
  <sheetViews>
    <sheetView showGridLines="0" zoomScaleNormal="100" workbookViewId="0">
      <pane xSplit="2" ySplit="2" topLeftCell="N3" activePane="bottomRight" state="frozen"/>
      <selection pane="topRight" activeCell="C1" sqref="C1"/>
      <selection pane="bottomLeft" activeCell="A5" sqref="A5"/>
      <selection pane="bottomRight" activeCell="U40" sqref="U40"/>
    </sheetView>
  </sheetViews>
  <sheetFormatPr defaultColWidth="9.140625" defaultRowHeight="12" x14ac:dyDescent="0.2"/>
  <cols>
    <col min="1" max="1" width="0.42578125" style="64" customWidth="1"/>
    <col min="2" max="2" width="36.140625" style="64" bestFit="1" customWidth="1"/>
    <col min="3" max="3" width="10" style="64" bestFit="1" customWidth="1"/>
    <col min="4" max="4" width="9.140625" style="64" bestFit="1" customWidth="1"/>
    <col min="5" max="8" width="10" style="119" bestFit="1" customWidth="1"/>
    <col min="9" max="13" width="10" style="64" bestFit="1" customWidth="1"/>
    <col min="14" max="14" width="10.7109375" style="64" bestFit="1" customWidth="1"/>
    <col min="15" max="15" width="9.85546875" style="64" bestFit="1" customWidth="1"/>
    <col min="16" max="16" width="11.140625" style="64" bestFit="1" customWidth="1"/>
    <col min="17" max="18" width="9.85546875" style="64" bestFit="1" customWidth="1"/>
    <col min="19" max="19" width="11" style="64" bestFit="1" customWidth="1"/>
    <col min="20" max="20" width="47.5703125" style="64" bestFit="1" customWidth="1"/>
    <col min="21" max="21" width="47.42578125" style="64" bestFit="1" customWidth="1"/>
    <col min="22" max="16384" width="9.140625" style="64"/>
  </cols>
  <sheetData>
    <row r="1" spans="2:20" x14ac:dyDescent="0.2">
      <c r="D1" s="95"/>
      <c r="E1" s="95"/>
      <c r="F1" s="95"/>
      <c r="G1" s="95"/>
      <c r="H1" s="64"/>
    </row>
    <row r="2" spans="2:20" s="97" customFormat="1" x14ac:dyDescent="0.2">
      <c r="B2" s="96"/>
      <c r="C2" s="96" t="s">
        <v>209</v>
      </c>
      <c r="D2" s="96" t="s">
        <v>210</v>
      </c>
      <c r="E2" s="96" t="s">
        <v>211</v>
      </c>
      <c r="F2" s="96" t="s">
        <v>212</v>
      </c>
      <c r="G2" s="96" t="s">
        <v>213</v>
      </c>
      <c r="H2" s="96" t="s">
        <v>214</v>
      </c>
      <c r="I2" s="96" t="s">
        <v>215</v>
      </c>
      <c r="J2" s="96" t="s">
        <v>216</v>
      </c>
      <c r="K2" s="96" t="s">
        <v>275</v>
      </c>
      <c r="L2" s="96" t="s">
        <v>276</v>
      </c>
      <c r="M2" s="96" t="s">
        <v>340</v>
      </c>
      <c r="N2" s="96" t="s">
        <v>217</v>
      </c>
      <c r="O2" s="238" t="s">
        <v>218</v>
      </c>
      <c r="P2" s="238" t="s">
        <v>329</v>
      </c>
      <c r="Q2" s="238" t="s">
        <v>330</v>
      </c>
      <c r="R2" s="238" t="s">
        <v>344</v>
      </c>
      <c r="S2" s="238" t="s">
        <v>360</v>
      </c>
      <c r="T2" s="97" t="s">
        <v>345</v>
      </c>
    </row>
    <row r="3" spans="2:20" x14ac:dyDescent="0.2">
      <c r="C3" s="99"/>
      <c r="D3" s="98"/>
      <c r="E3" s="98"/>
      <c r="F3" s="98"/>
      <c r="G3" s="98"/>
      <c r="H3" s="64"/>
      <c r="O3" s="239"/>
      <c r="P3" s="239"/>
      <c r="Q3" s="239"/>
      <c r="R3" s="239"/>
      <c r="S3" s="239"/>
    </row>
    <row r="4" spans="2:20" s="80" customFormat="1" x14ac:dyDescent="0.2">
      <c r="B4" s="80" t="s">
        <v>201</v>
      </c>
      <c r="C4" s="82">
        <v>45.24</v>
      </c>
      <c r="D4" s="81">
        <v>42.374000000000002</v>
      </c>
      <c r="E4" s="81">
        <v>44.64</v>
      </c>
      <c r="F4" s="81">
        <v>44.65</v>
      </c>
      <c r="G4" s="81">
        <v>44.64</v>
      </c>
      <c r="H4" s="83">
        <v>45.62</v>
      </c>
      <c r="I4" s="84">
        <v>45.62</v>
      </c>
      <c r="J4" s="84">
        <v>46.39</v>
      </c>
      <c r="K4" s="84">
        <v>59.36</v>
      </c>
      <c r="L4" s="84">
        <v>59.65</v>
      </c>
      <c r="M4" s="84">
        <v>63.63</v>
      </c>
      <c r="N4" s="326">
        <v>69.237250000000003</v>
      </c>
      <c r="O4" s="324">
        <f>N4*1.05</f>
        <v>72.699112500000012</v>
      </c>
      <c r="P4" s="324">
        <f t="shared" ref="P4:S4" si="0">O4*1.05</f>
        <v>76.334068125000016</v>
      </c>
      <c r="Q4" s="324">
        <f t="shared" si="0"/>
        <v>80.150771531250015</v>
      </c>
      <c r="R4" s="324">
        <f t="shared" si="0"/>
        <v>84.158310107812525</v>
      </c>
      <c r="S4" s="324">
        <f t="shared" si="0"/>
        <v>88.366225613203156</v>
      </c>
    </row>
    <row r="5" spans="2:20" x14ac:dyDescent="0.2">
      <c r="C5" s="101"/>
      <c r="D5" s="85"/>
      <c r="E5" s="85"/>
      <c r="F5" s="85"/>
      <c r="G5" s="85"/>
      <c r="H5" s="100"/>
      <c r="N5" s="319"/>
      <c r="O5" s="327"/>
      <c r="P5" s="239"/>
      <c r="Q5" s="239"/>
      <c r="R5" s="239"/>
      <c r="S5" s="239"/>
    </row>
    <row r="6" spans="2:20" s="80" customFormat="1" x14ac:dyDescent="0.2">
      <c r="B6" s="80" t="s">
        <v>219</v>
      </c>
      <c r="C6" s="82">
        <v>34.195</v>
      </c>
      <c r="D6" s="81">
        <f>D7+D8</f>
        <v>31.428000000000001</v>
      </c>
      <c r="E6" s="81">
        <f>E7+E8</f>
        <v>32.519999999999996</v>
      </c>
      <c r="F6" s="81">
        <f>F7+F8</f>
        <v>33.43</v>
      </c>
      <c r="G6" s="81">
        <f>G7+G8</f>
        <v>34.29</v>
      </c>
      <c r="H6" s="81">
        <f t="shared" ref="H6:M6" si="1">H7+H8</f>
        <v>35.4</v>
      </c>
      <c r="I6" s="81">
        <f t="shared" si="1"/>
        <v>38.869999999999997</v>
      </c>
      <c r="J6" s="81">
        <f t="shared" si="1"/>
        <v>40.31</v>
      </c>
      <c r="K6" s="81">
        <f t="shared" si="1"/>
        <v>45.9</v>
      </c>
      <c r="L6" s="81">
        <f t="shared" si="1"/>
        <v>46.89</v>
      </c>
      <c r="M6" s="81">
        <f t="shared" si="1"/>
        <v>47.82</v>
      </c>
      <c r="N6" s="328">
        <f>N7+N8</f>
        <v>57.432773999999995</v>
      </c>
      <c r="O6" s="324">
        <f>SUM(O7:O8)</f>
        <v>58.19714791630642</v>
      </c>
      <c r="P6" s="324">
        <f t="shared" ref="P6:S6" si="2">SUM(P7:P8)</f>
        <v>64.83484056901743</v>
      </c>
      <c r="Q6" s="324">
        <f t="shared" si="2"/>
        <v>71.25639646757449</v>
      </c>
      <c r="R6" s="324">
        <f t="shared" si="2"/>
        <v>77.777853346766051</v>
      </c>
      <c r="S6" s="324">
        <f t="shared" si="2"/>
        <v>84.162071557353258</v>
      </c>
    </row>
    <row r="7" spans="2:20" x14ac:dyDescent="0.2">
      <c r="B7" s="64" t="s">
        <v>5</v>
      </c>
      <c r="C7" s="101">
        <v>23.538</v>
      </c>
      <c r="D7" s="85">
        <v>22.001000000000001</v>
      </c>
      <c r="E7" s="85">
        <v>23.95</v>
      </c>
      <c r="F7" s="85">
        <v>25.06</v>
      </c>
      <c r="G7" s="85">
        <v>26.15</v>
      </c>
      <c r="H7" s="100">
        <v>28.2</v>
      </c>
      <c r="I7" s="100">
        <v>33</v>
      </c>
      <c r="J7" s="102">
        <v>35.65</v>
      </c>
      <c r="K7" s="102">
        <v>41.15</v>
      </c>
      <c r="L7" s="102">
        <v>40.35</v>
      </c>
      <c r="M7" s="102">
        <v>39.97</v>
      </c>
      <c r="N7" s="319">
        <v>48.118941999999997</v>
      </c>
      <c r="O7" s="327">
        <f>O41</f>
        <v>47.486241116306424</v>
      </c>
      <c r="P7" s="327">
        <f t="shared" ref="P7:S7" si="3">P41</f>
        <v>52.62440681701743</v>
      </c>
      <c r="Q7" s="327">
        <f t="shared" si="3"/>
        <v>57.397554159054486</v>
      </c>
      <c r="R7" s="327">
        <f t="shared" si="3"/>
        <v>62.117361538138454</v>
      </c>
      <c r="S7" s="327">
        <f t="shared" si="3"/>
        <v>66.544018272647207</v>
      </c>
    </row>
    <row r="8" spans="2:20" x14ac:dyDescent="0.2">
      <c r="B8" s="64" t="s">
        <v>6</v>
      </c>
      <c r="C8" s="101">
        <v>10.675000000000001</v>
      </c>
      <c r="D8" s="85">
        <v>9.4269999999999996</v>
      </c>
      <c r="E8" s="85">
        <v>8.57</v>
      </c>
      <c r="F8" s="85">
        <v>8.3699999999999992</v>
      </c>
      <c r="G8" s="85">
        <v>8.14</v>
      </c>
      <c r="H8" s="100">
        <v>7.2</v>
      </c>
      <c r="I8" s="100">
        <v>5.87</v>
      </c>
      <c r="J8" s="100">
        <v>4.66</v>
      </c>
      <c r="K8" s="100">
        <v>4.75</v>
      </c>
      <c r="L8" s="100">
        <v>6.54</v>
      </c>
      <c r="M8" s="101">
        <v>7.85</v>
      </c>
      <c r="N8" s="319">
        <v>9.3138319999999997</v>
      </c>
      <c r="O8" s="327">
        <f>O43</f>
        <v>10.710906799999998</v>
      </c>
      <c r="P8" s="327">
        <f t="shared" ref="P8:S8" si="4">P43</f>
        <v>12.210433752</v>
      </c>
      <c r="Q8" s="327">
        <f t="shared" si="4"/>
        <v>13.85884230852</v>
      </c>
      <c r="R8" s="327">
        <f t="shared" si="4"/>
        <v>15.660491808627599</v>
      </c>
      <c r="S8" s="327">
        <f t="shared" si="4"/>
        <v>17.61805328470605</v>
      </c>
    </row>
    <row r="9" spans="2:20" x14ac:dyDescent="0.2">
      <c r="C9" s="104"/>
      <c r="D9" s="103"/>
      <c r="E9" s="103"/>
      <c r="F9" s="103"/>
      <c r="G9" s="103"/>
      <c r="H9" s="64"/>
      <c r="O9" s="239"/>
      <c r="P9" s="239"/>
      <c r="Q9" s="239"/>
      <c r="R9" s="239"/>
      <c r="S9" s="239"/>
    </row>
    <row r="10" spans="2:20" x14ac:dyDescent="0.2">
      <c r="B10" s="80" t="s">
        <v>202</v>
      </c>
      <c r="C10" s="87"/>
      <c r="D10" s="86"/>
      <c r="E10" s="86"/>
      <c r="F10" s="105"/>
      <c r="G10" s="105"/>
      <c r="H10" s="64"/>
      <c r="O10" s="239"/>
      <c r="P10" s="239"/>
      <c r="Q10" s="239"/>
      <c r="R10" s="239"/>
      <c r="S10" s="239"/>
    </row>
    <row r="11" spans="2:20" x14ac:dyDescent="0.2">
      <c r="B11" s="64" t="s">
        <v>114</v>
      </c>
      <c r="C11" s="242">
        <f t="shared" ref="C11:G11" si="5">1-C12</f>
        <v>0.68781985670419643</v>
      </c>
      <c r="D11" s="242">
        <f t="shared" si="5"/>
        <v>0.70004454626447754</v>
      </c>
      <c r="E11" s="242">
        <f t="shared" si="5"/>
        <v>0.73646986469864695</v>
      </c>
      <c r="F11" s="242">
        <f t="shared" si="5"/>
        <v>0.74962608435536948</v>
      </c>
      <c r="G11" s="242">
        <f t="shared" si="5"/>
        <v>0.76261300670749488</v>
      </c>
      <c r="H11" s="242">
        <f>H7/H6</f>
        <v>0.79661016949152541</v>
      </c>
      <c r="I11" s="242">
        <f>I7/I6</f>
        <v>0.84898379212760489</v>
      </c>
      <c r="J11" s="242">
        <f t="shared" ref="J11:M11" si="6">J7/J6</f>
        <v>0.88439593153063745</v>
      </c>
      <c r="K11" s="242">
        <f t="shared" si="6"/>
        <v>0.89651416122004357</v>
      </c>
      <c r="L11" s="242">
        <f t="shared" si="6"/>
        <v>0.86052463211772234</v>
      </c>
      <c r="M11" s="242">
        <f t="shared" si="6"/>
        <v>0.83584274362191546</v>
      </c>
      <c r="N11" s="242">
        <f>N7/N6</f>
        <v>0.837830713174328</v>
      </c>
      <c r="O11" s="325">
        <f>O7/O6</f>
        <v>0.81595478157446133</v>
      </c>
      <c r="P11" s="325">
        <f t="shared" ref="P11:S11" si="7">P7/P6</f>
        <v>0.81166863919404797</v>
      </c>
      <c r="Q11" s="325">
        <f t="shared" si="7"/>
        <v>0.80550739308257713</v>
      </c>
      <c r="R11" s="325">
        <f t="shared" si="7"/>
        <v>0.79865101523429038</v>
      </c>
      <c r="S11" s="325">
        <f t="shared" si="7"/>
        <v>0.79066516592691027</v>
      </c>
      <c r="T11" s="631" t="s">
        <v>363</v>
      </c>
    </row>
    <row r="12" spans="2:20" x14ac:dyDescent="0.2">
      <c r="B12" s="64" t="s">
        <v>94</v>
      </c>
      <c r="C12" s="242">
        <f t="shared" ref="C12:G12" si="8">C8/C6</f>
        <v>0.31218014329580351</v>
      </c>
      <c r="D12" s="242">
        <f t="shared" si="8"/>
        <v>0.29995545373552246</v>
      </c>
      <c r="E12" s="242">
        <f t="shared" si="8"/>
        <v>0.26353013530135305</v>
      </c>
      <c r="F12" s="242">
        <f t="shared" si="8"/>
        <v>0.25037391564463057</v>
      </c>
      <c r="G12" s="242">
        <f t="shared" si="8"/>
        <v>0.23738699329250512</v>
      </c>
      <c r="H12" s="242">
        <f>H8/H6</f>
        <v>0.20338983050847459</v>
      </c>
      <c r="I12" s="242">
        <f>I8/I6</f>
        <v>0.15101620787239517</v>
      </c>
      <c r="J12" s="242">
        <f t="shared" ref="J12:M12" si="9">J8/J6</f>
        <v>0.11560406846936244</v>
      </c>
      <c r="K12" s="242">
        <f t="shared" si="9"/>
        <v>0.10348583877995643</v>
      </c>
      <c r="L12" s="242">
        <f t="shared" si="9"/>
        <v>0.13947536788227766</v>
      </c>
      <c r="M12" s="242">
        <f t="shared" si="9"/>
        <v>0.16415725637808448</v>
      </c>
      <c r="N12" s="242">
        <f>N8/N6</f>
        <v>0.16216928682567205</v>
      </c>
      <c r="O12" s="325">
        <f>O8/O6</f>
        <v>0.18404521842553867</v>
      </c>
      <c r="P12" s="325">
        <f t="shared" ref="P12:S12" si="10">P8/P6</f>
        <v>0.18833136080595206</v>
      </c>
      <c r="Q12" s="325">
        <f t="shared" si="10"/>
        <v>0.19449260691742279</v>
      </c>
      <c r="R12" s="325">
        <f t="shared" si="10"/>
        <v>0.20134898476570967</v>
      </c>
      <c r="S12" s="325">
        <f t="shared" si="10"/>
        <v>0.20933483407308975</v>
      </c>
      <c r="T12" s="631" t="s">
        <v>364</v>
      </c>
    </row>
    <row r="13" spans="2:20" x14ac:dyDescent="0.2">
      <c r="C13" s="87"/>
      <c r="D13" s="86"/>
      <c r="E13" s="86"/>
      <c r="F13" s="105"/>
      <c r="G13" s="105"/>
      <c r="H13" s="64"/>
      <c r="O13" s="325"/>
      <c r="P13" s="325"/>
      <c r="Q13" s="325"/>
      <c r="R13" s="325"/>
      <c r="S13" s="325"/>
    </row>
    <row r="14" spans="2:20" s="80" customFormat="1" x14ac:dyDescent="0.2">
      <c r="B14" s="80" t="s">
        <v>220</v>
      </c>
      <c r="C14" s="237">
        <v>0.11</v>
      </c>
      <c r="D14" s="237">
        <f t="shared" ref="D14:G14" si="11">D6/C6-1</f>
        <v>-8.0918262903933336E-2</v>
      </c>
      <c r="E14" s="237">
        <f t="shared" si="11"/>
        <v>3.4746086292477996E-2</v>
      </c>
      <c r="F14" s="237">
        <f t="shared" si="11"/>
        <v>2.7982779827798288E-2</v>
      </c>
      <c r="G14" s="237">
        <f t="shared" si="11"/>
        <v>2.5725396350583241E-2</v>
      </c>
      <c r="H14" s="237">
        <f>H6/G6-1</f>
        <v>3.2370953630796118E-2</v>
      </c>
      <c r="I14" s="237">
        <f t="shared" ref="I14:M16" si="12">I6/H6-1</f>
        <v>9.8022598870056488E-2</v>
      </c>
      <c r="J14" s="237">
        <f t="shared" si="12"/>
        <v>3.7046565474659232E-2</v>
      </c>
      <c r="K14" s="237">
        <f t="shared" si="12"/>
        <v>0.13867526668320496</v>
      </c>
      <c r="L14" s="237">
        <f t="shared" si="12"/>
        <v>2.1568627450980538E-2</v>
      </c>
      <c r="M14" s="237">
        <f t="shared" si="12"/>
        <v>1.9833653230965975E-2</v>
      </c>
      <c r="N14" s="237">
        <f>N6/M6-1</f>
        <v>0.20101994981179416</v>
      </c>
      <c r="O14" s="325"/>
      <c r="P14" s="325"/>
      <c r="Q14" s="325"/>
      <c r="R14" s="325"/>
      <c r="S14" s="325"/>
    </row>
    <row r="15" spans="2:20" x14ac:dyDescent="0.2">
      <c r="B15" s="64" t="s">
        <v>221</v>
      </c>
      <c r="C15" s="243">
        <v>0.21</v>
      </c>
      <c r="D15" s="243">
        <f t="shared" ref="D15:G16" si="13">+D7/C7-1</f>
        <v>-6.5298665986914695E-2</v>
      </c>
      <c r="E15" s="243">
        <f t="shared" si="13"/>
        <v>8.8586882414435575E-2</v>
      </c>
      <c r="F15" s="243">
        <f t="shared" si="13"/>
        <v>4.6346555323590888E-2</v>
      </c>
      <c r="G15" s="243">
        <f t="shared" si="13"/>
        <v>4.3495610534716622E-2</v>
      </c>
      <c r="H15" s="243">
        <f>H7/G7-1</f>
        <v>7.8393881453154846E-2</v>
      </c>
      <c r="I15" s="243">
        <f t="shared" si="12"/>
        <v>0.17021276595744683</v>
      </c>
      <c r="J15" s="243">
        <f t="shared" si="12"/>
        <v>8.0303030303030321E-2</v>
      </c>
      <c r="K15" s="243">
        <f t="shared" si="12"/>
        <v>0.15427769985974749</v>
      </c>
      <c r="L15" s="243">
        <f t="shared" si="12"/>
        <v>-1.9441069258809174E-2</v>
      </c>
      <c r="M15" s="243">
        <f t="shared" si="12"/>
        <v>-9.417596034696496E-3</v>
      </c>
      <c r="N15" s="243">
        <f>N7/M7-1</f>
        <v>0.20387645734300719</v>
      </c>
      <c r="O15" s="325">
        <f>(O11-N11)/N11</f>
        <v>-2.6110204908798722E-2</v>
      </c>
      <c r="P15" s="325">
        <f t="shared" ref="P15:S15" si="14">(P11-O11)/O11</f>
        <v>-5.2529165551831762E-3</v>
      </c>
      <c r="Q15" s="325">
        <f t="shared" si="14"/>
        <v>-7.5908391848041514E-3</v>
      </c>
      <c r="R15" s="325">
        <f t="shared" si="14"/>
        <v>-8.511874511850516E-3</v>
      </c>
      <c r="S15" s="325">
        <f t="shared" si="14"/>
        <v>-9.9991725485222109E-3</v>
      </c>
    </row>
    <row r="16" spans="2:20" x14ac:dyDescent="0.2">
      <c r="B16" s="64" t="s">
        <v>222</v>
      </c>
      <c r="C16" s="243">
        <v>-0.06</v>
      </c>
      <c r="D16" s="243">
        <f t="shared" si="13"/>
        <v>-0.11690866510538656</v>
      </c>
      <c r="E16" s="243">
        <f t="shared" si="13"/>
        <v>-9.0909090909090828E-2</v>
      </c>
      <c r="F16" s="243">
        <f t="shared" si="13"/>
        <v>-2.3337222870478569E-2</v>
      </c>
      <c r="G16" s="243">
        <f t="shared" si="13"/>
        <v>-2.7479091995220917E-2</v>
      </c>
      <c r="H16" s="243">
        <f>H8/G8-1</f>
        <v>-0.11547911547911549</v>
      </c>
      <c r="I16" s="243">
        <f t="shared" si="12"/>
        <v>-0.18472222222222223</v>
      </c>
      <c r="J16" s="243">
        <f t="shared" si="12"/>
        <v>-0.20613287904599653</v>
      </c>
      <c r="K16" s="243">
        <f t="shared" si="12"/>
        <v>1.93133047210301E-2</v>
      </c>
      <c r="L16" s="243">
        <f t="shared" si="12"/>
        <v>0.37684210526315787</v>
      </c>
      <c r="M16" s="243">
        <f t="shared" si="12"/>
        <v>0.20030581039755346</v>
      </c>
      <c r="N16" s="243">
        <f>N8/M8-1</f>
        <v>0.18647541401273893</v>
      </c>
      <c r="O16" s="325">
        <f>(O12-N12)/N12</f>
        <v>0.13489565150140112</v>
      </c>
      <c r="P16" s="325">
        <f t="shared" ref="P16:S16" si="15">(P12-O12)/O12</f>
        <v>2.3288528857637682E-2</v>
      </c>
      <c r="Q16" s="325">
        <f t="shared" si="15"/>
        <v>3.2714923765771516E-2</v>
      </c>
      <c r="R16" s="325">
        <f t="shared" si="15"/>
        <v>3.5252639968972946E-2</v>
      </c>
      <c r="S16" s="325">
        <f t="shared" si="15"/>
        <v>3.9661731181175025E-2</v>
      </c>
    </row>
    <row r="17" spans="1:27" x14ac:dyDescent="0.2">
      <c r="C17" s="87"/>
      <c r="D17" s="86"/>
      <c r="E17" s="86"/>
      <c r="F17" s="105"/>
      <c r="G17" s="105"/>
      <c r="H17" s="64"/>
      <c r="O17" s="325"/>
      <c r="P17" s="325"/>
      <c r="Q17" s="325"/>
      <c r="R17" s="325"/>
      <c r="S17" s="325"/>
    </row>
    <row r="18" spans="1:27" s="80" customFormat="1" x14ac:dyDescent="0.2">
      <c r="B18" s="80" t="s">
        <v>208</v>
      </c>
      <c r="C18" s="237">
        <f>C6/AVERAGE(B4:C4)</f>
        <v>0.75585764809902733</v>
      </c>
      <c r="D18" s="237">
        <f t="shared" ref="D18:G18" si="16">D6/AVERAGE(C4:D4)</f>
        <v>0.71741959047640791</v>
      </c>
      <c r="E18" s="237">
        <f t="shared" si="16"/>
        <v>0.74746592502355924</v>
      </c>
      <c r="F18" s="237">
        <f t="shared" si="16"/>
        <v>0.7487960577892262</v>
      </c>
      <c r="G18" s="237">
        <f t="shared" si="16"/>
        <v>0.76805913316160834</v>
      </c>
      <c r="H18" s="237">
        <f>H6/H4</f>
        <v>0.77597544936431395</v>
      </c>
      <c r="I18" s="237">
        <f>I6/I4</f>
        <v>0.85203857957036389</v>
      </c>
      <c r="J18" s="237">
        <f t="shared" ref="J18:M18" si="17">J6/J4</f>
        <v>0.86893727096356976</v>
      </c>
      <c r="K18" s="237">
        <f t="shared" si="17"/>
        <v>0.77324797843665771</v>
      </c>
      <c r="L18" s="237">
        <f t="shared" si="17"/>
        <v>0.78608549874266553</v>
      </c>
      <c r="M18" s="237">
        <f t="shared" si="17"/>
        <v>0.75153229608675154</v>
      </c>
      <c r="N18" s="237">
        <f>N6/N4</f>
        <v>0.82950686227428139</v>
      </c>
      <c r="O18" s="325">
        <f>O47</f>
        <v>0.80052074798446005</v>
      </c>
      <c r="P18" s="325">
        <f t="shared" ref="P18:S18" si="18">P47</f>
        <v>0.84935654762756585</v>
      </c>
      <c r="Q18" s="325">
        <f t="shared" si="18"/>
        <v>0.88902945169769587</v>
      </c>
      <c r="R18" s="325">
        <f t="shared" si="18"/>
        <v>0.92418506558802482</v>
      </c>
      <c r="S18" s="325">
        <f t="shared" si="18"/>
        <v>0.95242351897825384</v>
      </c>
      <c r="T18" s="631" t="s">
        <v>355</v>
      </c>
    </row>
    <row r="19" spans="1:27" x14ac:dyDescent="0.2">
      <c r="D19" s="105"/>
      <c r="E19" s="105"/>
      <c r="F19" s="105"/>
      <c r="G19" s="105"/>
      <c r="H19" s="64"/>
    </row>
    <row r="20" spans="1:27" x14ac:dyDescent="0.2">
      <c r="B20" s="80" t="s">
        <v>223</v>
      </c>
      <c r="D20" s="105"/>
      <c r="E20" s="105"/>
      <c r="F20" s="105"/>
      <c r="G20" s="105"/>
      <c r="H20" s="64"/>
    </row>
    <row r="21" spans="1:27" x14ac:dyDescent="0.2">
      <c r="B21" s="64" t="s">
        <v>82</v>
      </c>
      <c r="C21" s="85">
        <v>83.928963562753026</v>
      </c>
      <c r="D21" s="85">
        <v>85.637474576271131</v>
      </c>
      <c r="E21" s="85">
        <v>94.58</v>
      </c>
      <c r="F21" s="85">
        <v>96.953500000000005</v>
      </c>
      <c r="G21" s="85">
        <v>102.9872</v>
      </c>
      <c r="H21" s="244">
        <v>101.46</v>
      </c>
      <c r="I21" s="244">
        <v>104.7</v>
      </c>
      <c r="J21" s="244">
        <v>105.4</v>
      </c>
      <c r="K21" s="244">
        <v>121.8</v>
      </c>
      <c r="L21" s="244">
        <v>160</v>
      </c>
      <c r="M21" s="101">
        <v>168</v>
      </c>
      <c r="N21" s="85">
        <v>158</v>
      </c>
      <c r="O21" s="85">
        <f>N21*(1+O22)</f>
        <v>170.64000000000001</v>
      </c>
      <c r="P21" s="85">
        <f t="shared" ref="P21:S21" si="19">O21*(1+P22)</f>
        <v>184.29120000000003</v>
      </c>
      <c r="Q21" s="85">
        <f t="shared" si="19"/>
        <v>198.11304000000001</v>
      </c>
      <c r="R21" s="85">
        <f t="shared" si="19"/>
        <v>211.98095280000001</v>
      </c>
      <c r="S21" s="85">
        <f t="shared" si="19"/>
        <v>224.69980996800001</v>
      </c>
      <c r="T21" s="106"/>
      <c r="U21" s="106"/>
      <c r="V21" s="106"/>
      <c r="W21" s="106"/>
      <c r="X21" s="106"/>
      <c r="Y21" s="106"/>
      <c r="Z21" s="106"/>
      <c r="AA21" s="106"/>
    </row>
    <row r="22" spans="1:27" x14ac:dyDescent="0.2">
      <c r="B22" s="64" t="s">
        <v>331</v>
      </c>
      <c r="C22" s="107"/>
      <c r="D22" s="107">
        <f t="shared" ref="D22:G22" si="20">D21/C21-1</f>
        <v>2.0356631858567731E-2</v>
      </c>
      <c r="E22" s="107">
        <f t="shared" si="20"/>
        <v>0.1044230398896735</v>
      </c>
      <c r="F22" s="107">
        <f t="shared" si="20"/>
        <v>2.5095157538591817E-2</v>
      </c>
      <c r="G22" s="107">
        <f t="shared" si="20"/>
        <v>6.2232926093436447E-2</v>
      </c>
      <c r="H22" s="107">
        <f>H21/G21-1</f>
        <v>-1.4829027296596187E-2</v>
      </c>
      <c r="I22" s="107">
        <f>I21/H21-1</f>
        <v>3.1933767001774083E-2</v>
      </c>
      <c r="J22" s="107">
        <f t="shared" ref="J22:M22" si="21">J21/I21-1</f>
        <v>6.6857688634194279E-3</v>
      </c>
      <c r="K22" s="107">
        <f>K21/J21-1</f>
        <v>0.15559772296015173</v>
      </c>
      <c r="L22" s="107">
        <f t="shared" si="21"/>
        <v>0.31362889983579634</v>
      </c>
      <c r="M22" s="107">
        <f t="shared" si="21"/>
        <v>5.0000000000000044E-2</v>
      </c>
      <c r="N22" s="107">
        <f t="shared" ref="N22" si="22">N21/M21-1</f>
        <v>-5.9523809523809534E-2</v>
      </c>
      <c r="O22" s="108">
        <v>0.08</v>
      </c>
      <c r="P22" s="108">
        <v>0.08</v>
      </c>
      <c r="Q22" s="108">
        <v>7.4999999999999997E-2</v>
      </c>
      <c r="R22" s="108">
        <v>7.0000000000000007E-2</v>
      </c>
      <c r="S22" s="108">
        <v>0.06</v>
      </c>
      <c r="T22" s="106"/>
      <c r="U22" s="106"/>
      <c r="V22" s="106"/>
      <c r="W22" s="106"/>
      <c r="X22" s="106"/>
      <c r="Y22" s="106"/>
      <c r="Z22" s="106"/>
      <c r="AA22" s="106"/>
    </row>
    <row r="23" spans="1:27" x14ac:dyDescent="0.2">
      <c r="B23" s="64" t="s">
        <v>332</v>
      </c>
      <c r="C23" s="90">
        <v>5670768</v>
      </c>
      <c r="D23" s="89">
        <f>C23*(1+D24)</f>
        <v>5876049.8015999999</v>
      </c>
      <c r="E23" s="89">
        <f t="shared" ref="E23:G23" si="23">D23*(1+E24)</f>
        <v>6101690.1139814397</v>
      </c>
      <c r="F23" s="89">
        <f t="shared" si="23"/>
        <v>6324401.8031417625</v>
      </c>
      <c r="G23" s="89">
        <f t="shared" si="23"/>
        <v>6579275.1958083753</v>
      </c>
      <c r="H23" s="89">
        <v>6849025</v>
      </c>
      <c r="I23" s="89">
        <v>7232571</v>
      </c>
      <c r="J23" s="89">
        <v>7608665</v>
      </c>
      <c r="K23" s="89">
        <v>8027141</v>
      </c>
      <c r="L23" s="89">
        <v>8292037</v>
      </c>
      <c r="M23" s="233">
        <f>L23*(1+M24)</f>
        <v>8250576.8150000004</v>
      </c>
      <c r="N23" s="233">
        <f>M23*(1+N24)</f>
        <v>8575649.5415110011</v>
      </c>
      <c r="O23" s="233">
        <f>N23*(1+O24)</f>
        <v>8961553.7708789948</v>
      </c>
      <c r="P23" s="233">
        <f t="shared" ref="P23:S23" si="24">O23*(1+P24)</f>
        <v>9499246.9971317351</v>
      </c>
      <c r="Q23" s="233">
        <f t="shared" si="24"/>
        <v>10021705.581973979</v>
      </c>
      <c r="R23" s="233">
        <f t="shared" si="24"/>
        <v>10522790.861072678</v>
      </c>
      <c r="S23" s="233">
        <f t="shared" si="24"/>
        <v>10996316.449820949</v>
      </c>
    </row>
    <row r="24" spans="1:27" x14ac:dyDescent="0.2">
      <c r="B24" s="64" t="s">
        <v>178</v>
      </c>
      <c r="C24" s="87">
        <v>2.58E-2</v>
      </c>
      <c r="D24" s="87">
        <v>3.6200000000000003E-2</v>
      </c>
      <c r="E24" s="87">
        <v>3.8399999999999997E-2</v>
      </c>
      <c r="F24" s="87">
        <v>3.6499999999999998E-2</v>
      </c>
      <c r="G24" s="87">
        <v>4.0300000000000002E-2</v>
      </c>
      <c r="H24" s="87">
        <f>H23/G23-1</f>
        <v>4.099992722047574E-2</v>
      </c>
      <c r="I24" s="87">
        <f t="shared" ref="I24:K24" si="25">I23/H23-1</f>
        <v>5.6000087603710114E-2</v>
      </c>
      <c r="J24" s="87">
        <f t="shared" si="25"/>
        <v>5.2000042585133244E-2</v>
      </c>
      <c r="K24" s="87">
        <f t="shared" si="25"/>
        <v>5.4999924428267066E-2</v>
      </c>
      <c r="L24" s="87">
        <v>2.1000000000000001E-2</v>
      </c>
      <c r="M24" s="87">
        <v>-5.0000000000000001E-3</v>
      </c>
      <c r="N24" s="87">
        <v>3.9399999999999998E-2</v>
      </c>
      <c r="O24" s="108">
        <v>4.4999999999999998E-2</v>
      </c>
      <c r="P24" s="108">
        <v>0.06</v>
      </c>
      <c r="Q24" s="108">
        <v>5.5E-2</v>
      </c>
      <c r="R24" s="108">
        <v>0.05</v>
      </c>
      <c r="S24" s="108">
        <v>4.4999999999999998E-2</v>
      </c>
    </row>
    <row r="25" spans="1:27" s="100" customFormat="1" x14ac:dyDescent="0.2">
      <c r="A25" s="64"/>
      <c r="B25" s="64" t="s">
        <v>333</v>
      </c>
      <c r="C25" s="233">
        <v>14866996</v>
      </c>
      <c r="D25" s="233">
        <v>1827644</v>
      </c>
      <c r="E25" s="233">
        <v>20046500</v>
      </c>
      <c r="F25" s="233">
        <v>22385657</v>
      </c>
      <c r="G25" s="233">
        <v>25168805</v>
      </c>
      <c r="H25" s="233">
        <v>27443022</v>
      </c>
      <c r="I25" s="233">
        <v>29102690</v>
      </c>
      <c r="J25" s="233">
        <v>31862167</v>
      </c>
      <c r="K25" s="233">
        <v>39097800</v>
      </c>
      <c r="L25" s="233">
        <v>43355000</v>
      </c>
      <c r="M25" s="233">
        <f>L25*(1+M27)</f>
        <v>47777210.000000007</v>
      </c>
      <c r="N25" s="233">
        <f>M25*(1+N27)</f>
        <v>53911803.764000013</v>
      </c>
      <c r="O25" s="233">
        <f>N25*(1+O27)</f>
        <v>61459456.290960021</v>
      </c>
      <c r="P25" s="233">
        <f t="shared" ref="P25:S25" si="26">O25*(1+P27)</f>
        <v>71292969.297513619</v>
      </c>
      <c r="Q25" s="233">
        <f t="shared" si="26"/>
        <v>81630449.845653102</v>
      </c>
      <c r="R25" s="233">
        <f t="shared" si="26"/>
        <v>92650560.574816272</v>
      </c>
      <c r="S25" s="233">
        <f t="shared" si="26"/>
        <v>103305375.04092014</v>
      </c>
    </row>
    <row r="26" spans="1:27" x14ac:dyDescent="0.2">
      <c r="B26" s="64" t="s">
        <v>179</v>
      </c>
      <c r="C26" s="87">
        <v>0.10100000000000001</v>
      </c>
      <c r="D26" s="88">
        <v>0.1366</v>
      </c>
      <c r="E26" s="88">
        <v>0.1101</v>
      </c>
      <c r="F26" s="88">
        <v>7.3599999999999999E-2</v>
      </c>
      <c r="G26" s="88">
        <v>8.6199999999999999E-2</v>
      </c>
      <c r="H26" s="245">
        <v>4.4999999999999998E-2</v>
      </c>
      <c r="I26" s="245">
        <v>2.9000000000000001E-2</v>
      </c>
      <c r="J26" s="245">
        <v>4.2000000000000003E-2</v>
      </c>
      <c r="K26" s="245">
        <v>4.7E-2</v>
      </c>
      <c r="L26" s="245">
        <v>6.8000000000000005E-2</v>
      </c>
      <c r="M26" s="245">
        <v>0.107</v>
      </c>
      <c r="N26" s="245">
        <v>8.8999999999999996E-2</v>
      </c>
      <c r="O26" s="108">
        <v>9.5000000000000001E-2</v>
      </c>
      <c r="P26" s="108">
        <v>0.1</v>
      </c>
      <c r="Q26" s="321">
        <v>0.09</v>
      </c>
      <c r="R26" s="321">
        <v>8.5000000000000006E-2</v>
      </c>
      <c r="S26" s="321">
        <v>7.0000000000000007E-2</v>
      </c>
    </row>
    <row r="27" spans="1:27" x14ac:dyDescent="0.2">
      <c r="B27" s="64" t="s">
        <v>180</v>
      </c>
      <c r="C27" s="88">
        <f>C26+C24</f>
        <v>0.1268</v>
      </c>
      <c r="D27" s="88">
        <f>D26+D24</f>
        <v>0.17280000000000001</v>
      </c>
      <c r="E27" s="88">
        <f>E26+E24</f>
        <v>0.14849999999999999</v>
      </c>
      <c r="F27" s="88">
        <f>F26+F24</f>
        <v>0.1101</v>
      </c>
      <c r="G27" s="88">
        <f>G26+G24</f>
        <v>0.1265</v>
      </c>
      <c r="H27" s="88">
        <f>H24+H26</f>
        <v>8.5999927220475739E-2</v>
      </c>
      <c r="I27" s="88">
        <f>I24+I26</f>
        <v>8.5000087603710112E-2</v>
      </c>
      <c r="J27" s="88">
        <f t="shared" ref="J27:L27" si="27">J24+J26</f>
        <v>9.4000042585133253E-2</v>
      </c>
      <c r="K27" s="88">
        <f t="shared" si="27"/>
        <v>0.10199992442826707</v>
      </c>
      <c r="L27" s="88">
        <f t="shared" si="27"/>
        <v>8.900000000000001E-2</v>
      </c>
      <c r="M27" s="87">
        <f>M26+M24</f>
        <v>0.10199999999999999</v>
      </c>
      <c r="N27" s="87">
        <f>N26+N24</f>
        <v>0.12839999999999999</v>
      </c>
      <c r="O27" s="87">
        <f>O26+O24</f>
        <v>0.14000000000000001</v>
      </c>
      <c r="P27" s="87">
        <f t="shared" ref="P27:S27" si="28">P26+P24</f>
        <v>0.16</v>
      </c>
      <c r="Q27" s="87">
        <f t="shared" si="28"/>
        <v>0.14499999999999999</v>
      </c>
      <c r="R27" s="87">
        <f t="shared" si="28"/>
        <v>0.13500000000000001</v>
      </c>
      <c r="S27" s="87">
        <f t="shared" si="28"/>
        <v>0.115</v>
      </c>
    </row>
    <row r="28" spans="1:27" x14ac:dyDescent="0.2">
      <c r="B28" s="64" t="s">
        <v>181</v>
      </c>
      <c r="C28" s="91">
        <v>6.2E-2</v>
      </c>
      <c r="D28" s="91">
        <v>6.5000000000000002E-2</v>
      </c>
      <c r="E28" s="91">
        <v>6.8000000000000005E-2</v>
      </c>
      <c r="F28" s="91">
        <v>8.2000000000000003E-2</v>
      </c>
      <c r="G28" s="91">
        <v>5.5E-2</v>
      </c>
      <c r="H28" s="91">
        <v>0.05</v>
      </c>
      <c r="I28" s="91">
        <v>4.5999999999999999E-2</v>
      </c>
      <c r="J28" s="91">
        <v>0.05</v>
      </c>
      <c r="K28" s="91">
        <v>0.05</v>
      </c>
      <c r="L28" s="91">
        <v>7.9000000000000001E-2</v>
      </c>
      <c r="M28" s="91">
        <v>9.1999999999999998E-2</v>
      </c>
      <c r="N28" s="91">
        <v>4.8000000000000001E-2</v>
      </c>
      <c r="O28" s="108">
        <v>7.0000000000000007E-2</v>
      </c>
      <c r="P28" s="108">
        <v>7.0000000000000007E-2</v>
      </c>
      <c r="Q28" s="108">
        <v>6.5000000000000002E-2</v>
      </c>
      <c r="R28" s="108">
        <v>6.5000000000000002E-2</v>
      </c>
      <c r="S28" s="108">
        <v>0.06</v>
      </c>
    </row>
    <row r="29" spans="1:27" x14ac:dyDescent="0.2">
      <c r="B29" s="64" t="s">
        <v>182</v>
      </c>
      <c r="C29" s="109">
        <v>518</v>
      </c>
      <c r="D29" s="109">
        <v>462</v>
      </c>
      <c r="E29" s="109">
        <v>665</v>
      </c>
      <c r="F29" s="109">
        <v>695</v>
      </c>
      <c r="G29" s="109">
        <v>865</v>
      </c>
      <c r="H29" s="109">
        <v>988</v>
      </c>
      <c r="I29" s="109">
        <v>1186</v>
      </c>
      <c r="J29" s="93">
        <v>1539</v>
      </c>
      <c r="K29" s="93">
        <v>2113</v>
      </c>
      <c r="L29" s="93">
        <v>1650</v>
      </c>
      <c r="M29" s="93">
        <f>829+600</f>
        <v>1429</v>
      </c>
      <c r="N29" s="93">
        <v>1324</v>
      </c>
      <c r="O29" s="93">
        <f>(O23/1000)*O31</f>
        <v>1433.8486033406391</v>
      </c>
      <c r="P29" s="93">
        <f t="shared" ref="P29:S29" si="29">(P23/1000)*P31</f>
        <v>1614.871989512395</v>
      </c>
      <c r="Q29" s="93">
        <f t="shared" si="29"/>
        <v>1653.5814210257067</v>
      </c>
      <c r="R29" s="93">
        <f t="shared" si="29"/>
        <v>1683.6465377716283</v>
      </c>
      <c r="S29" s="93">
        <f t="shared" si="29"/>
        <v>1704.4290497222469</v>
      </c>
    </row>
    <row r="30" spans="1:27" x14ac:dyDescent="0.2">
      <c r="B30" s="64" t="s">
        <v>183</v>
      </c>
      <c r="C30" s="110"/>
      <c r="D30" s="110">
        <f>D29/C29-1</f>
        <v>-0.10810810810810811</v>
      </c>
      <c r="E30" s="110">
        <f>E29/D29-1</f>
        <v>0.43939393939393945</v>
      </c>
      <c r="F30" s="110">
        <f>F29/E29-1</f>
        <v>4.5112781954887327E-2</v>
      </c>
      <c r="G30" s="110">
        <f>G29/F29-1</f>
        <v>0.24460431654676262</v>
      </c>
      <c r="H30" s="110">
        <f t="shared" ref="H30:L30" si="30">H29/G29-1</f>
        <v>0.14219653179190761</v>
      </c>
      <c r="I30" s="110">
        <f t="shared" si="30"/>
        <v>0.2004048582995952</v>
      </c>
      <c r="J30" s="110">
        <f t="shared" si="30"/>
        <v>0.29763912310286678</v>
      </c>
      <c r="K30" s="110">
        <f t="shared" si="30"/>
        <v>0.37296946068875902</v>
      </c>
      <c r="L30" s="110">
        <f t="shared" si="30"/>
        <v>-0.21911973497397064</v>
      </c>
      <c r="M30" s="110">
        <f t="shared" ref="M30" si="31">M29/L29-1</f>
        <v>-0.13393939393939391</v>
      </c>
      <c r="N30" s="110">
        <f t="shared" ref="N30" si="32">N29/M29-1</f>
        <v>-7.3477956613016149E-2</v>
      </c>
      <c r="O30" s="110">
        <f>O29/N29-1</f>
        <v>8.2967223066948037E-2</v>
      </c>
      <c r="P30" s="110">
        <f t="shared" ref="P30:S30" si="33">P29/O29-1</f>
        <v>0.1262500000000002</v>
      </c>
      <c r="Q30" s="110">
        <f t="shared" si="33"/>
        <v>2.3970588235294077E-2</v>
      </c>
      <c r="R30" s="110">
        <f t="shared" si="33"/>
        <v>1.8181818181818077E-2</v>
      </c>
      <c r="S30" s="110">
        <f t="shared" si="33"/>
        <v>1.2343750000000098E-2</v>
      </c>
    </row>
    <row r="31" spans="1:27" x14ac:dyDescent="0.2">
      <c r="B31" s="64" t="s">
        <v>184</v>
      </c>
      <c r="C31" s="110">
        <f t="shared" ref="C31:G31" si="34">C29/(C23/1000)</f>
        <v>9.1345651946967324E-2</v>
      </c>
      <c r="D31" s="111">
        <f t="shared" si="34"/>
        <v>7.8624248534142988E-2</v>
      </c>
      <c r="E31" s="111">
        <f t="shared" si="34"/>
        <v>0.10898619686965355</v>
      </c>
      <c r="F31" s="111">
        <f t="shared" si="34"/>
        <v>0.1098918161168612</v>
      </c>
      <c r="G31" s="111">
        <f t="shared" si="34"/>
        <v>0.13147344870922673</v>
      </c>
      <c r="H31" s="111">
        <f>H29/(H23/1000)</f>
        <v>0.14425410916152301</v>
      </c>
      <c r="I31" s="111">
        <f>I29/(I23/1000)</f>
        <v>0.16398041581617381</v>
      </c>
      <c r="J31" s="111">
        <f t="shared" ref="J31:L31" si="35">J29/(J23/1000)</f>
        <v>0.20226938628524188</v>
      </c>
      <c r="K31" s="111">
        <f t="shared" si="35"/>
        <v>0.26323195269648308</v>
      </c>
      <c r="L31" s="111">
        <f t="shared" si="35"/>
        <v>0.19898608749575045</v>
      </c>
      <c r="M31" s="235">
        <f>M29/(M23/1000)</f>
        <v>0.1732000115921592</v>
      </c>
      <c r="N31" s="235">
        <f t="shared" ref="N31" si="36">N29/(N23/1000)</f>
        <v>0.15439063753609453</v>
      </c>
      <c r="O31" s="108">
        <v>0.16</v>
      </c>
      <c r="P31" s="108">
        <v>0.17</v>
      </c>
      <c r="Q31" s="108">
        <v>0.16500000000000001</v>
      </c>
      <c r="R31" s="108">
        <v>0.16</v>
      </c>
      <c r="S31" s="108">
        <v>0.155</v>
      </c>
    </row>
    <row r="32" spans="1:27" x14ac:dyDescent="0.2">
      <c r="B32" s="65" t="s">
        <v>185</v>
      </c>
      <c r="C32" s="82"/>
      <c r="D32" s="81">
        <v>173.149</v>
      </c>
      <c r="E32" s="81">
        <v>176.166</v>
      </c>
      <c r="F32" s="81">
        <v>184.35</v>
      </c>
      <c r="G32" s="81">
        <v>188.02</v>
      </c>
      <c r="H32" s="92">
        <v>191.71</v>
      </c>
      <c r="I32" s="83">
        <v>195.4</v>
      </c>
      <c r="J32" s="83">
        <v>207.77353099999999</v>
      </c>
      <c r="K32" s="83">
        <v>211.92900162000001</v>
      </c>
      <c r="L32" s="83">
        <v>216.1675816524</v>
      </c>
      <c r="M32" s="82">
        <v>225</v>
      </c>
      <c r="N32" s="83">
        <f>M32*(1+N33)</f>
        <v>229.95000000000002</v>
      </c>
      <c r="O32" s="83">
        <f>N32*(1+O33)</f>
        <v>235.69874999999999</v>
      </c>
      <c r="P32" s="83">
        <f t="shared" ref="P32:S32" si="37">O32*(1+P33)</f>
        <v>241.59121874999997</v>
      </c>
      <c r="Q32" s="83">
        <f t="shared" si="37"/>
        <v>247.63099921874993</v>
      </c>
      <c r="R32" s="83">
        <f t="shared" si="37"/>
        <v>253.82177419921865</v>
      </c>
      <c r="S32" s="83">
        <f t="shared" si="37"/>
        <v>260.16731855419908</v>
      </c>
    </row>
    <row r="33" spans="2:20" x14ac:dyDescent="0.2">
      <c r="B33" s="65" t="s">
        <v>186</v>
      </c>
      <c r="C33" s="112"/>
      <c r="D33" s="112"/>
      <c r="E33" s="112">
        <f t="shared" ref="E33:L33" si="38">E32/D32-1</f>
        <v>1.742429930291256E-2</v>
      </c>
      <c r="F33" s="112">
        <f t="shared" si="38"/>
        <v>4.6456183372501014E-2</v>
      </c>
      <c r="G33" s="112">
        <f t="shared" si="38"/>
        <v>1.9907784106319548E-2</v>
      </c>
      <c r="H33" s="112">
        <f t="shared" si="38"/>
        <v>1.962557174768631E-2</v>
      </c>
      <c r="I33" s="112">
        <f t="shared" si="38"/>
        <v>1.924782223149557E-2</v>
      </c>
      <c r="J33" s="112">
        <f t="shared" si="38"/>
        <v>6.3324109518935412E-2</v>
      </c>
      <c r="K33" s="112">
        <f t="shared" si="38"/>
        <v>2.0000000000000018E-2</v>
      </c>
      <c r="L33" s="112">
        <f t="shared" si="38"/>
        <v>2.0000000000000018E-2</v>
      </c>
      <c r="M33" s="112">
        <f>M32/L32-1</f>
        <v>4.0859125499227877E-2</v>
      </c>
      <c r="N33" s="113">
        <v>2.1999999999999999E-2</v>
      </c>
      <c r="O33" s="113">
        <v>2.5000000000000001E-2</v>
      </c>
      <c r="P33" s="113">
        <v>2.5000000000000001E-2</v>
      </c>
      <c r="Q33" s="113">
        <v>2.5000000000000001E-2</v>
      </c>
      <c r="R33" s="113">
        <v>2.5000000000000001E-2</v>
      </c>
      <c r="S33" s="113">
        <v>2.5000000000000001E-2</v>
      </c>
    </row>
    <row r="34" spans="2:20" x14ac:dyDescent="0.2">
      <c r="B34" s="66" t="s">
        <v>187</v>
      </c>
      <c r="C34" s="93"/>
      <c r="D34" s="93">
        <f t="shared" ref="D34:G34" si="39">D23/D32</f>
        <v>33936.377348988441</v>
      </c>
      <c r="E34" s="93">
        <f t="shared" si="39"/>
        <v>34636.025759689386</v>
      </c>
      <c r="F34" s="93">
        <f t="shared" si="39"/>
        <v>34306.49201595749</v>
      </c>
      <c r="G34" s="93">
        <f t="shared" si="39"/>
        <v>34992.42206046365</v>
      </c>
      <c r="H34" s="93">
        <v>35725.968800983348</v>
      </c>
      <c r="I34" s="93">
        <v>37014.180683988554</v>
      </c>
      <c r="J34" s="93">
        <v>36619.989832801344</v>
      </c>
      <c r="K34" s="93">
        <v>37876.558111377861</v>
      </c>
      <c r="L34" s="93">
        <v>38359.298557895418</v>
      </c>
      <c r="M34" s="233">
        <f>M23/M32</f>
        <v>36669.230288888888</v>
      </c>
      <c r="N34" s="93">
        <f>N23/N32</f>
        <v>37293.540080500112</v>
      </c>
      <c r="O34" s="93">
        <f>O23/O32</f>
        <v>38021.218911339136</v>
      </c>
      <c r="P34" s="93">
        <f t="shared" ref="P34:S34" si="40">P23/P32</f>
        <v>39319.504435140967</v>
      </c>
      <c r="Q34" s="93">
        <f t="shared" si="40"/>
        <v>40470.31919909631</v>
      </c>
      <c r="R34" s="93">
        <f t="shared" si="40"/>
        <v>41457.400155171839</v>
      </c>
      <c r="S34" s="93">
        <f t="shared" si="40"/>
        <v>42266.325036248367</v>
      </c>
      <c r="T34" s="631" t="s">
        <v>361</v>
      </c>
    </row>
    <row r="35" spans="2:20" x14ac:dyDescent="0.2">
      <c r="B35" s="66" t="s">
        <v>224</v>
      </c>
      <c r="C35" s="110"/>
      <c r="D35" s="110"/>
      <c r="E35" s="110">
        <f t="shared" ref="E35:G35" si="41">E34/D34-1</f>
        <v>2.0616473099236199E-2</v>
      </c>
      <c r="F35" s="110">
        <f t="shared" si="41"/>
        <v>-9.5141903986980525E-3</v>
      </c>
      <c r="G35" s="110">
        <f t="shared" si="41"/>
        <v>1.9994176151473031E-2</v>
      </c>
      <c r="H35" s="246">
        <f>H34/G34-1</f>
        <v>2.0963017057012978E-2</v>
      </c>
      <c r="I35" s="246">
        <f t="shared" ref="I35:M35" si="42">I34/H34-1</f>
        <v>3.605813715455497E-2</v>
      </c>
      <c r="J35" s="246">
        <f t="shared" si="42"/>
        <v>-1.0649725156762102E-2</v>
      </c>
      <c r="K35" s="246">
        <f t="shared" si="42"/>
        <v>3.4313725490196179E-2</v>
      </c>
      <c r="L35" s="246">
        <f t="shared" si="42"/>
        <v>1.2745098039215641E-2</v>
      </c>
      <c r="M35" s="246">
        <f t="shared" si="42"/>
        <v>-4.4058893998171533E-2</v>
      </c>
      <c r="N35" s="246">
        <f t="shared" ref="N35" si="43">N34/M34-1</f>
        <v>1.7025440313111595E-2</v>
      </c>
      <c r="O35" s="246">
        <f>O34/N34-1</f>
        <v>1.9512195121951237E-2</v>
      </c>
      <c r="P35" s="246">
        <f t="shared" ref="P35:S35" si="44">P34/O34-1</f>
        <v>3.4146341463414887E-2</v>
      </c>
      <c r="Q35" s="246">
        <f t="shared" si="44"/>
        <v>2.9268292682926855E-2</v>
      </c>
      <c r="R35" s="246">
        <f t="shared" si="44"/>
        <v>2.4390243902439268E-2</v>
      </c>
      <c r="S35" s="246">
        <f t="shared" si="44"/>
        <v>1.9512195121951237E-2</v>
      </c>
    </row>
    <row r="36" spans="2:20" x14ac:dyDescent="0.2">
      <c r="B36" s="66" t="s">
        <v>188</v>
      </c>
      <c r="C36" s="93">
        <v>1046</v>
      </c>
      <c r="D36" s="93">
        <v>1213</v>
      </c>
      <c r="E36" s="93">
        <v>1372</v>
      </c>
      <c r="F36" s="93">
        <v>1403.7857142857099</v>
      </c>
      <c r="G36" s="93">
        <v>1489.2380952381</v>
      </c>
      <c r="H36" s="93">
        <v>1514</v>
      </c>
      <c r="I36" s="93">
        <v>1529</v>
      </c>
      <c r="J36" s="234">
        <v>1630</v>
      </c>
      <c r="K36" s="234">
        <v>1652</v>
      </c>
      <c r="L36" s="234">
        <v>1497</v>
      </c>
      <c r="M36" s="234">
        <f>M25/M32/M21</f>
        <v>1263.9473544973548</v>
      </c>
      <c r="N36" s="234">
        <f>N25/N32/N21</f>
        <v>1483.8614823805949</v>
      </c>
      <c r="O36" s="234">
        <f>O25/O32/O21</f>
        <v>1528.0958355138919</v>
      </c>
      <c r="P36" s="234">
        <f t="shared" ref="P36:S36" si="45">P25/P32/P21</f>
        <v>1601.2567020741776</v>
      </c>
      <c r="Q36" s="234">
        <f t="shared" si="45"/>
        <v>1663.9264198524641</v>
      </c>
      <c r="R36" s="234">
        <f t="shared" si="45"/>
        <v>1721.9571338340979</v>
      </c>
      <c r="S36" s="234">
        <f t="shared" si="45"/>
        <v>1767.1258207317251</v>
      </c>
      <c r="T36" s="631" t="s">
        <v>362</v>
      </c>
    </row>
    <row r="37" spans="2:20" x14ac:dyDescent="0.2">
      <c r="B37" s="66" t="s">
        <v>224</v>
      </c>
      <c r="C37" s="115"/>
      <c r="D37" s="115">
        <f t="shared" ref="D37:G37" si="46">D36/C36-1</f>
        <v>0.15965583173996167</v>
      </c>
      <c r="E37" s="115">
        <f t="shared" si="46"/>
        <v>0.13107996702390756</v>
      </c>
      <c r="F37" s="115">
        <f t="shared" si="46"/>
        <v>2.3167430237397868E-2</v>
      </c>
      <c r="G37" s="115">
        <f t="shared" si="46"/>
        <v>6.087280991876387E-2</v>
      </c>
      <c r="H37" s="247">
        <f>H36/G36-1</f>
        <v>1.6627230287136197E-2</v>
      </c>
      <c r="I37" s="247">
        <f t="shared" ref="I37:L37" si="47">I36/H36-1</f>
        <v>9.9075297225892367E-3</v>
      </c>
      <c r="J37" s="247">
        <f t="shared" si="47"/>
        <v>6.6056245912361033E-2</v>
      </c>
      <c r="K37" s="247">
        <f t="shared" si="47"/>
        <v>1.3496932515337345E-2</v>
      </c>
      <c r="L37" s="247">
        <f t="shared" si="47"/>
        <v>-9.38256658595642E-2</v>
      </c>
      <c r="M37" s="247">
        <f t="shared" ref="M37" si="48">M36/L36-1</f>
        <v>-0.1556797899149267</v>
      </c>
      <c r="N37" s="247">
        <f t="shared" ref="N37" si="49">N36/M36-1</f>
        <v>0.17398994277787416</v>
      </c>
      <c r="O37" s="247">
        <f>O36/N36-1</f>
        <v>2.9810298102981081E-2</v>
      </c>
      <c r="P37" s="247">
        <f t="shared" ref="P37:S37" si="50">P36/O36-1</f>
        <v>4.7877145438121049E-2</v>
      </c>
      <c r="Q37" s="247">
        <f t="shared" si="50"/>
        <v>3.9137833238797715E-2</v>
      </c>
      <c r="R37" s="247">
        <f t="shared" si="50"/>
        <v>3.4875769318440941E-2</v>
      </c>
      <c r="S37" s="247">
        <f t="shared" si="50"/>
        <v>2.623101702715136E-2</v>
      </c>
    </row>
    <row r="38" spans="2:20" x14ac:dyDescent="0.2">
      <c r="B38" s="66"/>
      <c r="C38" s="115"/>
      <c r="D38" s="115"/>
      <c r="E38" s="115"/>
      <c r="F38" s="115"/>
      <c r="G38" s="115"/>
      <c r="H38" s="115"/>
      <c r="I38" s="115"/>
      <c r="J38" s="115"/>
      <c r="K38" s="115"/>
      <c r="L38" s="234"/>
      <c r="M38" s="248"/>
      <c r="N38" s="115"/>
      <c r="O38" s="115"/>
      <c r="P38" s="115"/>
      <c r="Q38" s="115"/>
      <c r="R38" s="115"/>
      <c r="S38" s="115"/>
    </row>
    <row r="39" spans="2:20" x14ac:dyDescent="0.2">
      <c r="B39" s="80" t="s">
        <v>225</v>
      </c>
      <c r="C39" s="105"/>
      <c r="D39" s="105"/>
      <c r="E39" s="105"/>
      <c r="F39" s="105"/>
      <c r="G39" s="105"/>
      <c r="H39" s="105"/>
    </row>
    <row r="40" spans="2:20" x14ac:dyDescent="0.2">
      <c r="C40" s="105"/>
      <c r="D40" s="105"/>
      <c r="E40" s="105"/>
      <c r="F40" s="105"/>
      <c r="G40" s="105"/>
      <c r="H40" s="105"/>
    </row>
    <row r="41" spans="2:20" x14ac:dyDescent="0.2">
      <c r="B41" s="249" t="s">
        <v>365</v>
      </c>
      <c r="C41" s="250">
        <v>23.537884999999999</v>
      </c>
      <c r="D41" s="251">
        <f t="shared" ref="D41:G41" si="51">D7</f>
        <v>22.001000000000001</v>
      </c>
      <c r="E41" s="251">
        <f t="shared" si="51"/>
        <v>23.95</v>
      </c>
      <c r="F41" s="251">
        <f t="shared" si="51"/>
        <v>25.06</v>
      </c>
      <c r="G41" s="251">
        <f t="shared" si="51"/>
        <v>26.15</v>
      </c>
      <c r="H41" s="241">
        <f t="shared" ref="H41:M41" si="52">H7</f>
        <v>28.2</v>
      </c>
      <c r="I41" s="241">
        <f t="shared" si="52"/>
        <v>33</v>
      </c>
      <c r="J41" s="241">
        <f t="shared" si="52"/>
        <v>35.65</v>
      </c>
      <c r="K41" s="241">
        <f t="shared" si="52"/>
        <v>41.15</v>
      </c>
      <c r="L41" s="241">
        <f t="shared" si="52"/>
        <v>40.35</v>
      </c>
      <c r="M41" s="241">
        <f t="shared" si="52"/>
        <v>39.97</v>
      </c>
      <c r="N41" s="241">
        <f t="shared" ref="N41" si="53">N7</f>
        <v>48.118941999999997</v>
      </c>
      <c r="O41" s="117">
        <f>O60</f>
        <v>47.486241116306424</v>
      </c>
      <c r="P41" s="117">
        <f t="shared" ref="P41:S41" si="54">P60</f>
        <v>52.62440681701743</v>
      </c>
      <c r="Q41" s="117">
        <f t="shared" si="54"/>
        <v>57.397554159054486</v>
      </c>
      <c r="R41" s="117">
        <f t="shared" si="54"/>
        <v>62.117361538138454</v>
      </c>
      <c r="S41" s="117">
        <f t="shared" si="54"/>
        <v>66.544018272647207</v>
      </c>
    </row>
    <row r="42" spans="2:20" x14ac:dyDescent="0.2">
      <c r="B42" s="64" t="s">
        <v>221</v>
      </c>
      <c r="C42" s="111" t="e">
        <f>C41/#REF!-1</f>
        <v>#REF!</v>
      </c>
      <c r="D42" s="111">
        <f t="shared" ref="D42:G42" si="55">D41/C41-1</f>
        <v>-6.5294099278673468E-2</v>
      </c>
      <c r="E42" s="111">
        <f t="shared" si="55"/>
        <v>8.8586882414435575E-2</v>
      </c>
      <c r="F42" s="111">
        <f t="shared" si="55"/>
        <v>4.6346555323590888E-2</v>
      </c>
      <c r="G42" s="111">
        <f t="shared" si="55"/>
        <v>4.3495610534716622E-2</v>
      </c>
      <c r="H42" s="111">
        <f t="shared" ref="H42" si="56">H41/G41-1</f>
        <v>7.8393881453154846E-2</v>
      </c>
      <c r="I42" s="111">
        <f t="shared" ref="I42" si="57">I41/H41-1</f>
        <v>0.17021276595744683</v>
      </c>
      <c r="J42" s="111">
        <f t="shared" ref="J42" si="58">J41/I41-1</f>
        <v>8.0303030303030321E-2</v>
      </c>
      <c r="K42" s="111">
        <f t="shared" ref="K42" si="59">K41/J41-1</f>
        <v>0.15427769985974749</v>
      </c>
      <c r="L42" s="111">
        <f t="shared" ref="L42" si="60">L41/K41-1</f>
        <v>-1.9441069258809174E-2</v>
      </c>
      <c r="M42" s="111">
        <f t="shared" ref="M42:N42" si="61">M41/L41-1</f>
        <v>-9.417596034696496E-3</v>
      </c>
      <c r="N42" s="111">
        <f t="shared" si="61"/>
        <v>0.20387645734300719</v>
      </c>
      <c r="O42" s="111">
        <f>O41/N41-1</f>
        <v>-1.3148686512965635E-2</v>
      </c>
      <c r="P42" s="111">
        <f t="shared" ref="P42:S42" si="62">P41/O41-1</f>
        <v>0.10820325171929857</v>
      </c>
      <c r="Q42" s="111">
        <f t="shared" si="62"/>
        <v>9.0702159525217541E-2</v>
      </c>
      <c r="R42" s="111">
        <f t="shared" si="62"/>
        <v>8.2230113255434167E-2</v>
      </c>
      <c r="S42" s="111">
        <f t="shared" si="62"/>
        <v>7.1262793925831902E-2</v>
      </c>
      <c r="T42" s="631" t="s">
        <v>350</v>
      </c>
    </row>
    <row r="43" spans="2:20" x14ac:dyDescent="0.2">
      <c r="B43" s="64" t="s">
        <v>366</v>
      </c>
      <c r="C43" s="241">
        <v>10.675000000000001</v>
      </c>
      <c r="D43" s="241">
        <f t="shared" ref="D43:G43" si="63">D8</f>
        <v>9.4269999999999996</v>
      </c>
      <c r="E43" s="241">
        <f t="shared" si="63"/>
        <v>8.57</v>
      </c>
      <c r="F43" s="241">
        <f t="shared" si="63"/>
        <v>8.3699999999999992</v>
      </c>
      <c r="G43" s="241">
        <f t="shared" si="63"/>
        <v>8.14</v>
      </c>
      <c r="H43" s="241">
        <f t="shared" ref="H43:M43" si="64">H8</f>
        <v>7.2</v>
      </c>
      <c r="I43" s="241">
        <f t="shared" si="64"/>
        <v>5.87</v>
      </c>
      <c r="J43" s="241">
        <f t="shared" si="64"/>
        <v>4.66</v>
      </c>
      <c r="K43" s="241">
        <f t="shared" si="64"/>
        <v>4.75</v>
      </c>
      <c r="L43" s="241">
        <f t="shared" si="64"/>
        <v>6.54</v>
      </c>
      <c r="M43" s="241">
        <f t="shared" si="64"/>
        <v>7.85</v>
      </c>
      <c r="N43" s="241">
        <f t="shared" ref="N43" si="65">N8</f>
        <v>9.3138319999999997</v>
      </c>
      <c r="O43" s="117">
        <f>N43*(O44+1)</f>
        <v>10.710906799999998</v>
      </c>
      <c r="P43" s="117">
        <f t="shared" ref="P43:S43" si="66">O43*(P44+1)</f>
        <v>12.210433752</v>
      </c>
      <c r="Q43" s="117">
        <f t="shared" si="66"/>
        <v>13.85884230852</v>
      </c>
      <c r="R43" s="117">
        <f t="shared" si="66"/>
        <v>15.660491808627599</v>
      </c>
      <c r="S43" s="117">
        <f t="shared" si="66"/>
        <v>17.61805328470605</v>
      </c>
    </row>
    <row r="44" spans="2:20" x14ac:dyDescent="0.2">
      <c r="B44" s="64" t="s">
        <v>203</v>
      </c>
      <c r="C44" s="107" t="e">
        <f>C43/#REF!-1</f>
        <v>#REF!</v>
      </c>
      <c r="D44" s="107">
        <f>D43/C43-1</f>
        <v>-0.11690866510538656</v>
      </c>
      <c r="E44" s="107">
        <f>E43/D43-1</f>
        <v>-9.0909090909090828E-2</v>
      </c>
      <c r="F44" s="107">
        <f>F43/E43-1</f>
        <v>-2.3337222870478569E-2</v>
      </c>
      <c r="G44" s="107">
        <f>G43/F43-1</f>
        <v>-2.7479091995220917E-2</v>
      </c>
      <c r="H44" s="107">
        <f t="shared" ref="H44:N44" si="67">H43/G43-1</f>
        <v>-0.11547911547911549</v>
      </c>
      <c r="I44" s="107">
        <f t="shared" si="67"/>
        <v>-0.18472222222222223</v>
      </c>
      <c r="J44" s="107">
        <f t="shared" si="67"/>
        <v>-0.20613287904599653</v>
      </c>
      <c r="K44" s="107">
        <f t="shared" si="67"/>
        <v>1.93133047210301E-2</v>
      </c>
      <c r="L44" s="107">
        <f t="shared" si="67"/>
        <v>0.37684210526315787</v>
      </c>
      <c r="M44" s="107">
        <f t="shared" si="67"/>
        <v>0.20030581039755346</v>
      </c>
      <c r="N44" s="107">
        <f t="shared" si="67"/>
        <v>0.18647541401273893</v>
      </c>
      <c r="O44" s="114">
        <v>0.15</v>
      </c>
      <c r="P44" s="323">
        <v>0.14000000000000001</v>
      </c>
      <c r="Q44" s="323">
        <v>0.13500000000000001</v>
      </c>
      <c r="R44" s="323">
        <v>0.13</v>
      </c>
      <c r="S44" s="323">
        <v>0.125</v>
      </c>
      <c r="T44" s="631" t="s">
        <v>351</v>
      </c>
    </row>
    <row r="45" spans="2:20" x14ac:dyDescent="0.2">
      <c r="B45" s="64" t="s">
        <v>367</v>
      </c>
      <c r="C45" s="116">
        <f t="shared" ref="C45" si="68">C41+C43</f>
        <v>34.212885</v>
      </c>
      <c r="D45" s="116">
        <f>D41+D43</f>
        <v>31.428000000000001</v>
      </c>
      <c r="E45" s="116">
        <f>E41+E43</f>
        <v>32.519999999999996</v>
      </c>
      <c r="F45" s="116">
        <f>F41+F43</f>
        <v>33.43</v>
      </c>
      <c r="G45" s="116">
        <f>G41+G43</f>
        <v>34.29</v>
      </c>
      <c r="H45" s="116">
        <f t="shared" ref="H45:M45" si="69">H41+H43</f>
        <v>35.4</v>
      </c>
      <c r="I45" s="116">
        <f t="shared" si="69"/>
        <v>38.869999999999997</v>
      </c>
      <c r="J45" s="116">
        <f t="shared" si="69"/>
        <v>40.31</v>
      </c>
      <c r="K45" s="116">
        <f t="shared" si="69"/>
        <v>45.9</v>
      </c>
      <c r="L45" s="116">
        <f t="shared" si="69"/>
        <v>46.89</v>
      </c>
      <c r="M45" s="116">
        <f t="shared" si="69"/>
        <v>47.82</v>
      </c>
      <c r="N45" s="116">
        <f t="shared" ref="N45" si="70">N41+N43</f>
        <v>57.432773999999995</v>
      </c>
      <c r="O45" s="117">
        <f>O43+O41</f>
        <v>58.19714791630642</v>
      </c>
      <c r="P45" s="117">
        <f t="shared" ref="P45:S45" si="71">P43+P41</f>
        <v>64.83484056901743</v>
      </c>
      <c r="Q45" s="117">
        <f t="shared" si="71"/>
        <v>71.25639646757449</v>
      </c>
      <c r="R45" s="117">
        <f t="shared" si="71"/>
        <v>77.777853346766051</v>
      </c>
      <c r="S45" s="117">
        <f t="shared" si="71"/>
        <v>84.162071557353258</v>
      </c>
      <c r="T45" s="631" t="s">
        <v>368</v>
      </c>
    </row>
    <row r="46" spans="2:20" x14ac:dyDescent="0.2">
      <c r="C46" s="111"/>
      <c r="D46" s="111"/>
      <c r="E46" s="111"/>
      <c r="F46" s="111"/>
      <c r="G46" s="111"/>
      <c r="H46" s="111"/>
      <c r="I46" s="111"/>
      <c r="J46" s="111"/>
      <c r="K46" s="116"/>
      <c r="L46" s="116"/>
      <c r="M46" s="235"/>
      <c r="N46" s="235"/>
      <c r="O46" s="235"/>
      <c r="P46" s="235"/>
      <c r="Q46" s="235"/>
      <c r="R46" s="235"/>
      <c r="S46" s="235"/>
    </row>
    <row r="47" spans="2:20" x14ac:dyDescent="0.2">
      <c r="B47" s="64" t="s">
        <v>208</v>
      </c>
      <c r="C47" s="111">
        <f t="shared" ref="C47:M47" si="72">C45/C4</f>
        <v>0.75625298408488062</v>
      </c>
      <c r="D47" s="111">
        <f t="shared" si="72"/>
        <v>0.74168121961580213</v>
      </c>
      <c r="E47" s="111">
        <f t="shared" si="72"/>
        <v>0.72849462365591389</v>
      </c>
      <c r="F47" s="111">
        <f t="shared" si="72"/>
        <v>0.74871220604703248</v>
      </c>
      <c r="G47" s="111">
        <f t="shared" si="72"/>
        <v>0.76814516129032251</v>
      </c>
      <c r="H47" s="111">
        <f t="shared" si="72"/>
        <v>0.77597544936431395</v>
      </c>
      <c r="I47" s="111">
        <f t="shared" si="72"/>
        <v>0.85203857957036389</v>
      </c>
      <c r="J47" s="111">
        <f t="shared" si="72"/>
        <v>0.86893727096356976</v>
      </c>
      <c r="K47" s="111">
        <f t="shared" si="72"/>
        <v>0.77324797843665771</v>
      </c>
      <c r="L47" s="111">
        <f t="shared" si="72"/>
        <v>0.78608549874266553</v>
      </c>
      <c r="M47" s="111">
        <f t="shared" si="72"/>
        <v>0.75153229608675154</v>
      </c>
      <c r="N47" s="111">
        <f t="shared" ref="N47" si="73">N45/N4</f>
        <v>0.82950686227428139</v>
      </c>
      <c r="O47" s="111">
        <f>O45/O4</f>
        <v>0.80052074798446005</v>
      </c>
      <c r="P47" s="111">
        <f t="shared" ref="P47:S47" si="74">P45/P4</f>
        <v>0.84935654762756585</v>
      </c>
      <c r="Q47" s="111">
        <f t="shared" si="74"/>
        <v>0.88902945169769587</v>
      </c>
      <c r="R47" s="111">
        <f t="shared" si="74"/>
        <v>0.92418506558802482</v>
      </c>
      <c r="S47" s="111">
        <f t="shared" si="74"/>
        <v>0.95242351897825384</v>
      </c>
      <c r="T47" s="631" t="s">
        <v>354</v>
      </c>
    </row>
    <row r="48" spans="2:20" x14ac:dyDescent="0.2"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</row>
    <row r="49" spans="2:21" x14ac:dyDescent="0.2">
      <c r="B49" s="80" t="s">
        <v>202</v>
      </c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</row>
    <row r="50" spans="2:21" x14ac:dyDescent="0.2">
      <c r="B50" s="64" t="s">
        <v>114</v>
      </c>
      <c r="C50" s="110">
        <f t="shared" ref="C50:N50" si="75">1-C51</f>
        <v>0.68798305083011857</v>
      </c>
      <c r="D50" s="110">
        <f t="shared" si="75"/>
        <v>0.70004454626447754</v>
      </c>
      <c r="E50" s="110">
        <f t="shared" si="75"/>
        <v>0.73646986469864695</v>
      </c>
      <c r="F50" s="110">
        <f t="shared" si="75"/>
        <v>0.74962608435536948</v>
      </c>
      <c r="G50" s="110">
        <f t="shared" si="75"/>
        <v>0.76261300670749488</v>
      </c>
      <c r="H50" s="110">
        <f t="shared" si="75"/>
        <v>0.79661016949152541</v>
      </c>
      <c r="I50" s="110">
        <f t="shared" si="75"/>
        <v>0.84898379212760489</v>
      </c>
      <c r="J50" s="110">
        <f t="shared" si="75"/>
        <v>0.88439593153063756</v>
      </c>
      <c r="K50" s="110">
        <f t="shared" si="75"/>
        <v>0.89651416122004357</v>
      </c>
      <c r="L50" s="110">
        <f t="shared" si="75"/>
        <v>0.86052463211772234</v>
      </c>
      <c r="M50" s="110">
        <f t="shared" si="75"/>
        <v>0.83584274362191557</v>
      </c>
      <c r="N50" s="110">
        <f t="shared" si="75"/>
        <v>0.83783071317432789</v>
      </c>
      <c r="O50" s="110"/>
      <c r="P50" s="110"/>
      <c r="Q50" s="110"/>
      <c r="R50" s="110"/>
      <c r="S50" s="110"/>
      <c r="T50" s="631" t="s">
        <v>352</v>
      </c>
    </row>
    <row r="51" spans="2:21" x14ac:dyDescent="0.2">
      <c r="B51" s="64" t="s">
        <v>94</v>
      </c>
      <c r="C51" s="110">
        <f t="shared" ref="C51:G51" si="76">C43/C45</f>
        <v>0.31201694916988149</v>
      </c>
      <c r="D51" s="110">
        <f t="shared" si="76"/>
        <v>0.29995545373552246</v>
      </c>
      <c r="E51" s="110">
        <f t="shared" si="76"/>
        <v>0.26353013530135305</v>
      </c>
      <c r="F51" s="110">
        <f t="shared" si="76"/>
        <v>0.25037391564463057</v>
      </c>
      <c r="G51" s="110">
        <f t="shared" si="76"/>
        <v>0.23738699329250512</v>
      </c>
      <c r="H51" s="110">
        <f t="shared" ref="H51:M51" si="77">H43/H45</f>
        <v>0.20338983050847459</v>
      </c>
      <c r="I51" s="110">
        <f t="shared" si="77"/>
        <v>0.15101620787239517</v>
      </c>
      <c r="J51" s="110">
        <f t="shared" si="77"/>
        <v>0.11560406846936244</v>
      </c>
      <c r="K51" s="110">
        <f t="shared" si="77"/>
        <v>0.10348583877995643</v>
      </c>
      <c r="L51" s="110">
        <f t="shared" si="77"/>
        <v>0.13947536788227766</v>
      </c>
      <c r="M51" s="110">
        <f t="shared" si="77"/>
        <v>0.16415725637808448</v>
      </c>
      <c r="N51" s="110">
        <f t="shared" ref="N51" si="78">N43/N45</f>
        <v>0.16216928682567205</v>
      </c>
      <c r="O51" s="110"/>
      <c r="P51" s="110"/>
      <c r="Q51" s="110"/>
      <c r="R51" s="110"/>
      <c r="S51" s="110"/>
      <c r="T51" s="631" t="s">
        <v>353</v>
      </c>
    </row>
    <row r="52" spans="2:21" x14ac:dyDescent="0.2"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</row>
    <row r="53" spans="2:21" x14ac:dyDescent="0.2">
      <c r="B53" s="80" t="s">
        <v>220</v>
      </c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</row>
    <row r="54" spans="2:21" x14ac:dyDescent="0.2">
      <c r="B54" s="64" t="s">
        <v>221</v>
      </c>
      <c r="C54" s="110" t="e">
        <f>C41/#REF!-1</f>
        <v>#REF!</v>
      </c>
      <c r="D54" s="110">
        <f t="shared" ref="D54:G54" si="79">D41/C41-1</f>
        <v>-6.5294099278673468E-2</v>
      </c>
      <c r="E54" s="110">
        <f t="shared" si="79"/>
        <v>8.8586882414435575E-2</v>
      </c>
      <c r="F54" s="110">
        <f t="shared" si="79"/>
        <v>4.6346555323590888E-2</v>
      </c>
      <c r="G54" s="110">
        <f t="shared" si="79"/>
        <v>4.3495610534716622E-2</v>
      </c>
      <c r="H54" s="110">
        <f t="shared" ref="H54" si="80">H41/G41-1</f>
        <v>7.8393881453154846E-2</v>
      </c>
      <c r="I54" s="110">
        <f t="shared" ref="I54" si="81">I41/H41-1</f>
        <v>0.17021276595744683</v>
      </c>
      <c r="J54" s="110">
        <f t="shared" ref="J54" si="82">J41/I41-1</f>
        <v>8.0303030303030321E-2</v>
      </c>
      <c r="K54" s="110">
        <f t="shared" ref="K54" si="83">K41/J41-1</f>
        <v>0.15427769985974749</v>
      </c>
      <c r="L54" s="110">
        <f t="shared" ref="L54" si="84">L41/K41-1</f>
        <v>-1.9441069258809174E-2</v>
      </c>
      <c r="M54" s="110">
        <f t="shared" ref="M54:N54" si="85">M41/L41-1</f>
        <v>-9.417596034696496E-3</v>
      </c>
      <c r="N54" s="110">
        <f t="shared" si="85"/>
        <v>0.20387645734300719</v>
      </c>
      <c r="O54" s="110"/>
      <c r="P54" s="110"/>
      <c r="Q54" s="110"/>
      <c r="R54" s="110"/>
      <c r="S54" s="110"/>
    </row>
    <row r="55" spans="2:21" x14ac:dyDescent="0.2">
      <c r="B55" s="64" t="s">
        <v>222</v>
      </c>
      <c r="C55" s="110" t="e">
        <f>C43/#REF!-1</f>
        <v>#REF!</v>
      </c>
      <c r="D55" s="110">
        <f t="shared" ref="D55:G55" si="86">D43/C43-1</f>
        <v>-0.11690866510538656</v>
      </c>
      <c r="E55" s="110">
        <f t="shared" si="86"/>
        <v>-9.0909090909090828E-2</v>
      </c>
      <c r="F55" s="110">
        <f t="shared" si="86"/>
        <v>-2.3337222870478569E-2</v>
      </c>
      <c r="G55" s="110">
        <f t="shared" si="86"/>
        <v>-2.7479091995220917E-2</v>
      </c>
      <c r="H55" s="110">
        <f t="shared" ref="H55" si="87">H43/G43-1</f>
        <v>-0.11547911547911549</v>
      </c>
      <c r="I55" s="110">
        <f t="shared" ref="I55" si="88">I43/H43-1</f>
        <v>-0.18472222222222223</v>
      </c>
      <c r="J55" s="110">
        <f t="shared" ref="J55" si="89">J43/I43-1</f>
        <v>-0.20613287904599653</v>
      </c>
      <c r="K55" s="110">
        <f t="shared" ref="K55" si="90">K43/J43-1</f>
        <v>1.93133047210301E-2</v>
      </c>
      <c r="L55" s="110">
        <f t="shared" ref="L55" si="91">L43/K43-1</f>
        <v>0.37684210526315787</v>
      </c>
      <c r="M55" s="110">
        <f t="shared" ref="M55:N55" si="92">M43/L43-1</f>
        <v>0.20030581039755346</v>
      </c>
      <c r="N55" s="110">
        <f t="shared" si="92"/>
        <v>0.18647541401273893</v>
      </c>
      <c r="O55" s="236"/>
      <c r="P55" s="236"/>
      <c r="Q55" s="236"/>
      <c r="R55" s="236"/>
      <c r="S55" s="236"/>
    </row>
    <row r="56" spans="2:21" x14ac:dyDescent="0.2">
      <c r="D56" s="105"/>
      <c r="E56" s="105"/>
      <c r="F56" s="105"/>
      <c r="G56" s="105"/>
      <c r="H56" s="64"/>
    </row>
    <row r="57" spans="2:21" x14ac:dyDescent="0.2">
      <c r="B57" s="80" t="s">
        <v>204</v>
      </c>
      <c r="D57" s="105"/>
      <c r="E57" s="105"/>
      <c r="F57" s="105"/>
      <c r="G57" s="105"/>
      <c r="H57" s="64"/>
    </row>
    <row r="58" spans="2:21" x14ac:dyDescent="0.2">
      <c r="D58" s="105"/>
      <c r="E58" s="105"/>
      <c r="F58" s="105"/>
      <c r="G58" s="105"/>
      <c r="H58" s="64"/>
    </row>
    <row r="59" spans="2:21" x14ac:dyDescent="0.2">
      <c r="B59" s="94" t="s">
        <v>205</v>
      </c>
      <c r="C59" s="100" t="e">
        <f>FORECAST(C29,#REF!,#REF!)</f>
        <v>#REF!</v>
      </c>
      <c r="D59" s="100" t="e">
        <f>FORECAST(D29,C41:C41,C29:C29)</f>
        <v>#DIV/0!</v>
      </c>
      <c r="E59" s="100">
        <f>FORECAST(E29,C41:D41,C29:D29)</f>
        <v>27.572208124999996</v>
      </c>
      <c r="F59" s="100">
        <f>FORECAST(F29,C41:E41,C29:E29)</f>
        <v>24.368898757164079</v>
      </c>
      <c r="G59" s="100">
        <f>FORECAST(G29,C41:F41,C29:F29)</f>
        <v>26.49788648427252</v>
      </c>
      <c r="H59" s="100">
        <f>FORECAST(H29,C41:G41,C29:G29)</f>
        <v>27.416800516085203</v>
      </c>
      <c r="I59" s="100">
        <f>FORECAST(I29,C41:H41,C29:H29)</f>
        <v>29.965643684893124</v>
      </c>
      <c r="J59" s="100">
        <f>FORECAST(J29,C41:I41,C29:I29)</f>
        <v>36.543312584982196</v>
      </c>
      <c r="K59" s="100">
        <f>FORECAST(K29,C41:J41,C29:J29)</f>
        <v>43.482603796761879</v>
      </c>
      <c r="L59" s="100">
        <f>FORECAST(L29,C41:K41,C29:K29)</f>
        <v>36.456853197470835</v>
      </c>
      <c r="M59" s="100">
        <f>FORECAST(M29,C41:L41,C29:L29)</f>
        <v>34.514395111579596</v>
      </c>
      <c r="N59" s="100">
        <f>FORECAST(N29,C41:M41,C29:M29)</f>
        <v>33.811692548548145</v>
      </c>
      <c r="O59" s="118">
        <f>FORECAST(O29,C41:N41,C29:N29)</f>
        <v>36.799882070680184</v>
      </c>
      <c r="P59" s="118">
        <f t="shared" ref="P59:S59" si="93">FORECAST(P29,D41:O41,D29:O29)</f>
        <v>40.726330401487495</v>
      </c>
      <c r="Q59" s="118">
        <f t="shared" si="93"/>
        <v>42.936776371012506</v>
      </c>
      <c r="R59" s="118">
        <f t="shared" si="93"/>
        <v>45.284023591302947</v>
      </c>
      <c r="S59" s="118">
        <f t="shared" si="93"/>
        <v>47.686920567895577</v>
      </c>
      <c r="T59" s="631" t="s">
        <v>348</v>
      </c>
      <c r="U59" s="631" t="s">
        <v>346</v>
      </c>
    </row>
    <row r="60" spans="2:21" x14ac:dyDescent="0.2">
      <c r="B60" s="94" t="s">
        <v>206</v>
      </c>
      <c r="C60" s="100" t="e">
        <f>FORECAST(C23,#REF!,#REF!)</f>
        <v>#REF!</v>
      </c>
      <c r="D60" s="100" t="e">
        <f>FORECAST(D23,$C$41:C$41,$C$23:C23)</f>
        <v>#DIV/0!</v>
      </c>
      <c r="E60" s="100">
        <f>FORECAST(E23,$C$41:D$41,$C$23:D23)</f>
        <v>20.311696765171277</v>
      </c>
      <c r="F60" s="100">
        <f>FORECAST(F23,$C$41:E$41,$C$23:E23)</f>
        <v>23.64115178387063</v>
      </c>
      <c r="G60" s="100">
        <f>FORECAST(G23,$C$41:F$41,$C$23:F23)</f>
        <v>25.423347705456781</v>
      </c>
      <c r="H60" s="100">
        <f>FORECAST(H23,$C$41:G$41,$C$23:G23)</f>
        <v>26.880431507522154</v>
      </c>
      <c r="I60" s="100">
        <f>FORECAST(I23,$C$41:H$41,$C$23:H23)</f>
        <v>29.361354317676405</v>
      </c>
      <c r="J60" s="100">
        <f>FORECAST(J23,$C$41:I$41,$C$23:I23)</f>
        <v>33.697367659401195</v>
      </c>
      <c r="K60" s="100">
        <f>FORECAST(K23,$C$41:J$41,$C$23:J23)</f>
        <v>37.559685933153688</v>
      </c>
      <c r="L60" s="100">
        <f>FORECAST(L23,$C$41:K$41,$C$23:K23)</f>
        <v>41.274529823703148</v>
      </c>
      <c r="M60" s="100">
        <f>FORECAST(M23,$C$41:L$41,$C$23:L23)</f>
        <v>40.607494988008128</v>
      </c>
      <c r="N60" s="100">
        <f>FORECAST(N23,$C$41:M$41,$C$23:M23)</f>
        <v>42.904727154221831</v>
      </c>
      <c r="O60" s="118">
        <f>FORECAST(O23,C41:N41,C23:N23)</f>
        <v>47.486241116306424</v>
      </c>
      <c r="P60" s="118">
        <f t="shared" ref="P60:S60" si="94">FORECAST(P23,D41:O41,D23:O23)</f>
        <v>52.62440681701743</v>
      </c>
      <c r="Q60" s="118">
        <f t="shared" si="94"/>
        <v>57.397554159054486</v>
      </c>
      <c r="R60" s="118">
        <f t="shared" si="94"/>
        <v>62.117361538138454</v>
      </c>
      <c r="S60" s="118">
        <f t="shared" si="94"/>
        <v>66.544018272647207</v>
      </c>
      <c r="T60" s="631" t="s">
        <v>349</v>
      </c>
      <c r="U60" s="631" t="s">
        <v>347</v>
      </c>
    </row>
    <row r="61" spans="2:21" x14ac:dyDescent="0.2">
      <c r="B61" s="94" t="s">
        <v>467</v>
      </c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18">
        <f>FORECAST(O34,C41:N41,C34:N34)</f>
        <v>42.725733836635811</v>
      </c>
      <c r="P61" s="118">
        <f t="shared" ref="P61:S61" si="95">FORECAST(P34,D41:O41,D34:O34)</f>
        <v>50.731706310627771</v>
      </c>
      <c r="Q61" s="118">
        <f t="shared" si="95"/>
        <v>57.97548962562837</v>
      </c>
      <c r="R61" s="118">
        <f t="shared" si="95"/>
        <v>63.056477443521572</v>
      </c>
      <c r="S61" s="118">
        <f t="shared" si="95"/>
        <v>67.582832089880327</v>
      </c>
    </row>
    <row r="62" spans="2:21" x14ac:dyDescent="0.2">
      <c r="B62" s="64" t="s">
        <v>207</v>
      </c>
      <c r="C62" s="240" t="e">
        <f t="shared" ref="C62:M62" si="96">AVERAGE(C59:C60)</f>
        <v>#REF!</v>
      </c>
      <c r="D62" s="240" t="e">
        <f t="shared" si="96"/>
        <v>#DIV/0!</v>
      </c>
      <c r="E62" s="240">
        <f t="shared" si="96"/>
        <v>23.941952445085636</v>
      </c>
      <c r="F62" s="240">
        <f t="shared" si="96"/>
        <v>24.005025270517354</v>
      </c>
      <c r="G62" s="240">
        <f t="shared" si="96"/>
        <v>25.960617094864652</v>
      </c>
      <c r="H62" s="240">
        <f t="shared" si="96"/>
        <v>27.148616011803679</v>
      </c>
      <c r="I62" s="240">
        <f t="shared" si="96"/>
        <v>29.663499001284762</v>
      </c>
      <c r="J62" s="240">
        <f t="shared" si="96"/>
        <v>35.120340122191692</v>
      </c>
      <c r="K62" s="240">
        <f t="shared" si="96"/>
        <v>40.521144864957783</v>
      </c>
      <c r="L62" s="240">
        <f t="shared" si="96"/>
        <v>38.865691510586991</v>
      </c>
      <c r="M62" s="240">
        <f t="shared" si="96"/>
        <v>37.560945049793858</v>
      </c>
      <c r="N62" s="240">
        <f t="shared" ref="N62" si="97">AVERAGE(N59:N60)</f>
        <v>38.358209851384984</v>
      </c>
      <c r="O62" s="240">
        <f>AVERAGE(O59:O61)</f>
        <v>42.337285674540801</v>
      </c>
      <c r="P62" s="240">
        <f t="shared" ref="P62:S62" si="98">AVERAGE(P59:P61)</f>
        <v>48.027481176377563</v>
      </c>
      <c r="Q62" s="240">
        <f t="shared" si="98"/>
        <v>52.769940051898459</v>
      </c>
      <c r="R62" s="240">
        <f t="shared" si="98"/>
        <v>56.819287524320991</v>
      </c>
      <c r="S62" s="240">
        <f t="shared" si="98"/>
        <v>60.604590310141042</v>
      </c>
    </row>
    <row r="63" spans="2:21" x14ac:dyDescent="0.2">
      <c r="C63" s="319" t="e">
        <f t="shared" ref="C63" si="99">C41-C62</f>
        <v>#REF!</v>
      </c>
      <c r="D63" s="319" t="e">
        <f t="shared" ref="D63" si="100">D41-D62</f>
        <v>#DIV/0!</v>
      </c>
      <c r="E63" s="319">
        <f t="shared" ref="E63" si="101">E41-E62</f>
        <v>8.04755491436282E-3</v>
      </c>
      <c r="F63" s="319">
        <f t="shared" ref="F63" si="102">F41-F62</f>
        <v>1.0549747294826446</v>
      </c>
      <c r="G63" s="319">
        <f t="shared" ref="G63:M63" si="103">G41-G62</f>
        <v>0.18938290513534639</v>
      </c>
      <c r="H63" s="319">
        <f t="shared" si="103"/>
        <v>1.0513839881963207</v>
      </c>
      <c r="I63" s="319">
        <f t="shared" si="103"/>
        <v>3.3365009987152376</v>
      </c>
      <c r="J63" s="319">
        <f t="shared" si="103"/>
        <v>0.52965987780830659</v>
      </c>
      <c r="K63" s="319">
        <f t="shared" si="103"/>
        <v>0.62885513504221535</v>
      </c>
      <c r="L63" s="319">
        <f t="shared" si="103"/>
        <v>1.4843084894130101</v>
      </c>
      <c r="M63" s="319">
        <f t="shared" si="103"/>
        <v>2.4090549502061407</v>
      </c>
      <c r="N63" s="319">
        <f t="shared" ref="N63" si="104">N41-N62</f>
        <v>9.7607321486150127</v>
      </c>
      <c r="O63" s="240"/>
      <c r="P63" s="240"/>
      <c r="Q63" s="240"/>
      <c r="R63" s="240"/>
      <c r="S63" s="240"/>
    </row>
    <row r="64" spans="2:21" x14ac:dyDescent="0.2">
      <c r="D64" s="105"/>
      <c r="E64" s="105"/>
      <c r="F64" s="105"/>
      <c r="G64" s="105"/>
      <c r="H64" s="105"/>
    </row>
    <row r="65" spans="5:8" x14ac:dyDescent="0.2">
      <c r="E65" s="64"/>
      <c r="F65" s="64"/>
      <c r="G65" s="64"/>
      <c r="H65" s="64"/>
    </row>
    <row r="66" spans="5:8" x14ac:dyDescent="0.2">
      <c r="E66" s="64"/>
      <c r="F66" s="64"/>
      <c r="G66" s="64"/>
      <c r="H66" s="64"/>
    </row>
    <row r="67" spans="5:8" x14ac:dyDescent="0.2">
      <c r="E67" s="64"/>
      <c r="F67" s="64"/>
      <c r="G67" s="64"/>
      <c r="H67" s="64"/>
    </row>
    <row r="68" spans="5:8" x14ac:dyDescent="0.2">
      <c r="E68" s="64"/>
      <c r="F68" s="64"/>
      <c r="G68" s="64"/>
      <c r="H68" s="64"/>
    </row>
    <row r="69" spans="5:8" x14ac:dyDescent="0.2">
      <c r="E69" s="64"/>
      <c r="F69" s="64"/>
      <c r="G69" s="64"/>
      <c r="H69" s="64"/>
    </row>
    <row r="70" spans="5:8" x14ac:dyDescent="0.2">
      <c r="E70" s="64"/>
      <c r="F70" s="64"/>
      <c r="G70" s="64"/>
      <c r="H70" s="64"/>
    </row>
    <row r="71" spans="5:8" x14ac:dyDescent="0.2">
      <c r="E71" s="64"/>
      <c r="F71" s="64"/>
      <c r="G71" s="64"/>
      <c r="H71" s="64"/>
    </row>
    <row r="72" spans="5:8" x14ac:dyDescent="0.2">
      <c r="E72" s="64"/>
      <c r="F72" s="64"/>
      <c r="G72" s="64"/>
      <c r="H72" s="64"/>
    </row>
    <row r="73" spans="5:8" x14ac:dyDescent="0.2">
      <c r="E73" s="64"/>
      <c r="F73" s="64"/>
      <c r="G73" s="64"/>
      <c r="H73" s="64"/>
    </row>
    <row r="74" spans="5:8" x14ac:dyDescent="0.2">
      <c r="E74" s="64"/>
      <c r="F74" s="64"/>
      <c r="G74" s="64"/>
      <c r="H74" s="64"/>
    </row>
    <row r="75" spans="5:8" x14ac:dyDescent="0.2">
      <c r="E75" s="64"/>
      <c r="F75" s="64"/>
      <c r="G75" s="64"/>
      <c r="H75" s="64"/>
    </row>
    <row r="76" spans="5:8" x14ac:dyDescent="0.2">
      <c r="E76" s="64"/>
      <c r="F76" s="64"/>
      <c r="G76" s="64"/>
      <c r="H76" s="64"/>
    </row>
    <row r="77" spans="5:8" x14ac:dyDescent="0.2">
      <c r="E77" s="64"/>
      <c r="F77" s="64"/>
      <c r="G77" s="64"/>
      <c r="H77" s="64"/>
    </row>
    <row r="78" spans="5:8" x14ac:dyDescent="0.2">
      <c r="E78" s="95"/>
      <c r="F78" s="95"/>
      <c r="G78" s="95"/>
      <c r="H78" s="95"/>
    </row>
    <row r="79" spans="5:8" x14ac:dyDescent="0.2">
      <c r="E79" s="95"/>
      <c r="F79" s="95"/>
      <c r="G79" s="95"/>
      <c r="H79" s="95"/>
    </row>
    <row r="80" spans="5:8" x14ac:dyDescent="0.2">
      <c r="E80" s="95"/>
      <c r="F80" s="95"/>
      <c r="G80" s="95"/>
      <c r="H80" s="95"/>
    </row>
    <row r="81" spans="5:8" x14ac:dyDescent="0.2">
      <c r="E81" s="95"/>
      <c r="F81" s="95"/>
      <c r="G81" s="95"/>
      <c r="H81" s="95"/>
    </row>
    <row r="82" spans="5:8" x14ac:dyDescent="0.2">
      <c r="E82" s="95"/>
      <c r="F82" s="95"/>
      <c r="G82" s="95"/>
      <c r="H82" s="95"/>
    </row>
    <row r="83" spans="5:8" x14ac:dyDescent="0.2">
      <c r="E83" s="95"/>
      <c r="F83" s="95"/>
      <c r="G83" s="95"/>
      <c r="H83" s="95"/>
    </row>
    <row r="84" spans="5:8" x14ac:dyDescent="0.2">
      <c r="E84" s="95"/>
      <c r="F84" s="95"/>
      <c r="G84" s="95"/>
      <c r="H84" s="95"/>
    </row>
    <row r="85" spans="5:8" x14ac:dyDescent="0.2">
      <c r="E85" s="95"/>
      <c r="F85" s="95"/>
      <c r="G85" s="95"/>
      <c r="H85" s="95"/>
    </row>
    <row r="86" spans="5:8" x14ac:dyDescent="0.2">
      <c r="E86" s="95"/>
      <c r="F86" s="95"/>
      <c r="G86" s="95"/>
      <c r="H86" s="95"/>
    </row>
    <row r="87" spans="5:8" x14ac:dyDescent="0.2">
      <c r="E87" s="95"/>
      <c r="F87" s="95"/>
      <c r="G87" s="95"/>
      <c r="H87" s="95"/>
    </row>
    <row r="88" spans="5:8" x14ac:dyDescent="0.2">
      <c r="E88" s="95"/>
      <c r="F88" s="95"/>
      <c r="G88" s="95"/>
      <c r="H88" s="95"/>
    </row>
    <row r="89" spans="5:8" x14ac:dyDescent="0.2">
      <c r="E89" s="95"/>
      <c r="F89" s="95"/>
      <c r="G89" s="95"/>
      <c r="H89" s="95"/>
    </row>
    <row r="90" spans="5:8" x14ac:dyDescent="0.2">
      <c r="E90" s="95"/>
      <c r="F90" s="95"/>
      <c r="G90" s="95"/>
      <c r="H90" s="95"/>
    </row>
    <row r="91" spans="5:8" x14ac:dyDescent="0.2">
      <c r="G91" s="95"/>
      <c r="H91" s="95"/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8"/>
  <sheetViews>
    <sheetView showGridLines="0" topLeftCell="K1" zoomScaleNormal="100" workbookViewId="0">
      <selection activeCell="AA19" sqref="AA19"/>
    </sheetView>
  </sheetViews>
  <sheetFormatPr defaultColWidth="9.140625" defaultRowHeight="12.75" x14ac:dyDescent="0.25"/>
  <cols>
    <col min="1" max="1" width="26.5703125" style="253" bestFit="1" customWidth="1"/>
    <col min="2" max="4" width="7.5703125" style="253" bestFit="1" customWidth="1"/>
    <col min="5" max="11" width="6.5703125" style="253" bestFit="1" customWidth="1"/>
    <col min="12" max="12" width="38.28515625" style="253" bestFit="1" customWidth="1"/>
    <col min="13" max="13" width="2.42578125" style="253" customWidth="1"/>
    <col min="14" max="14" width="19" style="253" customWidth="1"/>
    <col min="15" max="16" width="5" style="253" bestFit="1" customWidth="1"/>
    <col min="17" max="25" width="7.5703125" style="253" bestFit="1" customWidth="1"/>
    <col min="26" max="27" width="17.5703125" style="253" bestFit="1" customWidth="1"/>
    <col min="28" max="28" width="2.28515625" style="253" bestFit="1" customWidth="1"/>
    <col min="29" max="29" width="7.28515625" style="253" bestFit="1" customWidth="1"/>
    <col min="30" max="16384" width="9.140625" style="253"/>
  </cols>
  <sheetData>
    <row r="1" spans="1:28" ht="12.75" customHeight="1" x14ac:dyDescent="0.25">
      <c r="A1" s="641" t="s">
        <v>229</v>
      </c>
      <c r="B1" s="641"/>
      <c r="C1" s="641"/>
      <c r="D1" s="641"/>
      <c r="E1" s="641"/>
      <c r="F1" s="641"/>
      <c r="G1" s="641"/>
      <c r="H1" s="642"/>
      <c r="I1" s="642"/>
      <c r="J1" s="642"/>
      <c r="K1" s="642"/>
      <c r="L1" s="642"/>
      <c r="M1" s="252"/>
      <c r="N1" s="641" t="s">
        <v>240</v>
      </c>
      <c r="O1" s="641"/>
      <c r="P1" s="641"/>
      <c r="Q1" s="641"/>
      <c r="R1" s="641"/>
      <c r="S1" s="641"/>
      <c r="T1" s="641"/>
      <c r="U1" s="641"/>
      <c r="V1" s="641"/>
      <c r="W1" s="641"/>
      <c r="X1" s="642"/>
      <c r="Z1" s="645" t="s">
        <v>230</v>
      </c>
      <c r="AA1" s="646"/>
      <c r="AB1" s="647"/>
    </row>
    <row r="2" spans="1:28" ht="15" customHeight="1" x14ac:dyDescent="0.25">
      <c r="A2" s="254" t="s">
        <v>338</v>
      </c>
      <c r="B2" s="255">
        <v>2017</v>
      </c>
      <c r="C2" s="255">
        <v>2018</v>
      </c>
      <c r="D2" s="255">
        <v>2019</v>
      </c>
      <c r="E2" s="255">
        <v>2020</v>
      </c>
      <c r="F2" s="255">
        <v>2021</v>
      </c>
      <c r="G2" s="337" t="s">
        <v>370</v>
      </c>
      <c r="H2" s="337" t="s">
        <v>371</v>
      </c>
      <c r="I2" s="337" t="s">
        <v>372</v>
      </c>
      <c r="J2" s="337" t="s">
        <v>373</v>
      </c>
      <c r="K2" s="337" t="s">
        <v>374</v>
      </c>
      <c r="L2" s="255" t="s">
        <v>341</v>
      </c>
      <c r="M2" s="256"/>
      <c r="N2" s="257" t="s">
        <v>231</v>
      </c>
      <c r="O2" s="255">
        <v>2017</v>
      </c>
      <c r="P2" s="255">
        <f>O2+1</f>
        <v>2018</v>
      </c>
      <c r="Q2" s="255">
        <f t="shared" ref="Q2:W2" si="0">P2+1</f>
        <v>2019</v>
      </c>
      <c r="R2" s="255">
        <f t="shared" si="0"/>
        <v>2020</v>
      </c>
      <c r="S2" s="255">
        <f t="shared" si="0"/>
        <v>2021</v>
      </c>
      <c r="T2" s="337">
        <f t="shared" si="0"/>
        <v>2022</v>
      </c>
      <c r="U2" s="337">
        <f t="shared" si="0"/>
        <v>2023</v>
      </c>
      <c r="V2" s="337">
        <f t="shared" si="0"/>
        <v>2024</v>
      </c>
      <c r="W2" s="337">
        <f t="shared" si="0"/>
        <v>2025</v>
      </c>
      <c r="X2" s="337">
        <v>2026</v>
      </c>
      <c r="Y2" s="252"/>
      <c r="Z2" s="258"/>
      <c r="AA2" s="258"/>
      <c r="AB2" s="259"/>
    </row>
    <row r="3" spans="1:28" x14ac:dyDescent="0.25">
      <c r="A3" s="260" t="s">
        <v>232</v>
      </c>
      <c r="B3" s="261">
        <f>SUM(B4:B5)</f>
        <v>40.31</v>
      </c>
      <c r="C3" s="261">
        <f>C4+C5</f>
        <v>45.9</v>
      </c>
      <c r="D3" s="261">
        <f t="shared" ref="D3:F3" si="1">D4+D5</f>
        <v>46.89</v>
      </c>
      <c r="E3" s="261">
        <f t="shared" si="1"/>
        <v>47.82</v>
      </c>
      <c r="F3" s="261">
        <f t="shared" si="1"/>
        <v>57.432773999999995</v>
      </c>
      <c r="G3" s="261">
        <f>Industry!O6</f>
        <v>58.19714791630642</v>
      </c>
      <c r="H3" s="261">
        <f>Industry!P6</f>
        <v>64.83484056901743</v>
      </c>
      <c r="I3" s="261">
        <f>Industry!Q6</f>
        <v>71.25639646757449</v>
      </c>
      <c r="J3" s="261">
        <f>Industry!R6</f>
        <v>77.777853346766051</v>
      </c>
      <c r="K3" s="261">
        <f>Industry!S6</f>
        <v>84.162071557353258</v>
      </c>
      <c r="L3" s="261"/>
      <c r="M3" s="262"/>
      <c r="N3" s="263" t="s">
        <v>43</v>
      </c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5"/>
      <c r="Z3" s="253" t="s">
        <v>233</v>
      </c>
      <c r="AA3" s="266" t="s">
        <v>90</v>
      </c>
      <c r="AB3" s="267">
        <v>0.105</v>
      </c>
    </row>
    <row r="4" spans="1:28" x14ac:dyDescent="0.25">
      <c r="A4" s="253" t="s">
        <v>104</v>
      </c>
      <c r="B4" s="268">
        <f>Industry!J7</f>
        <v>35.65</v>
      </c>
      <c r="C4" s="268">
        <f>Industry!K7</f>
        <v>41.15</v>
      </c>
      <c r="D4" s="268">
        <f>Industry!L7</f>
        <v>40.35</v>
      </c>
      <c r="E4" s="268">
        <f>Industry!M7</f>
        <v>39.97</v>
      </c>
      <c r="F4" s="268">
        <f>Industry!N7</f>
        <v>48.118941999999997</v>
      </c>
      <c r="G4" s="261">
        <f>Industry!O7</f>
        <v>47.486241116306424</v>
      </c>
      <c r="H4" s="261">
        <f>Industry!P7</f>
        <v>52.62440681701743</v>
      </c>
      <c r="I4" s="261">
        <f>Industry!Q7</f>
        <v>57.397554159054486</v>
      </c>
      <c r="J4" s="261">
        <f>Industry!R7</f>
        <v>62.117361538138454</v>
      </c>
      <c r="K4" s="261">
        <f>Industry!S7</f>
        <v>66.544018272647207</v>
      </c>
      <c r="L4" s="268"/>
      <c r="M4" s="262"/>
      <c r="N4" s="263" t="s">
        <v>243</v>
      </c>
      <c r="O4" s="264"/>
      <c r="P4" s="264"/>
      <c r="Q4" s="264"/>
      <c r="R4" s="264"/>
      <c r="S4" s="264"/>
      <c r="T4" s="264"/>
      <c r="U4" s="264"/>
      <c r="V4" s="264"/>
      <c r="W4" s="264"/>
      <c r="X4" s="264"/>
      <c r="Y4" s="265"/>
      <c r="AA4" s="266"/>
      <c r="AB4" s="267"/>
    </row>
    <row r="5" spans="1:28" x14ac:dyDescent="0.25">
      <c r="A5" s="253" t="s">
        <v>6</v>
      </c>
      <c r="B5" s="268">
        <f>Industry!J8</f>
        <v>4.66</v>
      </c>
      <c r="C5" s="268">
        <f>Industry!K8</f>
        <v>4.75</v>
      </c>
      <c r="D5" s="268">
        <f>Industry!L8</f>
        <v>6.54</v>
      </c>
      <c r="E5" s="268">
        <f>Industry!M8</f>
        <v>7.85</v>
      </c>
      <c r="F5" s="268">
        <f>Industry!N8</f>
        <v>9.3138319999999997</v>
      </c>
      <c r="G5" s="261">
        <f>Industry!O8</f>
        <v>10.710906799999998</v>
      </c>
      <c r="H5" s="261">
        <f>Industry!P8</f>
        <v>12.210433752</v>
      </c>
      <c r="I5" s="261">
        <f>Industry!Q8</f>
        <v>13.85884230852</v>
      </c>
      <c r="J5" s="261">
        <f>Industry!R8</f>
        <v>15.660491808627599</v>
      </c>
      <c r="K5" s="261">
        <f>Industry!S8</f>
        <v>17.61805328470605</v>
      </c>
      <c r="L5" s="268"/>
      <c r="M5" s="262"/>
      <c r="N5" s="263" t="s">
        <v>244</v>
      </c>
      <c r="O5" s="264"/>
      <c r="P5" s="264"/>
      <c r="Q5" s="264"/>
      <c r="R5" s="264"/>
      <c r="S5" s="264"/>
      <c r="T5" s="264"/>
      <c r="U5" s="264"/>
      <c r="V5" s="264"/>
      <c r="W5" s="264"/>
      <c r="X5" s="264"/>
      <c r="Z5" s="253" t="s">
        <v>234</v>
      </c>
      <c r="AA5" s="266" t="s">
        <v>90</v>
      </c>
      <c r="AB5" s="269">
        <v>0.06</v>
      </c>
    </row>
    <row r="6" spans="1:28" x14ac:dyDescent="0.25">
      <c r="M6" s="262"/>
      <c r="N6" s="263" t="s">
        <v>271</v>
      </c>
      <c r="O6" s="270"/>
      <c r="P6" s="270"/>
      <c r="Q6" s="270"/>
      <c r="R6" s="270"/>
      <c r="S6" s="270"/>
      <c r="T6" s="270"/>
      <c r="U6" s="270"/>
      <c r="V6" s="270"/>
      <c r="W6" s="270"/>
      <c r="X6" s="270"/>
      <c r="Z6" s="253" t="s">
        <v>235</v>
      </c>
      <c r="AA6" s="266" t="s">
        <v>90</v>
      </c>
      <c r="AB6" s="269"/>
    </row>
    <row r="7" spans="1:28" x14ac:dyDescent="0.25">
      <c r="A7" s="260" t="s">
        <v>236</v>
      </c>
      <c r="B7" s="271"/>
      <c r="C7" s="271"/>
      <c r="D7" s="272"/>
      <c r="E7" s="272"/>
      <c r="F7" s="271"/>
      <c r="G7" s="271"/>
      <c r="H7" s="271"/>
      <c r="I7" s="271"/>
      <c r="J7" s="271"/>
      <c r="K7" s="271"/>
      <c r="L7" s="272"/>
      <c r="M7" s="262"/>
      <c r="Z7" s="253" t="s">
        <v>237</v>
      </c>
      <c r="AA7" s="266" t="s">
        <v>90</v>
      </c>
      <c r="AB7" s="269">
        <v>0.04</v>
      </c>
    </row>
    <row r="8" spans="1:28" x14ac:dyDescent="0.25">
      <c r="A8" s="273" t="s">
        <v>261</v>
      </c>
      <c r="B8" s="322">
        <f>29.14+3.149</f>
        <v>32.289000000000001</v>
      </c>
      <c r="C8" s="322">
        <f>33.968691+3.080437</f>
        <v>37.049127999999996</v>
      </c>
      <c r="D8" s="322">
        <f>32.362744+2.528276</f>
        <v>34.891019999999997</v>
      </c>
      <c r="E8" s="322">
        <f>34.327506+1.970388</f>
        <v>36.297893999999999</v>
      </c>
      <c r="F8" s="322">
        <f>40.58158+2.566402</f>
        <v>43.147981999999999</v>
      </c>
      <c r="G8" s="274">
        <f>G9*G3</f>
        <v>43.647860937229815</v>
      </c>
      <c r="H8" s="274">
        <f t="shared" ref="H8:K8" si="2">H9*H3</f>
        <v>48.626130426763069</v>
      </c>
      <c r="I8" s="274">
        <f t="shared" si="2"/>
        <v>53.442297350680867</v>
      </c>
      <c r="J8" s="274">
        <f t="shared" si="2"/>
        <v>58.333390010074538</v>
      </c>
      <c r="K8" s="274">
        <f t="shared" si="2"/>
        <v>63.12155366801494</v>
      </c>
      <c r="L8" s="632" t="s">
        <v>343</v>
      </c>
      <c r="M8" s="262"/>
      <c r="N8" s="641" t="s">
        <v>245</v>
      </c>
      <c r="O8" s="641"/>
      <c r="P8" s="641"/>
      <c r="Q8" s="641"/>
      <c r="R8" s="641"/>
      <c r="S8" s="641"/>
      <c r="T8" s="641"/>
      <c r="U8" s="641"/>
      <c r="V8" s="641"/>
      <c r="W8" s="641"/>
      <c r="X8" s="642"/>
      <c r="Z8" s="253" t="s">
        <v>238</v>
      </c>
      <c r="AA8" s="275"/>
      <c r="AB8" s="276">
        <v>124</v>
      </c>
    </row>
    <row r="9" spans="1:28" x14ac:dyDescent="0.25">
      <c r="A9" s="277" t="s">
        <v>239</v>
      </c>
      <c r="B9" s="278">
        <f t="shared" ref="B9:F9" si="3">B8/B3</f>
        <v>0.80101711734061021</v>
      </c>
      <c r="C9" s="278">
        <f t="shared" si="3"/>
        <v>0.80717054466230931</v>
      </c>
      <c r="D9" s="278">
        <f t="shared" si="3"/>
        <v>0.74410364683301333</v>
      </c>
      <c r="E9" s="278">
        <f t="shared" si="3"/>
        <v>0.75905257214554578</v>
      </c>
      <c r="F9" s="278">
        <f t="shared" si="3"/>
        <v>0.75127804204616688</v>
      </c>
      <c r="G9" s="278">
        <v>0.75</v>
      </c>
      <c r="H9" s="278">
        <v>0.75</v>
      </c>
      <c r="I9" s="278">
        <v>0.75</v>
      </c>
      <c r="J9" s="278">
        <v>0.75</v>
      </c>
      <c r="K9" s="278">
        <v>0.75</v>
      </c>
      <c r="L9" s="633" t="s">
        <v>342</v>
      </c>
      <c r="M9" s="262"/>
      <c r="N9" s="257" t="s">
        <v>231</v>
      </c>
      <c r="O9" s="255">
        <f t="shared" ref="O9:W9" si="4">+O2</f>
        <v>2017</v>
      </c>
      <c r="P9" s="255">
        <f t="shared" si="4"/>
        <v>2018</v>
      </c>
      <c r="Q9" s="255">
        <f t="shared" si="4"/>
        <v>2019</v>
      </c>
      <c r="R9" s="255">
        <f t="shared" si="4"/>
        <v>2020</v>
      </c>
      <c r="S9" s="255">
        <f t="shared" si="4"/>
        <v>2021</v>
      </c>
      <c r="T9" s="337">
        <f t="shared" si="4"/>
        <v>2022</v>
      </c>
      <c r="U9" s="337">
        <f t="shared" si="4"/>
        <v>2023</v>
      </c>
      <c r="V9" s="337">
        <f t="shared" si="4"/>
        <v>2024</v>
      </c>
      <c r="W9" s="337">
        <f t="shared" si="4"/>
        <v>2025</v>
      </c>
      <c r="X9" s="337">
        <v>2026</v>
      </c>
      <c r="AA9" s="275"/>
      <c r="AB9" s="279"/>
    </row>
    <row r="10" spans="1:28" ht="13.5" customHeight="1" x14ac:dyDescent="0.25">
      <c r="A10" s="273" t="s">
        <v>477</v>
      </c>
      <c r="B10" s="280">
        <v>4.51</v>
      </c>
      <c r="C10" s="280">
        <v>4.7679999999999998</v>
      </c>
      <c r="D10" s="280">
        <v>4.4219999999999997</v>
      </c>
      <c r="E10" s="455">
        <v>4.7187262199999997</v>
      </c>
      <c r="F10" s="456">
        <f ca="1">F8*F11</f>
        <v>6.0267397200284911</v>
      </c>
      <c r="G10" s="456">
        <f t="shared" ref="G10:K10" si="5">G8*G11</f>
        <v>6.5471791405844719</v>
      </c>
      <c r="H10" s="456">
        <f t="shared" si="5"/>
        <v>7.2939195640144598</v>
      </c>
      <c r="I10" s="456">
        <f t="shared" si="5"/>
        <v>8.0163446026021301</v>
      </c>
      <c r="J10" s="456">
        <f t="shared" si="5"/>
        <v>8.7500085015111804</v>
      </c>
      <c r="K10" s="456">
        <f t="shared" si="5"/>
        <v>9.4682330502022403</v>
      </c>
      <c r="L10" s="633" t="s">
        <v>450</v>
      </c>
      <c r="M10" s="262"/>
      <c r="N10" s="263" t="s">
        <v>246</v>
      </c>
      <c r="O10" s="281"/>
      <c r="P10" s="281"/>
      <c r="Q10" s="281"/>
      <c r="R10" s="281"/>
      <c r="S10" s="281"/>
      <c r="T10" s="281"/>
      <c r="U10" s="281"/>
      <c r="V10" s="281"/>
      <c r="W10" s="281"/>
      <c r="X10" s="281"/>
      <c r="Z10" s="253" t="s">
        <v>241</v>
      </c>
      <c r="AA10" s="282"/>
      <c r="AB10" s="283">
        <f>Valuation!B22</f>
        <v>364.71703748641977</v>
      </c>
    </row>
    <row r="11" spans="1:28" ht="14.25" customHeight="1" x14ac:dyDescent="0.25">
      <c r="A11" s="277" t="s">
        <v>448</v>
      </c>
      <c r="B11" s="469">
        <f>B10/B8</f>
        <v>0.13967605066740993</v>
      </c>
      <c r="C11" s="469">
        <f t="shared" ref="C11:F11" si="6">C10/C8</f>
        <v>0.12869398707575522</v>
      </c>
      <c r="D11" s="469">
        <f t="shared" si="6"/>
        <v>0.12673748144938154</v>
      </c>
      <c r="E11" s="469">
        <f t="shared" si="6"/>
        <v>0.13</v>
      </c>
      <c r="F11" s="469">
        <f t="shared" ca="1" si="6"/>
        <v>0.13967605066740993</v>
      </c>
      <c r="G11" s="469">
        <v>0.15</v>
      </c>
      <c r="H11" s="469">
        <v>0.15</v>
      </c>
      <c r="I11" s="469">
        <v>0.15</v>
      </c>
      <c r="J11" s="469">
        <v>0.15</v>
      </c>
      <c r="K11" s="469">
        <v>0.15</v>
      </c>
      <c r="L11" s="634" t="s">
        <v>449</v>
      </c>
      <c r="N11" s="263" t="s">
        <v>247</v>
      </c>
      <c r="O11" s="284"/>
      <c r="P11" s="285"/>
      <c r="Q11" s="285"/>
      <c r="R11" s="285"/>
      <c r="S11" s="285"/>
      <c r="T11" s="285"/>
      <c r="U11" s="285"/>
      <c r="V11" s="285"/>
      <c r="W11" s="285"/>
      <c r="X11" s="285"/>
      <c r="Z11" s="253" t="s">
        <v>242</v>
      </c>
      <c r="AB11" s="286">
        <f>AB10/AB8-1</f>
        <v>1.9412664313420951</v>
      </c>
    </row>
    <row r="12" spans="1:28" x14ac:dyDescent="0.25">
      <c r="M12" s="252"/>
      <c r="N12" s="263" t="s">
        <v>248</v>
      </c>
      <c r="O12" s="284"/>
      <c r="P12" s="284"/>
      <c r="Q12" s="284"/>
      <c r="R12" s="284"/>
      <c r="S12" s="284"/>
      <c r="T12" s="284"/>
      <c r="U12" s="284"/>
      <c r="V12" s="284"/>
      <c r="W12" s="284"/>
      <c r="X12" s="284"/>
      <c r="Z12" s="287"/>
      <c r="AA12" s="287"/>
      <c r="AB12" s="288"/>
    </row>
    <row r="13" spans="1:28" ht="12.75" customHeight="1" x14ac:dyDescent="0.25">
      <c r="A13" s="263" t="s">
        <v>250</v>
      </c>
      <c r="B13" s="293"/>
      <c r="C13" s="293"/>
      <c r="D13" s="293"/>
      <c r="E13" s="293"/>
      <c r="F13" s="299"/>
      <c r="G13" s="294"/>
      <c r="H13" s="294"/>
      <c r="I13" s="294"/>
      <c r="J13" s="294"/>
      <c r="K13" s="294"/>
      <c r="L13" s="299"/>
      <c r="M13" s="252"/>
      <c r="N13" s="295" t="s">
        <v>252</v>
      </c>
      <c r="P13" s="292"/>
      <c r="Q13" s="296" t="e">
        <f>'Drivers Sheet'!#REF!</f>
        <v>#REF!</v>
      </c>
      <c r="R13" s="296">
        <f>'Drivers Sheet'!C130</f>
        <v>600</v>
      </c>
      <c r="S13" s="296">
        <f>'Drivers Sheet'!D130</f>
        <v>645</v>
      </c>
      <c r="T13" s="296">
        <f>'Drivers Sheet'!E130</f>
        <v>900</v>
      </c>
      <c r="U13" s="296">
        <f>'Drivers Sheet'!F130</f>
        <v>1020</v>
      </c>
      <c r="V13" s="297"/>
      <c r="W13" s="297"/>
      <c r="X13" s="297"/>
      <c r="Y13" s="297"/>
      <c r="Z13" s="297"/>
    </row>
    <row r="14" spans="1:28" x14ac:dyDescent="0.25">
      <c r="A14" s="291" t="s">
        <v>251</v>
      </c>
      <c r="B14" s="293"/>
      <c r="C14" s="293"/>
      <c r="D14" s="293"/>
      <c r="E14" s="293"/>
      <c r="F14" s="299"/>
      <c r="G14" s="294"/>
      <c r="H14" s="294"/>
      <c r="I14" s="294"/>
      <c r="J14" s="294"/>
      <c r="K14" s="294"/>
      <c r="L14" s="290"/>
      <c r="M14" s="289"/>
      <c r="N14" s="295" t="s">
        <v>253</v>
      </c>
      <c r="P14" s="292"/>
      <c r="Q14" s="298" t="e">
        <f>'Drivers Sheet'!#REF!</f>
        <v>#REF!</v>
      </c>
      <c r="R14" s="298">
        <f>'Drivers Sheet'!C140</f>
        <v>12</v>
      </c>
      <c r="S14" s="298">
        <f>'Drivers Sheet'!D140</f>
        <v>12</v>
      </c>
      <c r="T14" s="298">
        <f>'Drivers Sheet'!E140</f>
        <v>14.5</v>
      </c>
      <c r="U14" s="298">
        <f>'Drivers Sheet'!F140</f>
        <v>16</v>
      </c>
      <c r="V14" s="298"/>
      <c r="W14" s="291"/>
      <c r="X14" s="291"/>
      <c r="Y14" s="291"/>
      <c r="Z14" s="291"/>
    </row>
    <row r="15" spans="1:28" ht="12.75" customHeight="1" x14ac:dyDescent="0.25">
      <c r="A15" s="291"/>
      <c r="B15" s="293"/>
      <c r="C15" s="299"/>
      <c r="D15" s="299"/>
      <c r="E15" s="299"/>
      <c r="F15" s="299"/>
      <c r="G15" s="299"/>
      <c r="H15" s="299"/>
      <c r="I15" s="299"/>
      <c r="J15" s="299"/>
      <c r="K15" s="299"/>
      <c r="L15" s="299"/>
      <c r="M15" s="300"/>
      <c r="N15" s="295" t="s">
        <v>254</v>
      </c>
      <c r="P15" s="292"/>
      <c r="Q15" s="298" t="e">
        <f>'Drivers Sheet'!#REF!</f>
        <v>#REF!</v>
      </c>
      <c r="R15" s="298">
        <f>'Drivers Sheet'!C141</f>
        <v>2</v>
      </c>
      <c r="S15" s="298">
        <f>'Drivers Sheet'!D141</f>
        <v>2</v>
      </c>
      <c r="T15" s="298">
        <f>'Drivers Sheet'!E141</f>
        <v>2</v>
      </c>
      <c r="U15" s="298">
        <f>'Drivers Sheet'!F141</f>
        <v>2</v>
      </c>
      <c r="V15" s="297"/>
      <c r="W15" s="297"/>
      <c r="X15" s="297"/>
      <c r="Y15" s="297"/>
      <c r="Z15" s="297"/>
    </row>
    <row r="16" spans="1:28" ht="12.75" customHeight="1" x14ac:dyDescent="0.25">
      <c r="A16" s="641" t="s">
        <v>270</v>
      </c>
      <c r="B16" s="641"/>
      <c r="C16" s="641"/>
      <c r="D16" s="641"/>
      <c r="E16" s="641"/>
      <c r="F16" s="641"/>
      <c r="G16" s="641"/>
      <c r="H16" s="642"/>
      <c r="I16" s="642"/>
      <c r="J16" s="642"/>
      <c r="K16" s="642"/>
      <c r="L16" s="642"/>
      <c r="M16" s="301"/>
      <c r="N16" s="302" t="s">
        <v>255</v>
      </c>
      <c r="O16" s="287"/>
      <c r="P16" s="303"/>
      <c r="Q16" s="304" t="e">
        <f>'Drivers Sheet'!#REF!</f>
        <v>#REF!</v>
      </c>
      <c r="R16" s="304">
        <f>'Drivers Sheet'!C122</f>
        <v>30142</v>
      </c>
      <c r="S16" s="304">
        <f>'Drivers Sheet'!D122</f>
        <v>31649</v>
      </c>
      <c r="T16" s="304">
        <f>'Drivers Sheet'!E122</f>
        <v>33232</v>
      </c>
      <c r="U16" s="304">
        <f>'Drivers Sheet'!F122</f>
        <v>44500</v>
      </c>
      <c r="V16" s="304"/>
      <c r="W16" s="305"/>
      <c r="X16" s="305"/>
      <c r="Y16" s="305"/>
      <c r="Z16" s="305"/>
    </row>
    <row r="17" spans="1:23" x14ac:dyDescent="0.25">
      <c r="A17" s="257" t="s">
        <v>231</v>
      </c>
      <c r="B17" s="255" t="e">
        <f>#REF!+1</f>
        <v>#REF!</v>
      </c>
      <c r="C17" s="255" t="e">
        <f t="shared" ref="C17:D17" si="7">B17+1</f>
        <v>#REF!</v>
      </c>
      <c r="D17" s="255" t="e">
        <f t="shared" si="7"/>
        <v>#REF!</v>
      </c>
      <c r="E17" s="337" t="s">
        <v>176</v>
      </c>
      <c r="F17" s="337" t="s">
        <v>177</v>
      </c>
      <c r="G17" s="337" t="s">
        <v>334</v>
      </c>
      <c r="H17" s="337" t="s">
        <v>356</v>
      </c>
      <c r="I17" s="337" t="s">
        <v>369</v>
      </c>
      <c r="J17" s="255"/>
      <c r="K17" s="255"/>
      <c r="L17" s="255" t="s">
        <v>341</v>
      </c>
      <c r="M17" s="301"/>
      <c r="P17" s="306"/>
      <c r="R17" s="268"/>
    </row>
    <row r="18" spans="1:23" ht="12.75" customHeight="1" x14ac:dyDescent="0.25">
      <c r="A18" s="263" t="s">
        <v>12</v>
      </c>
      <c r="B18" s="307"/>
      <c r="C18" s="307"/>
      <c r="D18" s="307"/>
      <c r="E18" s="308"/>
      <c r="F18" s="308"/>
      <c r="G18" s="308"/>
      <c r="H18" s="308"/>
      <c r="I18" s="308"/>
      <c r="J18" s="308"/>
      <c r="K18" s="308"/>
      <c r="L18" s="470"/>
      <c r="V18" s="289"/>
      <c r="W18" s="309"/>
    </row>
    <row r="19" spans="1:23" ht="12.75" customHeight="1" x14ac:dyDescent="0.25">
      <c r="A19" s="263" t="s">
        <v>15</v>
      </c>
      <c r="B19" s="307"/>
      <c r="C19" s="307"/>
      <c r="D19" s="307"/>
      <c r="E19" s="308"/>
      <c r="F19" s="308"/>
      <c r="G19" s="308"/>
      <c r="H19" s="308"/>
      <c r="I19" s="308"/>
      <c r="J19" s="308"/>
      <c r="K19" s="308"/>
      <c r="L19" s="470"/>
    </row>
    <row r="20" spans="1:23" x14ac:dyDescent="0.25">
      <c r="A20" s="263" t="s">
        <v>16</v>
      </c>
      <c r="B20" s="307"/>
      <c r="C20" s="307"/>
      <c r="D20" s="307"/>
      <c r="E20" s="308"/>
      <c r="F20" s="308"/>
      <c r="G20" s="308"/>
      <c r="H20" s="308"/>
      <c r="I20" s="308"/>
      <c r="J20" s="308"/>
      <c r="K20" s="308"/>
      <c r="L20" s="470"/>
    </row>
    <row r="21" spans="1:23" ht="12.75" customHeight="1" x14ac:dyDescent="0.25">
      <c r="A21" s="263" t="s">
        <v>18</v>
      </c>
      <c r="B21" s="307"/>
      <c r="C21" s="307"/>
      <c r="D21" s="307"/>
      <c r="E21" s="308"/>
      <c r="F21" s="308"/>
      <c r="G21" s="308"/>
      <c r="H21" s="308"/>
      <c r="I21" s="308"/>
      <c r="J21" s="308"/>
      <c r="K21" s="308"/>
      <c r="L21" s="470"/>
    </row>
    <row r="23" spans="1:23" ht="12.75" customHeight="1" x14ac:dyDescent="0.25">
      <c r="A23" s="641" t="s">
        <v>256</v>
      </c>
      <c r="B23" s="641"/>
      <c r="C23" s="641"/>
      <c r="D23" s="641"/>
      <c r="E23" s="641"/>
      <c r="F23" s="641"/>
      <c r="G23" s="641"/>
      <c r="H23" s="642"/>
      <c r="I23" s="642"/>
      <c r="J23" s="642"/>
      <c r="K23" s="642"/>
      <c r="L23" s="642"/>
    </row>
    <row r="24" spans="1:23" ht="15" customHeight="1" x14ac:dyDescent="0.25">
      <c r="A24" s="257" t="s">
        <v>231</v>
      </c>
      <c r="B24" s="255" t="e">
        <f t="shared" ref="B24:I24" si="8">B17</f>
        <v>#REF!</v>
      </c>
      <c r="C24" s="255" t="e">
        <f t="shared" si="8"/>
        <v>#REF!</v>
      </c>
      <c r="D24" s="255" t="e">
        <f t="shared" si="8"/>
        <v>#REF!</v>
      </c>
      <c r="E24" s="337" t="str">
        <f t="shared" si="8"/>
        <v>2022F</v>
      </c>
      <c r="F24" s="337" t="str">
        <f t="shared" si="8"/>
        <v>2023F</v>
      </c>
      <c r="G24" s="337" t="str">
        <f t="shared" si="8"/>
        <v>2024F</v>
      </c>
      <c r="H24" s="337" t="str">
        <f t="shared" si="8"/>
        <v>2025F</v>
      </c>
      <c r="I24" s="337" t="str">
        <f t="shared" si="8"/>
        <v>2026F</v>
      </c>
      <c r="J24" s="255"/>
      <c r="K24" s="255"/>
      <c r="L24" s="255" t="s">
        <v>341</v>
      </c>
    </row>
    <row r="25" spans="1:23" x14ac:dyDescent="0.25">
      <c r="A25" s="291" t="s">
        <v>257</v>
      </c>
      <c r="B25" s="310"/>
      <c r="C25" s="311"/>
      <c r="D25" s="311"/>
      <c r="E25" s="311"/>
      <c r="F25" s="311"/>
      <c r="G25" s="311"/>
      <c r="H25" s="311"/>
      <c r="I25" s="311"/>
      <c r="J25" s="311"/>
      <c r="K25" s="311"/>
      <c r="L25" s="471"/>
    </row>
    <row r="26" spans="1:23" x14ac:dyDescent="0.25">
      <c r="A26" s="291" t="s">
        <v>151</v>
      </c>
      <c r="B26" s="310"/>
      <c r="C26" s="311"/>
      <c r="D26" s="311"/>
      <c r="E26" s="311"/>
      <c r="F26" s="311"/>
      <c r="G26" s="311"/>
      <c r="H26" s="311"/>
      <c r="I26" s="311"/>
      <c r="J26" s="311"/>
      <c r="K26" s="311"/>
      <c r="L26" s="471"/>
    </row>
    <row r="27" spans="1:23" ht="15" customHeight="1" x14ac:dyDescent="0.25">
      <c r="A27" s="263" t="s">
        <v>152</v>
      </c>
      <c r="B27" s="310"/>
      <c r="C27" s="311"/>
      <c r="D27" s="311"/>
      <c r="E27" s="311"/>
      <c r="F27" s="311"/>
      <c r="G27" s="311"/>
      <c r="H27" s="311"/>
      <c r="I27" s="311"/>
      <c r="J27" s="311"/>
      <c r="K27" s="311"/>
      <c r="L27" s="471"/>
    </row>
    <row r="28" spans="1:23" x14ac:dyDescent="0.25">
      <c r="A28" s="263" t="s">
        <v>153</v>
      </c>
      <c r="B28" s="312"/>
      <c r="C28" s="311"/>
      <c r="D28" s="311"/>
      <c r="E28" s="311"/>
      <c r="F28" s="311"/>
      <c r="G28" s="311"/>
      <c r="H28" s="311"/>
      <c r="I28" s="311"/>
      <c r="J28" s="311"/>
      <c r="K28" s="311"/>
      <c r="L28" s="471"/>
    </row>
    <row r="30" spans="1:23" x14ac:dyDescent="0.25">
      <c r="A30" s="643" t="s">
        <v>258</v>
      </c>
      <c r="B30" s="643"/>
      <c r="C30" s="643"/>
      <c r="D30" s="643"/>
      <c r="E30" s="643"/>
      <c r="F30" s="643"/>
      <c r="G30" s="643"/>
      <c r="H30" s="644"/>
      <c r="I30" s="644"/>
      <c r="J30" s="644"/>
      <c r="K30" s="644"/>
      <c r="L30" s="644"/>
    </row>
    <row r="31" spans="1:23" x14ac:dyDescent="0.25">
      <c r="A31" s="313"/>
      <c r="B31" s="255" t="e">
        <f t="shared" ref="B31:I31" si="9">+B24</f>
        <v>#REF!</v>
      </c>
      <c r="C31" s="255" t="e">
        <f t="shared" si="9"/>
        <v>#REF!</v>
      </c>
      <c r="D31" s="255" t="e">
        <f t="shared" si="9"/>
        <v>#REF!</v>
      </c>
      <c r="E31" s="337" t="str">
        <f t="shared" si="9"/>
        <v>2022F</v>
      </c>
      <c r="F31" s="337" t="str">
        <f t="shared" si="9"/>
        <v>2023F</v>
      </c>
      <c r="G31" s="337" t="str">
        <f t="shared" si="9"/>
        <v>2024F</v>
      </c>
      <c r="H31" s="337" t="str">
        <f t="shared" si="9"/>
        <v>2025F</v>
      </c>
      <c r="I31" s="337" t="str">
        <f t="shared" si="9"/>
        <v>2026F</v>
      </c>
      <c r="J31" s="255"/>
      <c r="K31" s="255"/>
      <c r="L31" s="255" t="s">
        <v>341</v>
      </c>
    </row>
    <row r="32" spans="1:23" x14ac:dyDescent="0.25">
      <c r="A32" s="314" t="s">
        <v>259</v>
      </c>
      <c r="B32" s="315">
        <f>'Drivers Sheet'!C9</f>
        <v>105.4</v>
      </c>
      <c r="C32" s="315">
        <f>'Drivers Sheet'!D9</f>
        <v>121.8</v>
      </c>
      <c r="D32" s="315">
        <f>'Drivers Sheet'!E9</f>
        <v>160</v>
      </c>
      <c r="E32" s="315"/>
      <c r="F32" s="315"/>
      <c r="G32" s="315"/>
      <c r="H32" s="315"/>
      <c r="I32" s="315"/>
      <c r="J32" s="315"/>
      <c r="K32" s="315"/>
      <c r="L32" s="315"/>
    </row>
    <row r="33" spans="1:12" x14ac:dyDescent="0.25">
      <c r="A33" s="314" t="s">
        <v>260</v>
      </c>
      <c r="B33" s="316">
        <f>'Drivers Sheet'!C10</f>
        <v>0</v>
      </c>
      <c r="C33" s="316">
        <f>'Drivers Sheet'!D10</f>
        <v>0</v>
      </c>
      <c r="D33" s="316">
        <f>'Drivers Sheet'!E10</f>
        <v>0</v>
      </c>
      <c r="E33" s="316"/>
      <c r="F33" s="316"/>
      <c r="G33" s="316"/>
      <c r="H33" s="316"/>
      <c r="I33" s="316"/>
      <c r="J33" s="316"/>
      <c r="K33" s="316"/>
      <c r="L33" s="316"/>
    </row>
    <row r="34" spans="1:12" x14ac:dyDescent="0.25">
      <c r="A34" s="314" t="s">
        <v>84</v>
      </c>
      <c r="B34" s="316">
        <f>'Drivers Sheet'!C11</f>
        <v>4.2000000000000003E-2</v>
      </c>
      <c r="C34" s="316">
        <f>'Drivers Sheet'!D11</f>
        <v>4.7E-2</v>
      </c>
      <c r="D34" s="316">
        <f>'Drivers Sheet'!E11</f>
        <v>6.8000000000000005E-2</v>
      </c>
      <c r="E34" s="316"/>
      <c r="F34" s="316"/>
      <c r="G34" s="316"/>
      <c r="H34" s="316"/>
      <c r="I34" s="316"/>
      <c r="J34" s="316"/>
      <c r="K34" s="316"/>
      <c r="L34" s="316"/>
    </row>
    <row r="35" spans="1:12" x14ac:dyDescent="0.25">
      <c r="A35" s="314" t="s">
        <v>273</v>
      </c>
      <c r="B35" s="316">
        <f>'Drivers Sheet'!C12</f>
        <v>0</v>
      </c>
      <c r="C35" s="316">
        <f>'Drivers Sheet'!D12</f>
        <v>0</v>
      </c>
      <c r="D35" s="316">
        <f>'Drivers Sheet'!E12</f>
        <v>0</v>
      </c>
      <c r="E35" s="316"/>
      <c r="F35" s="316"/>
      <c r="G35" s="316"/>
      <c r="H35" s="316"/>
      <c r="I35" s="316"/>
      <c r="J35" s="316"/>
      <c r="K35" s="316"/>
      <c r="L35" s="316"/>
    </row>
    <row r="36" spans="1:12" x14ac:dyDescent="0.25">
      <c r="A36" s="263"/>
      <c r="B36" s="317"/>
      <c r="C36" s="318"/>
      <c r="D36" s="318"/>
      <c r="E36" s="318"/>
      <c r="F36" s="318"/>
      <c r="G36" s="318"/>
    </row>
    <row r="38" spans="1:12" x14ac:dyDescent="0.25">
      <c r="H38" s="468"/>
      <c r="I38" s="468"/>
      <c r="J38" s="468"/>
      <c r="K38" s="468"/>
      <c r="L38" s="468"/>
    </row>
  </sheetData>
  <mergeCells count="7">
    <mergeCell ref="Z1:AB1"/>
    <mergeCell ref="A23:G23"/>
    <mergeCell ref="A30:G30"/>
    <mergeCell ref="A16:G16"/>
    <mergeCell ref="N1:W1"/>
    <mergeCell ref="N8:W8"/>
    <mergeCell ref="A1:G1"/>
  </mergeCells>
  <conditionalFormatting sqref="AB11"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P277"/>
  <sheetViews>
    <sheetView showGridLines="0" zoomScaleNormal="100" workbookViewId="0">
      <pane xSplit="2" ySplit="5" topLeftCell="D66" activePane="bottomRight" state="frozen"/>
      <selection pane="topRight" activeCell="E1" sqref="E1"/>
      <selection pane="bottomLeft" activeCell="A6" sqref="A6"/>
      <selection pane="bottomRight" activeCell="H152" sqref="H152"/>
    </sheetView>
  </sheetViews>
  <sheetFormatPr defaultColWidth="8.85546875" defaultRowHeight="12.75" outlineLevelRow="3" x14ac:dyDescent="0.2"/>
  <cols>
    <col min="1" max="1" width="46.7109375" style="333" bestFit="1" customWidth="1"/>
    <col min="2" max="2" width="12.42578125" style="332" bestFit="1" customWidth="1"/>
    <col min="3" max="3" width="11.42578125" style="338" bestFit="1" customWidth="1"/>
    <col min="4" max="4" width="8.85546875" style="338"/>
    <col min="5" max="12" width="8.85546875" style="332"/>
    <col min="13" max="13" width="8.85546875" style="333"/>
    <col min="14" max="16384" width="8.85546875" style="332"/>
  </cols>
  <sheetData>
    <row r="1" spans="1:13" x14ac:dyDescent="0.2">
      <c r="A1" s="329" t="s">
        <v>447</v>
      </c>
      <c r="B1" s="330"/>
      <c r="C1" s="331"/>
      <c r="D1" s="331"/>
      <c r="E1" s="330"/>
      <c r="F1" s="330"/>
    </row>
    <row r="2" spans="1:13" x14ac:dyDescent="0.2">
      <c r="A2" s="334" t="s">
        <v>79</v>
      </c>
      <c r="B2" s="330"/>
      <c r="C2" s="331"/>
      <c r="D2" s="331"/>
      <c r="F2" s="623" t="s">
        <v>80</v>
      </c>
      <c r="G2" s="624"/>
    </row>
    <row r="3" spans="1:13" x14ac:dyDescent="0.2">
      <c r="A3" s="335" t="s">
        <v>1</v>
      </c>
      <c r="B3" s="330"/>
      <c r="C3" s="331"/>
      <c r="D3" s="331"/>
      <c r="F3" s="625"/>
      <c r="G3" s="626"/>
    </row>
    <row r="4" spans="1:13" x14ac:dyDescent="0.2">
      <c r="A4" s="336"/>
      <c r="B4" s="330"/>
      <c r="C4" s="331"/>
      <c r="D4" s="331"/>
      <c r="E4" s="330"/>
      <c r="F4" s="330"/>
    </row>
    <row r="5" spans="1:13" x14ac:dyDescent="0.2">
      <c r="A5" s="638" t="s">
        <v>50</v>
      </c>
      <c r="B5" s="639" t="s">
        <v>262</v>
      </c>
      <c r="C5" s="640">
        <v>2017</v>
      </c>
      <c r="D5" s="640">
        <v>2018</v>
      </c>
      <c r="E5" s="640">
        <v>2019</v>
      </c>
      <c r="F5" s="640">
        <v>2020</v>
      </c>
      <c r="G5" s="640">
        <v>2021</v>
      </c>
      <c r="H5" s="337" t="s">
        <v>176</v>
      </c>
      <c r="I5" s="337" t="s">
        <v>177</v>
      </c>
      <c r="J5" s="337" t="s">
        <v>334</v>
      </c>
      <c r="K5" s="337" t="s">
        <v>356</v>
      </c>
      <c r="L5" s="337" t="s">
        <v>369</v>
      </c>
    </row>
    <row r="7" spans="1:13" x14ac:dyDescent="0.2">
      <c r="A7" s="339" t="s">
        <v>81</v>
      </c>
      <c r="B7" s="340"/>
    </row>
    <row r="8" spans="1:13" outlineLevel="1" x14ac:dyDescent="0.2"/>
    <row r="9" spans="1:13" outlineLevel="1" x14ac:dyDescent="0.2">
      <c r="A9" s="336" t="s">
        <v>82</v>
      </c>
      <c r="C9" s="341">
        <f>Industry!J21</f>
        <v>105.4</v>
      </c>
      <c r="D9" s="341">
        <f>Industry!K21</f>
        <v>121.8</v>
      </c>
      <c r="E9" s="341">
        <f>Industry!L21</f>
        <v>160</v>
      </c>
      <c r="F9" s="341">
        <f>Industry!M21</f>
        <v>168</v>
      </c>
      <c r="G9" s="341">
        <f>Industry!N21</f>
        <v>158</v>
      </c>
      <c r="H9" s="341">
        <f>Industry!O21</f>
        <v>170.64000000000001</v>
      </c>
      <c r="I9" s="341">
        <f>Industry!P21</f>
        <v>184.29120000000003</v>
      </c>
      <c r="J9" s="341">
        <f>Industry!Q21</f>
        <v>198.11304000000001</v>
      </c>
      <c r="K9" s="341">
        <f>Industry!R21</f>
        <v>211.98095280000001</v>
      </c>
      <c r="L9" s="341">
        <f>Industry!S21</f>
        <v>224.69980996800001</v>
      </c>
      <c r="M9" s="342" t="s">
        <v>375</v>
      </c>
    </row>
    <row r="10" spans="1:13" outlineLevel="1" x14ac:dyDescent="0.2">
      <c r="A10" s="336" t="s">
        <v>83</v>
      </c>
      <c r="C10" s="343"/>
      <c r="D10" s="343"/>
      <c r="E10" s="343"/>
      <c r="F10" s="344"/>
      <c r="G10" s="344"/>
      <c r="H10" s="344">
        <v>0.11</v>
      </c>
      <c r="I10" s="344">
        <v>0.13</v>
      </c>
      <c r="J10" s="344">
        <v>0.12</v>
      </c>
      <c r="K10" s="344">
        <v>0.11</v>
      </c>
      <c r="L10" s="344">
        <v>0.1</v>
      </c>
      <c r="M10" s="342" t="s">
        <v>375</v>
      </c>
    </row>
    <row r="11" spans="1:13" outlineLevel="1" x14ac:dyDescent="0.2">
      <c r="A11" s="336" t="s">
        <v>84</v>
      </c>
      <c r="C11" s="343">
        <f>Industry!J26</f>
        <v>4.2000000000000003E-2</v>
      </c>
      <c r="D11" s="343">
        <f>Industry!K26</f>
        <v>4.7E-2</v>
      </c>
      <c r="E11" s="343">
        <f>Industry!L26</f>
        <v>6.8000000000000005E-2</v>
      </c>
      <c r="F11" s="343">
        <f>Industry!M26</f>
        <v>0.107</v>
      </c>
      <c r="G11" s="343">
        <f>Industry!N26</f>
        <v>8.8999999999999996E-2</v>
      </c>
      <c r="H11" s="343">
        <f>Industry!O26</f>
        <v>9.5000000000000001E-2</v>
      </c>
      <c r="I11" s="343">
        <f>Industry!P26</f>
        <v>0.1</v>
      </c>
      <c r="J11" s="343">
        <f>Industry!Q26</f>
        <v>0.09</v>
      </c>
      <c r="K11" s="343">
        <f>Industry!R26</f>
        <v>8.5000000000000006E-2</v>
      </c>
      <c r="L11" s="343">
        <f>Industry!S26</f>
        <v>7.0000000000000007E-2</v>
      </c>
      <c r="M11" s="342" t="s">
        <v>376</v>
      </c>
    </row>
    <row r="12" spans="1:13" outlineLevel="1" x14ac:dyDescent="0.2">
      <c r="A12" s="336" t="s">
        <v>398</v>
      </c>
      <c r="B12" s="345">
        <v>0.03</v>
      </c>
      <c r="C12" s="461"/>
      <c r="D12" s="461"/>
      <c r="E12" s="461"/>
      <c r="F12" s="461"/>
      <c r="G12" s="461"/>
      <c r="H12" s="461"/>
      <c r="I12" s="461"/>
      <c r="J12" s="461"/>
      <c r="K12" s="461"/>
      <c r="L12" s="461"/>
    </row>
    <row r="13" spans="1:13" x14ac:dyDescent="0.2">
      <c r="C13" s="346"/>
      <c r="D13" s="346"/>
      <c r="E13" s="346"/>
    </row>
    <row r="14" spans="1:13" x14ac:dyDescent="0.2">
      <c r="A14" s="339" t="s">
        <v>85</v>
      </c>
      <c r="B14" s="347" t="s">
        <v>86</v>
      </c>
      <c r="C14" s="348"/>
      <c r="D14" s="348"/>
      <c r="E14" s="348"/>
      <c r="F14" s="348"/>
      <c r="G14" s="348"/>
      <c r="H14" s="348"/>
      <c r="I14" s="348"/>
      <c r="J14" s="348"/>
      <c r="K14" s="348"/>
      <c r="L14" s="348"/>
      <c r="M14" s="333" t="s">
        <v>378</v>
      </c>
    </row>
    <row r="15" spans="1:13" outlineLevel="1" x14ac:dyDescent="0.2">
      <c r="A15" s="329"/>
      <c r="B15" s="349"/>
      <c r="C15" s="350"/>
      <c r="D15" s="351"/>
      <c r="E15" s="351"/>
      <c r="F15" s="350"/>
      <c r="G15" s="350"/>
      <c r="H15" s="350"/>
      <c r="I15" s="350"/>
      <c r="J15" s="350"/>
    </row>
    <row r="16" spans="1:13" outlineLevel="1" x14ac:dyDescent="0.2">
      <c r="A16" s="352" t="s">
        <v>87</v>
      </c>
      <c r="B16" s="353" t="s">
        <v>88</v>
      </c>
      <c r="C16" s="354">
        <v>3.4329999999999998</v>
      </c>
      <c r="D16" s="354">
        <v>3.5046400000000002</v>
      </c>
      <c r="E16" s="354">
        <v>3.5594999999999999</v>
      </c>
      <c r="F16" s="354">
        <v>3.5594999999999999</v>
      </c>
      <c r="G16" s="354">
        <v>3.5594999999999999</v>
      </c>
      <c r="H16" s="555">
        <v>3.5594999999999999</v>
      </c>
      <c r="I16" s="555">
        <v>3.5594999999999999</v>
      </c>
      <c r="J16" s="555">
        <v>3.5594999999999999</v>
      </c>
      <c r="K16" s="555">
        <v>3.5594999999999999</v>
      </c>
      <c r="L16" s="555">
        <v>3.5594999999999999</v>
      </c>
    </row>
    <row r="17" spans="1:13" outlineLevel="1" x14ac:dyDescent="0.2">
      <c r="A17" s="356"/>
      <c r="B17" s="349"/>
      <c r="C17" s="332"/>
      <c r="D17" s="346"/>
      <c r="E17" s="357"/>
    </row>
    <row r="18" spans="1:13" outlineLevel="1" x14ac:dyDescent="0.2">
      <c r="A18" s="352" t="s">
        <v>89</v>
      </c>
      <c r="B18" s="353" t="s">
        <v>88</v>
      </c>
      <c r="C18" s="358">
        <v>2.9249999999999998</v>
      </c>
      <c r="D18" s="358">
        <v>3.399807</v>
      </c>
      <c r="E18" s="358">
        <v>3.0411779999999999</v>
      </c>
      <c r="F18" s="358">
        <v>3.0667369999999998</v>
      </c>
      <c r="G18" s="358">
        <v>3.483466</v>
      </c>
      <c r="H18" s="554">
        <v>3.5</v>
      </c>
      <c r="I18" s="554">
        <v>3.5</v>
      </c>
      <c r="J18" s="554">
        <v>3.5</v>
      </c>
      <c r="K18" s="554">
        <v>3.5</v>
      </c>
      <c r="L18" s="554">
        <v>3.5</v>
      </c>
      <c r="M18" s="333" t="s">
        <v>379</v>
      </c>
    </row>
    <row r="19" spans="1:13" x14ac:dyDescent="0.2">
      <c r="C19" s="332"/>
      <c r="D19" s="332"/>
    </row>
    <row r="20" spans="1:13" x14ac:dyDescent="0.2">
      <c r="A20" s="339" t="s">
        <v>377</v>
      </c>
      <c r="B20" s="353" t="s">
        <v>90</v>
      </c>
      <c r="C20" s="359">
        <f t="shared" ref="C20:L20" si="0">C18/C16</f>
        <v>0.8520244683949898</v>
      </c>
      <c r="D20" s="359">
        <f t="shared" si="0"/>
        <v>0.97008736988677857</v>
      </c>
      <c r="E20" s="359">
        <f t="shared" si="0"/>
        <v>0.85438348082595872</v>
      </c>
      <c r="F20" s="359">
        <f t="shared" si="0"/>
        <v>0.86156398370557663</v>
      </c>
      <c r="G20" s="359">
        <f t="shared" si="0"/>
        <v>0.97863913470993114</v>
      </c>
      <c r="H20" s="553">
        <f t="shared" si="0"/>
        <v>0.98328416912487715</v>
      </c>
      <c r="I20" s="553">
        <f t="shared" si="0"/>
        <v>0.98328416912487715</v>
      </c>
      <c r="J20" s="553">
        <f t="shared" si="0"/>
        <v>0.98328416912487715</v>
      </c>
      <c r="K20" s="553">
        <f t="shared" si="0"/>
        <v>0.98328416912487715</v>
      </c>
      <c r="L20" s="553">
        <f t="shared" si="0"/>
        <v>0.98328416912487715</v>
      </c>
      <c r="M20" s="342" t="s">
        <v>380</v>
      </c>
    </row>
    <row r="21" spans="1:13" x14ac:dyDescent="0.2">
      <c r="C21" s="332"/>
      <c r="D21" s="332"/>
    </row>
    <row r="22" spans="1:13" x14ac:dyDescent="0.2">
      <c r="A22" s="339" t="s">
        <v>92</v>
      </c>
      <c r="B22" s="347" t="s">
        <v>86</v>
      </c>
      <c r="C22" s="454">
        <f>SUM(C23:C24)</f>
        <v>2.9269940000000001</v>
      </c>
      <c r="D22" s="454">
        <f t="shared" ref="D22:E22" si="1">SUM(D23:D24)</f>
        <v>3.405837</v>
      </c>
      <c r="E22" s="454">
        <f t="shared" si="1"/>
        <v>3.037623</v>
      </c>
      <c r="F22" s="454">
        <v>3.082462</v>
      </c>
      <c r="G22" s="454">
        <v>3.4816039999999999</v>
      </c>
      <c r="H22" s="551">
        <f>G22*(1+H27)</f>
        <v>3.9342125199999995</v>
      </c>
      <c r="I22" s="551">
        <f t="shared" ref="I22:L22" si="2">H22*(1+I27)</f>
        <v>4.4653312101999996</v>
      </c>
      <c r="J22" s="551">
        <f t="shared" si="2"/>
        <v>5.1351308917299994</v>
      </c>
      <c r="K22" s="551">
        <f t="shared" si="2"/>
        <v>5.9054005254894992</v>
      </c>
      <c r="L22" s="551">
        <f t="shared" si="2"/>
        <v>6.7912106043129237</v>
      </c>
    </row>
    <row r="23" spans="1:13" x14ac:dyDescent="0.2">
      <c r="A23" s="360" t="s">
        <v>93</v>
      </c>
      <c r="B23" s="361"/>
      <c r="C23" s="362">
        <v>2.8035969999999999</v>
      </c>
      <c r="D23" s="362">
        <v>3.118671</v>
      </c>
      <c r="E23" s="362">
        <v>2.8169339999999998</v>
      </c>
      <c r="F23" s="362">
        <f t="shared" ref="F23:L23" si="3">F22*F25</f>
        <v>2.8358650400000003</v>
      </c>
      <c r="G23" s="362">
        <f t="shared" si="3"/>
        <v>3.20307568</v>
      </c>
      <c r="H23" s="552">
        <f t="shared" si="3"/>
        <v>3.5407912679999995</v>
      </c>
      <c r="I23" s="552">
        <f t="shared" si="3"/>
        <v>4.0187980891799997</v>
      </c>
      <c r="J23" s="552">
        <f t="shared" si="3"/>
        <v>4.6216178025569992</v>
      </c>
      <c r="K23" s="552">
        <f t="shared" si="3"/>
        <v>5.3148604729405493</v>
      </c>
      <c r="L23" s="552">
        <f t="shared" si="3"/>
        <v>6.1120895438816314</v>
      </c>
    </row>
    <row r="24" spans="1:13" x14ac:dyDescent="0.2">
      <c r="A24" s="360" t="s">
        <v>94</v>
      </c>
      <c r="B24" s="361"/>
      <c r="C24" s="362">
        <v>0.12339700000000001</v>
      </c>
      <c r="D24" s="362">
        <v>0.28716599999999998</v>
      </c>
      <c r="E24" s="362">
        <v>0.220689</v>
      </c>
      <c r="F24" s="362">
        <f t="shared" ref="F24:L24" si="4">F22*F26</f>
        <v>0.24659695999999989</v>
      </c>
      <c r="G24" s="362">
        <f t="shared" si="4"/>
        <v>0.27852831999999983</v>
      </c>
      <c r="H24" s="552">
        <f t="shared" si="4"/>
        <v>0.39342125199999989</v>
      </c>
      <c r="I24" s="552">
        <f t="shared" si="4"/>
        <v>0.44653312101999987</v>
      </c>
      <c r="J24" s="552">
        <f t="shared" si="4"/>
        <v>0.51351308917299987</v>
      </c>
      <c r="K24" s="552">
        <f t="shared" si="4"/>
        <v>0.59054005254894981</v>
      </c>
      <c r="L24" s="552">
        <f t="shared" si="4"/>
        <v>0.67912106043129217</v>
      </c>
    </row>
    <row r="25" spans="1:13" x14ac:dyDescent="0.2">
      <c r="A25" s="360" t="s">
        <v>478</v>
      </c>
      <c r="B25" s="361"/>
      <c r="C25" s="556">
        <f>C23/C22</f>
        <v>0.95784173114123217</v>
      </c>
      <c r="D25" s="556">
        <f>D23/D22</f>
        <v>0.91568416221915494</v>
      </c>
      <c r="E25" s="556">
        <f>E23/E22</f>
        <v>0.92734812713756776</v>
      </c>
      <c r="F25" s="556">
        <v>0.92</v>
      </c>
      <c r="G25" s="556">
        <v>0.92</v>
      </c>
      <c r="H25" s="537">
        <v>0.9</v>
      </c>
      <c r="I25" s="537">
        <v>0.9</v>
      </c>
      <c r="J25" s="537">
        <v>0.9</v>
      </c>
      <c r="K25" s="537">
        <v>0.9</v>
      </c>
      <c r="L25" s="537">
        <v>0.9</v>
      </c>
    </row>
    <row r="26" spans="1:13" x14ac:dyDescent="0.2">
      <c r="A26" s="360" t="s">
        <v>479</v>
      </c>
      <c r="B26" s="361"/>
      <c r="C26" s="556">
        <f>C24/C22</f>
        <v>4.2158268858767736E-2</v>
      </c>
      <c r="D26" s="556">
        <f>D24/D22</f>
        <v>8.431583778084506E-2</v>
      </c>
      <c r="E26" s="556">
        <f>E24/E22</f>
        <v>7.2651872862432243E-2</v>
      </c>
      <c r="F26" s="556">
        <f>1-F25</f>
        <v>7.999999999999996E-2</v>
      </c>
      <c r="G26" s="556">
        <f t="shared" ref="G26:L26" si="5">1-G25</f>
        <v>7.999999999999996E-2</v>
      </c>
      <c r="H26" s="537">
        <f t="shared" si="5"/>
        <v>9.9999999999999978E-2</v>
      </c>
      <c r="I26" s="537">
        <f t="shared" si="5"/>
        <v>9.9999999999999978E-2</v>
      </c>
      <c r="J26" s="537">
        <f t="shared" si="5"/>
        <v>9.9999999999999978E-2</v>
      </c>
      <c r="K26" s="537">
        <f t="shared" si="5"/>
        <v>9.9999999999999978E-2</v>
      </c>
      <c r="L26" s="537">
        <f t="shared" si="5"/>
        <v>9.9999999999999978E-2</v>
      </c>
    </row>
    <row r="27" spans="1:13" x14ac:dyDescent="0.2">
      <c r="A27" s="360" t="s">
        <v>480</v>
      </c>
      <c r="B27" s="361"/>
      <c r="C27" s="556"/>
      <c r="D27" s="556">
        <f>(D22-C22)/C22</f>
        <v>0.16359548396751067</v>
      </c>
      <c r="E27" s="556">
        <f t="shared" ref="E27:G27" si="6">(E22-D22)/D22</f>
        <v>-0.10811263134436558</v>
      </c>
      <c r="F27" s="556">
        <f t="shared" si="6"/>
        <v>1.4761212961582157E-2</v>
      </c>
      <c r="G27" s="556">
        <f t="shared" si="6"/>
        <v>0.12948805208304268</v>
      </c>
      <c r="H27" s="537">
        <v>0.13</v>
      </c>
      <c r="I27" s="537">
        <v>0.13500000000000001</v>
      </c>
      <c r="J27" s="537">
        <v>0.15</v>
      </c>
      <c r="K27" s="537">
        <v>0.15</v>
      </c>
      <c r="L27" s="537">
        <v>0.15</v>
      </c>
    </row>
    <row r="28" spans="1:13" outlineLevel="1" x14ac:dyDescent="0.2">
      <c r="A28" s="329"/>
      <c r="B28" s="355"/>
      <c r="C28" s="332"/>
      <c r="D28" s="332"/>
    </row>
    <row r="29" spans="1:13" x14ac:dyDescent="0.2">
      <c r="A29" s="339" t="s">
        <v>95</v>
      </c>
      <c r="B29" s="365"/>
    </row>
    <row r="30" spans="1:13" outlineLevel="1" x14ac:dyDescent="0.2">
      <c r="A30" s="366" t="s">
        <v>96</v>
      </c>
      <c r="B30" s="365" t="s">
        <v>108</v>
      </c>
      <c r="C30" s="338">
        <f>C31*20</f>
        <v>8976</v>
      </c>
      <c r="D30" s="338">
        <f t="shared" ref="D30:L30" si="7">D31*20</f>
        <v>9328</v>
      </c>
      <c r="E30" s="338">
        <f t="shared" si="7"/>
        <v>9680</v>
      </c>
      <c r="F30" s="338">
        <f t="shared" si="7"/>
        <v>10208</v>
      </c>
      <c r="G30" s="338">
        <f t="shared" si="7"/>
        <v>10920</v>
      </c>
      <c r="H30" s="542">
        <f t="shared" si="7"/>
        <v>11466.000000000002</v>
      </c>
      <c r="I30" s="542">
        <f t="shared" si="7"/>
        <v>12039.300000000001</v>
      </c>
      <c r="J30" s="542">
        <f t="shared" si="7"/>
        <v>12641.265000000001</v>
      </c>
      <c r="K30" s="542">
        <f t="shared" si="7"/>
        <v>13273.328250000002</v>
      </c>
      <c r="L30" s="542">
        <f t="shared" si="7"/>
        <v>13936.994662500003</v>
      </c>
      <c r="M30" s="333" t="s">
        <v>386</v>
      </c>
    </row>
    <row r="31" spans="1:13" outlineLevel="1" x14ac:dyDescent="0.2">
      <c r="A31" s="366" t="s">
        <v>96</v>
      </c>
      <c r="B31" s="367" t="s">
        <v>97</v>
      </c>
      <c r="C31" s="368">
        <f>C32*C33</f>
        <v>448.8</v>
      </c>
      <c r="D31" s="368">
        <f t="shared" ref="D31:L31" si="8">D32*D33</f>
        <v>466.4</v>
      </c>
      <c r="E31" s="368">
        <f t="shared" si="8"/>
        <v>484</v>
      </c>
      <c r="F31" s="368">
        <f t="shared" si="8"/>
        <v>510.4</v>
      </c>
      <c r="G31" s="368">
        <f t="shared" si="8"/>
        <v>546</v>
      </c>
      <c r="H31" s="539">
        <f t="shared" si="8"/>
        <v>573.30000000000007</v>
      </c>
      <c r="I31" s="539">
        <f t="shared" si="8"/>
        <v>601.96500000000003</v>
      </c>
      <c r="J31" s="539">
        <f t="shared" si="8"/>
        <v>632.06325000000004</v>
      </c>
      <c r="K31" s="539">
        <f t="shared" si="8"/>
        <v>663.66641250000009</v>
      </c>
      <c r="L31" s="539">
        <f t="shared" si="8"/>
        <v>696.84973312500017</v>
      </c>
      <c r="M31" s="333" t="s">
        <v>384</v>
      </c>
    </row>
    <row r="32" spans="1:13" outlineLevel="2" x14ac:dyDescent="0.2">
      <c r="A32" s="370" t="s">
        <v>382</v>
      </c>
      <c r="B32" s="367" t="s">
        <v>97</v>
      </c>
      <c r="C32" s="381">
        <v>510</v>
      </c>
      <c r="D32" s="381">
        <v>530</v>
      </c>
      <c r="E32" s="381">
        <v>550</v>
      </c>
      <c r="F32" s="371">
        <v>580</v>
      </c>
      <c r="G32" s="371">
        <v>600</v>
      </c>
      <c r="H32" s="560">
        <f>G32*(1+H34)</f>
        <v>630</v>
      </c>
      <c r="I32" s="560">
        <f t="shared" ref="I32:L32" si="9">H32*(1+I34)</f>
        <v>661.5</v>
      </c>
      <c r="J32" s="560">
        <f t="shared" si="9"/>
        <v>694.57500000000005</v>
      </c>
      <c r="K32" s="560">
        <f t="shared" si="9"/>
        <v>729.30375000000004</v>
      </c>
      <c r="L32" s="560">
        <f t="shared" si="9"/>
        <v>765.76893750000011</v>
      </c>
      <c r="M32" s="333" t="s">
        <v>383</v>
      </c>
    </row>
    <row r="33" spans="1:13" outlineLevel="2" x14ac:dyDescent="0.2">
      <c r="A33" s="372" t="s">
        <v>381</v>
      </c>
      <c r="B33" s="373" t="s">
        <v>90</v>
      </c>
      <c r="C33" s="457">
        <v>0.88</v>
      </c>
      <c r="D33" s="457">
        <v>0.88</v>
      </c>
      <c r="E33" s="457">
        <v>0.88</v>
      </c>
      <c r="F33" s="457">
        <v>0.88</v>
      </c>
      <c r="G33" s="457">
        <v>0.91</v>
      </c>
      <c r="H33" s="561">
        <v>0.91</v>
      </c>
      <c r="I33" s="561">
        <v>0.91</v>
      </c>
      <c r="J33" s="561">
        <v>0.91</v>
      </c>
      <c r="K33" s="561">
        <v>0.91</v>
      </c>
      <c r="L33" s="561">
        <v>0.91</v>
      </c>
      <c r="M33" s="333" t="s">
        <v>385</v>
      </c>
    </row>
    <row r="34" spans="1:13" outlineLevel="2" x14ac:dyDescent="0.2">
      <c r="A34" s="366" t="s">
        <v>98</v>
      </c>
      <c r="B34" s="373" t="s">
        <v>90</v>
      </c>
      <c r="C34" s="374"/>
      <c r="D34" s="374">
        <f>(D32-C32)/C32</f>
        <v>3.9215686274509803E-2</v>
      </c>
      <c r="E34" s="374">
        <f t="shared" ref="E34:G34" si="10">(E32-D32)/D32</f>
        <v>3.7735849056603772E-2</v>
      </c>
      <c r="F34" s="374">
        <f t="shared" si="10"/>
        <v>5.4545454545454543E-2</v>
      </c>
      <c r="G34" s="374">
        <f t="shared" si="10"/>
        <v>3.4482758620689655E-2</v>
      </c>
      <c r="H34" s="562">
        <v>0.05</v>
      </c>
      <c r="I34" s="562">
        <v>0.05</v>
      </c>
      <c r="J34" s="562">
        <v>0.05</v>
      </c>
      <c r="K34" s="562">
        <v>0.05</v>
      </c>
      <c r="L34" s="562">
        <v>0.05</v>
      </c>
    </row>
    <row r="35" spans="1:13" outlineLevel="1" x14ac:dyDescent="0.2">
      <c r="A35" s="366"/>
      <c r="B35" s="373"/>
      <c r="H35" s="338"/>
      <c r="I35" s="338"/>
      <c r="J35" s="338"/>
      <c r="K35" s="338"/>
      <c r="L35" s="338"/>
    </row>
    <row r="36" spans="1:13" outlineLevel="1" x14ac:dyDescent="0.2">
      <c r="A36" s="366" t="s">
        <v>99</v>
      </c>
      <c r="B36" s="363" t="s">
        <v>100</v>
      </c>
      <c r="C36" s="458">
        <v>55</v>
      </c>
      <c r="D36" s="458">
        <v>49</v>
      </c>
      <c r="E36" s="458">
        <v>36</v>
      </c>
      <c r="F36" s="458">
        <v>33</v>
      </c>
      <c r="G36" s="459">
        <v>45</v>
      </c>
      <c r="H36" s="558">
        <f>G36*(1+H37)</f>
        <v>47.7</v>
      </c>
      <c r="I36" s="558">
        <f t="shared" ref="I36:L36" si="11">H36*(1+I37)</f>
        <v>50.562000000000005</v>
      </c>
      <c r="J36" s="558">
        <f t="shared" si="11"/>
        <v>53.595720000000007</v>
      </c>
      <c r="K36" s="558">
        <f t="shared" si="11"/>
        <v>56.811463200000013</v>
      </c>
      <c r="L36" s="558">
        <f t="shared" si="11"/>
        <v>60.220150992000015</v>
      </c>
    </row>
    <row r="37" spans="1:13" outlineLevel="2" x14ac:dyDescent="0.2">
      <c r="A37" s="377" t="s">
        <v>101</v>
      </c>
      <c r="B37" s="363" t="s">
        <v>90</v>
      </c>
      <c r="C37" s="380"/>
      <c r="D37" s="380">
        <f>(D36-C36)/C36</f>
        <v>-0.10909090909090909</v>
      </c>
      <c r="E37" s="380">
        <f t="shared" ref="E37:G37" si="12">(E36-D36)/D36</f>
        <v>-0.26530612244897961</v>
      </c>
      <c r="F37" s="380">
        <f t="shared" si="12"/>
        <v>-8.3333333333333329E-2</v>
      </c>
      <c r="G37" s="380">
        <f t="shared" si="12"/>
        <v>0.36363636363636365</v>
      </c>
      <c r="H37" s="559">
        <v>0.06</v>
      </c>
      <c r="I37" s="559">
        <v>0.06</v>
      </c>
      <c r="J37" s="559">
        <v>0.06</v>
      </c>
      <c r="K37" s="559">
        <v>0.06</v>
      </c>
      <c r="L37" s="559">
        <v>0.06</v>
      </c>
    </row>
    <row r="38" spans="1:13" outlineLevel="2" x14ac:dyDescent="0.2">
      <c r="A38" s="377"/>
      <c r="B38" s="376"/>
      <c r="C38" s="380"/>
      <c r="D38" s="380"/>
      <c r="E38" s="380"/>
      <c r="F38" s="378"/>
      <c r="G38" s="378"/>
      <c r="H38" s="378"/>
      <c r="I38" s="378"/>
      <c r="J38" s="378"/>
    </row>
    <row r="39" spans="1:13" x14ac:dyDescent="0.2">
      <c r="A39" s="339" t="s">
        <v>102</v>
      </c>
      <c r="B39" s="382" t="s">
        <v>103</v>
      </c>
      <c r="C39" s="383">
        <f>SUM(C41:C42)</f>
        <v>25880.419080999996</v>
      </c>
      <c r="D39" s="383">
        <f t="shared" ref="D39:L39" si="13">SUM(D41:D42)</f>
        <v>30804.827209200001</v>
      </c>
      <c r="E39" s="383">
        <f t="shared" si="13"/>
        <v>28539.089759999999</v>
      </c>
      <c r="F39" s="383">
        <f t="shared" si="13"/>
        <v>30315.643874560003</v>
      </c>
      <c r="G39" s="383">
        <f t="shared" si="13"/>
        <v>36957.9227808</v>
      </c>
      <c r="H39" s="557">
        <f t="shared" si="13"/>
        <v>43800.975975337053</v>
      </c>
      <c r="I39" s="557">
        <f t="shared" si="13"/>
        <v>52544.37024477926</v>
      </c>
      <c r="J39" s="557">
        <f t="shared" si="13"/>
        <v>63875.583010690818</v>
      </c>
      <c r="K39" s="557">
        <f t="shared" si="13"/>
        <v>77657.730863575867</v>
      </c>
      <c r="L39" s="557">
        <f t="shared" si="13"/>
        <v>94373.656426493952</v>
      </c>
    </row>
    <row r="40" spans="1:13" outlineLevel="1" x14ac:dyDescent="0.2"/>
    <row r="41" spans="1:13" outlineLevel="1" x14ac:dyDescent="0.2">
      <c r="A41" s="384" t="s">
        <v>104</v>
      </c>
      <c r="B41" s="353" t="s">
        <v>105</v>
      </c>
      <c r="C41" s="338">
        <f>C30*C23</f>
        <v>25165.086671999998</v>
      </c>
      <c r="D41" s="338">
        <f t="shared" ref="D41:L41" si="14">D30*D23</f>
        <v>29090.963088</v>
      </c>
      <c r="E41" s="338">
        <f t="shared" si="14"/>
        <v>27267.921119999999</v>
      </c>
      <c r="F41" s="338">
        <f t="shared" si="14"/>
        <v>28948.510328320004</v>
      </c>
      <c r="G41" s="338">
        <f t="shared" si="14"/>
        <v>34977.586425599999</v>
      </c>
      <c r="H41" s="542">
        <f t="shared" si="14"/>
        <v>40598.712678887998</v>
      </c>
      <c r="I41" s="542">
        <f t="shared" si="14"/>
        <v>48383.515835064776</v>
      </c>
      <c r="J41" s="542">
        <f t="shared" si="14"/>
        <v>58423.095370840711</v>
      </c>
      <c r="K41" s="542">
        <f t="shared" si="14"/>
        <v>70545.887660290173</v>
      </c>
      <c r="L41" s="542">
        <f t="shared" si="14"/>
        <v>85184.159349800379</v>
      </c>
      <c r="M41" s="333" t="s">
        <v>388</v>
      </c>
    </row>
    <row r="42" spans="1:13" outlineLevel="1" x14ac:dyDescent="0.2">
      <c r="A42" s="384" t="s">
        <v>106</v>
      </c>
      <c r="B42" s="353" t="s">
        <v>105</v>
      </c>
      <c r="C42" s="338">
        <f>C36*C24*C9</f>
        <v>715.33240899999998</v>
      </c>
      <c r="D42" s="338">
        <f t="shared" ref="D42:L42" si="15">D36*D24*D9</f>
        <v>1713.8641211999998</v>
      </c>
      <c r="E42" s="338">
        <f t="shared" si="15"/>
        <v>1271.1686399999999</v>
      </c>
      <c r="F42" s="338">
        <f t="shared" si="15"/>
        <v>1367.1335462399995</v>
      </c>
      <c r="G42" s="338">
        <f t="shared" si="15"/>
        <v>1980.3363551999987</v>
      </c>
      <c r="H42" s="338">
        <f t="shared" si="15"/>
        <v>3202.2632964490558</v>
      </c>
      <c r="I42" s="338">
        <f t="shared" si="15"/>
        <v>4160.8544097144877</v>
      </c>
      <c r="J42" s="338">
        <f t="shared" si="15"/>
        <v>5452.4876398501074</v>
      </c>
      <c r="K42" s="338">
        <f t="shared" si="15"/>
        <v>7111.8432032856917</v>
      </c>
      <c r="L42" s="338">
        <f t="shared" si="15"/>
        <v>9189.4970766935712</v>
      </c>
      <c r="M42" s="333" t="s">
        <v>387</v>
      </c>
    </row>
    <row r="43" spans="1:13" outlineLevel="1" x14ac:dyDescent="0.2"/>
    <row r="45" spans="1:13" x14ac:dyDescent="0.2">
      <c r="A45" s="339" t="s">
        <v>107</v>
      </c>
      <c r="B45" s="385"/>
    </row>
    <row r="46" spans="1:13" outlineLevel="1" x14ac:dyDescent="0.2">
      <c r="A46" s="384"/>
      <c r="B46" s="365"/>
    </row>
    <row r="47" spans="1:13" outlineLevel="1" x14ac:dyDescent="0.2">
      <c r="A47" s="366" t="s">
        <v>445</v>
      </c>
      <c r="B47" s="373" t="s">
        <v>97</v>
      </c>
      <c r="C47" s="563">
        <f>C49/20</f>
        <v>448.8</v>
      </c>
      <c r="D47" s="563">
        <f t="shared" ref="D47:L47" si="16">D49/20</f>
        <v>466.4</v>
      </c>
      <c r="E47" s="563">
        <f t="shared" si="16"/>
        <v>484</v>
      </c>
      <c r="F47" s="563">
        <f t="shared" si="16"/>
        <v>510.4</v>
      </c>
      <c r="G47" s="563">
        <f t="shared" si="16"/>
        <v>546</v>
      </c>
      <c r="H47" s="564">
        <f t="shared" si="16"/>
        <v>573.30000000000007</v>
      </c>
      <c r="I47" s="564">
        <f t="shared" si="16"/>
        <v>601.96500000000003</v>
      </c>
      <c r="J47" s="564">
        <f t="shared" si="16"/>
        <v>632.06325000000004</v>
      </c>
      <c r="K47" s="564">
        <f t="shared" si="16"/>
        <v>663.66641250000009</v>
      </c>
      <c r="L47" s="564">
        <f t="shared" si="16"/>
        <v>696.84973312500017</v>
      </c>
      <c r="M47" s="333" t="s">
        <v>446</v>
      </c>
    </row>
    <row r="48" spans="1:13" outlineLevel="2" x14ac:dyDescent="0.2">
      <c r="A48" s="366"/>
      <c r="B48" s="376"/>
    </row>
    <row r="49" spans="1:13" outlineLevel="2" x14ac:dyDescent="0.2">
      <c r="A49" s="386" t="s">
        <v>335</v>
      </c>
      <c r="B49" s="387" t="s">
        <v>108</v>
      </c>
      <c r="C49" s="369">
        <f>C30</f>
        <v>8976</v>
      </c>
      <c r="D49" s="369">
        <f t="shared" ref="D49:L49" si="17">D30</f>
        <v>9328</v>
      </c>
      <c r="E49" s="369">
        <f t="shared" si="17"/>
        <v>9680</v>
      </c>
      <c r="F49" s="369">
        <f t="shared" si="17"/>
        <v>10208</v>
      </c>
      <c r="G49" s="369">
        <f t="shared" si="17"/>
        <v>10920</v>
      </c>
      <c r="H49" s="557">
        <f t="shared" si="17"/>
        <v>11466.000000000002</v>
      </c>
      <c r="I49" s="557">
        <f t="shared" si="17"/>
        <v>12039.300000000001</v>
      </c>
      <c r="J49" s="557">
        <f t="shared" si="17"/>
        <v>12641.265000000001</v>
      </c>
      <c r="K49" s="557">
        <f t="shared" si="17"/>
        <v>13273.328250000002</v>
      </c>
      <c r="L49" s="557">
        <f t="shared" si="17"/>
        <v>13936.994662500003</v>
      </c>
      <c r="M49" s="333" t="s">
        <v>393</v>
      </c>
    </row>
    <row r="50" spans="1:13" outlineLevel="2" x14ac:dyDescent="0.2">
      <c r="A50" s="388" t="s">
        <v>109</v>
      </c>
      <c r="B50" s="387"/>
    </row>
    <row r="51" spans="1:13" outlineLevel="2" x14ac:dyDescent="0.2">
      <c r="A51" s="389" t="s">
        <v>110</v>
      </c>
      <c r="B51" s="387" t="s">
        <v>108</v>
      </c>
      <c r="C51" s="330">
        <f>C49*C52</f>
        <v>1525.92</v>
      </c>
      <c r="D51" s="330">
        <f t="shared" ref="D51:L51" si="18">D49*D52</f>
        <v>1585.7600000000002</v>
      </c>
      <c r="E51" s="330">
        <f t="shared" si="18"/>
        <v>1645.6000000000001</v>
      </c>
      <c r="F51" s="330">
        <f t="shared" si="18"/>
        <v>1735.3600000000001</v>
      </c>
      <c r="G51" s="330">
        <f t="shared" si="18"/>
        <v>1856.4</v>
      </c>
      <c r="H51" s="565">
        <f t="shared" si="18"/>
        <v>1949.2200000000005</v>
      </c>
      <c r="I51" s="565">
        <f t="shared" si="18"/>
        <v>2046.6810000000003</v>
      </c>
      <c r="J51" s="565">
        <f t="shared" si="18"/>
        <v>2149.0150500000004</v>
      </c>
      <c r="K51" s="565">
        <f t="shared" si="18"/>
        <v>2256.4658025000003</v>
      </c>
      <c r="L51" s="565">
        <f t="shared" si="18"/>
        <v>2369.2890926250006</v>
      </c>
      <c r="M51" s="333" t="s">
        <v>391</v>
      </c>
    </row>
    <row r="52" spans="1:13" ht="12" customHeight="1" outlineLevel="2" x14ac:dyDescent="0.2">
      <c r="A52" s="390" t="s">
        <v>111</v>
      </c>
      <c r="B52" s="387"/>
      <c r="C52" s="345">
        <v>0.17</v>
      </c>
      <c r="D52" s="345">
        <v>0.17</v>
      </c>
      <c r="E52" s="345">
        <v>0.17</v>
      </c>
      <c r="F52" s="345">
        <v>0.17</v>
      </c>
      <c r="G52" s="345">
        <v>0.17</v>
      </c>
      <c r="H52" s="566">
        <v>0.17</v>
      </c>
      <c r="I52" s="566">
        <v>0.17</v>
      </c>
      <c r="J52" s="566">
        <v>0.17</v>
      </c>
      <c r="K52" s="566">
        <v>0.17</v>
      </c>
      <c r="L52" s="566">
        <v>0.17</v>
      </c>
      <c r="M52" s="460" t="s">
        <v>390</v>
      </c>
    </row>
    <row r="53" spans="1:13" ht="10.5" customHeight="1" outlineLevel="2" x14ac:dyDescent="0.2">
      <c r="A53" s="389" t="s">
        <v>112</v>
      </c>
      <c r="B53" s="387" t="s">
        <v>108</v>
      </c>
      <c r="C53" s="391">
        <v>1250</v>
      </c>
      <c r="D53" s="391">
        <v>1500</v>
      </c>
      <c r="E53" s="391">
        <v>2000</v>
      </c>
      <c r="F53" s="391">
        <v>2000</v>
      </c>
      <c r="G53" s="391">
        <v>2000</v>
      </c>
      <c r="H53" s="545">
        <v>2000</v>
      </c>
      <c r="I53" s="545">
        <v>2000</v>
      </c>
      <c r="J53" s="545">
        <v>2000</v>
      </c>
      <c r="K53" s="545">
        <v>2000</v>
      </c>
      <c r="L53" s="545">
        <v>2000</v>
      </c>
      <c r="M53" s="460" t="s">
        <v>389</v>
      </c>
    </row>
    <row r="54" spans="1:13" outlineLevel="2" x14ac:dyDescent="0.2">
      <c r="A54" s="364" t="s">
        <v>444</v>
      </c>
      <c r="B54" s="392" t="s">
        <v>108</v>
      </c>
      <c r="C54" s="369">
        <f>C49-C53-C51</f>
        <v>6200.08</v>
      </c>
      <c r="D54" s="369">
        <f t="shared" ref="D54:L54" si="19">D49-D53-D51</f>
        <v>6242.24</v>
      </c>
      <c r="E54" s="369">
        <f t="shared" si="19"/>
        <v>6034.4</v>
      </c>
      <c r="F54" s="369">
        <f t="shared" si="19"/>
        <v>6472.6399999999994</v>
      </c>
      <c r="G54" s="369">
        <f t="shared" si="19"/>
        <v>7063.6</v>
      </c>
      <c r="H54" s="557">
        <f t="shared" si="19"/>
        <v>7516.7800000000016</v>
      </c>
      <c r="I54" s="557">
        <f t="shared" si="19"/>
        <v>7992.6190000000006</v>
      </c>
      <c r="J54" s="557">
        <f t="shared" si="19"/>
        <v>8492.2499500000013</v>
      </c>
      <c r="K54" s="557">
        <f t="shared" si="19"/>
        <v>9016.8624475000015</v>
      </c>
      <c r="L54" s="557">
        <f t="shared" si="19"/>
        <v>9567.7055698750028</v>
      </c>
      <c r="M54" s="333" t="s">
        <v>392</v>
      </c>
    </row>
    <row r="55" spans="1:13" outlineLevel="2" x14ac:dyDescent="0.2">
      <c r="B55" s="392"/>
    </row>
    <row r="56" spans="1:13" ht="13.5" customHeight="1" outlineLevel="1" x14ac:dyDescent="0.2">
      <c r="A56" s="393" t="s">
        <v>227</v>
      </c>
      <c r="B56" s="392" t="s">
        <v>108</v>
      </c>
      <c r="C56" s="369">
        <f>C41/C23</f>
        <v>8976</v>
      </c>
      <c r="D56" s="369">
        <f t="shared" ref="D56:L56" si="20">D41/D23</f>
        <v>9328</v>
      </c>
      <c r="E56" s="369">
        <f t="shared" si="20"/>
        <v>9680</v>
      </c>
      <c r="F56" s="369">
        <f t="shared" si="20"/>
        <v>10208</v>
      </c>
      <c r="G56" s="369">
        <f t="shared" si="20"/>
        <v>10920</v>
      </c>
      <c r="H56" s="369">
        <f t="shared" si="20"/>
        <v>11466</v>
      </c>
      <c r="I56" s="369">
        <f t="shared" si="20"/>
        <v>12039.300000000001</v>
      </c>
      <c r="J56" s="369">
        <f t="shared" si="20"/>
        <v>12641.265000000001</v>
      </c>
      <c r="K56" s="369">
        <f t="shared" si="20"/>
        <v>13273.328250000004</v>
      </c>
      <c r="L56" s="369">
        <f t="shared" si="20"/>
        <v>13936.994662500003</v>
      </c>
      <c r="M56" s="333" t="s">
        <v>394</v>
      </c>
    </row>
    <row r="57" spans="1:13" outlineLevel="1" x14ac:dyDescent="0.2">
      <c r="A57" s="366" t="s">
        <v>228</v>
      </c>
      <c r="B57" s="363" t="s">
        <v>108</v>
      </c>
      <c r="C57" s="369">
        <f>C42/(C36*C9)</f>
        <v>0.12339699999999999</v>
      </c>
      <c r="D57" s="369"/>
      <c r="E57" s="369"/>
      <c r="F57" s="369"/>
      <c r="G57" s="369"/>
      <c r="H57" s="369"/>
      <c r="I57" s="369"/>
      <c r="J57" s="369"/>
      <c r="K57" s="369"/>
      <c r="L57" s="369"/>
      <c r="M57" s="333" t="s">
        <v>395</v>
      </c>
    </row>
    <row r="59" spans="1:13" x14ac:dyDescent="0.2">
      <c r="A59" s="339" t="s">
        <v>113</v>
      </c>
      <c r="B59" s="382" t="s">
        <v>103</v>
      </c>
      <c r="C59" s="383">
        <f>SUM(C61:C62)</f>
        <v>18040.63150404</v>
      </c>
      <c r="D59" s="383">
        <f t="shared" ref="D59:L59" si="21">SUM(D61:D62)</f>
        <v>21044.247854543999</v>
      </c>
      <c r="E59" s="383">
        <f t="shared" si="21"/>
        <v>18167.9816784</v>
      </c>
      <c r="F59" s="383">
        <f t="shared" si="21"/>
        <v>19613.296355046401</v>
      </c>
      <c r="G59" s="383">
        <f t="shared" si="21"/>
        <v>24447.154820032003</v>
      </c>
      <c r="H59" s="557">
        <f t="shared" si="21"/>
        <v>29561.431220210172</v>
      </c>
      <c r="I59" s="557">
        <f t="shared" si="21"/>
        <v>35948.708021681094</v>
      </c>
      <c r="J59" s="557">
        <f t="shared" si="21"/>
        <v>44264.222181345889</v>
      </c>
      <c r="K59" s="557">
        <f t="shared" si="21"/>
        <v>54466.261559182574</v>
      </c>
      <c r="L59" s="557">
        <f t="shared" si="21"/>
        <v>66933.010483129139</v>
      </c>
    </row>
    <row r="60" spans="1:13" outlineLevel="1" x14ac:dyDescent="0.2"/>
    <row r="61" spans="1:13" outlineLevel="1" x14ac:dyDescent="0.2">
      <c r="A61" s="336" t="s">
        <v>114</v>
      </c>
      <c r="C61" s="338">
        <f>C54*C23</f>
        <v>17382.52568776</v>
      </c>
      <c r="D61" s="338">
        <f t="shared" ref="D61:L61" si="22">D54*D23</f>
        <v>19467.492863039999</v>
      </c>
      <c r="E61" s="338">
        <f t="shared" si="22"/>
        <v>16998.506529599999</v>
      </c>
      <c r="F61" s="338">
        <f t="shared" si="22"/>
        <v>18355.533492505601</v>
      </c>
      <c r="G61" s="338">
        <f t="shared" si="22"/>
        <v>22625.245373248003</v>
      </c>
      <c r="H61" s="542">
        <f t="shared" si="22"/>
        <v>26615.348987477042</v>
      </c>
      <c r="I61" s="542">
        <f t="shared" si="22"/>
        <v>32120.721964743763</v>
      </c>
      <c r="J61" s="542">
        <f t="shared" si="22"/>
        <v>39247.933552683789</v>
      </c>
      <c r="K61" s="542">
        <f t="shared" si="22"/>
        <v>47923.36581215974</v>
      </c>
      <c r="L61" s="542">
        <f t="shared" si="22"/>
        <v>58478.673172571049</v>
      </c>
      <c r="M61" s="333" t="s">
        <v>396</v>
      </c>
    </row>
    <row r="62" spans="1:13" outlineLevel="1" x14ac:dyDescent="0.2">
      <c r="A62" s="336" t="s">
        <v>115</v>
      </c>
      <c r="C62" s="338">
        <f>C42*(1-0.08)</f>
        <v>658.10581628</v>
      </c>
      <c r="D62" s="338">
        <f t="shared" ref="D62:L62" si="23">D42*(1-0.08)</f>
        <v>1576.7549915039999</v>
      </c>
      <c r="E62" s="338">
        <f t="shared" si="23"/>
        <v>1169.4751487999999</v>
      </c>
      <c r="F62" s="338">
        <f t="shared" si="23"/>
        <v>1257.7628625407997</v>
      </c>
      <c r="G62" s="338">
        <f t="shared" si="23"/>
        <v>1821.9094467839989</v>
      </c>
      <c r="H62" s="542">
        <f t="shared" si="23"/>
        <v>2946.0822327331316</v>
      </c>
      <c r="I62" s="542">
        <f t="shared" si="23"/>
        <v>3827.9860569373291</v>
      </c>
      <c r="J62" s="542">
        <f t="shared" si="23"/>
        <v>5016.2886286620987</v>
      </c>
      <c r="K62" s="542">
        <f t="shared" si="23"/>
        <v>6542.895747022837</v>
      </c>
      <c r="L62" s="542">
        <f t="shared" si="23"/>
        <v>8454.3373105580868</v>
      </c>
      <c r="M62" s="333" t="s">
        <v>397</v>
      </c>
    </row>
    <row r="63" spans="1:13" x14ac:dyDescent="0.2">
      <c r="C63" s="357"/>
      <c r="D63" s="357"/>
      <c r="E63" s="357"/>
      <c r="F63" s="357"/>
      <c r="G63" s="357"/>
    </row>
    <row r="64" spans="1:13" x14ac:dyDescent="0.2">
      <c r="A64" s="339" t="s">
        <v>116</v>
      </c>
      <c r="B64" s="382" t="s">
        <v>103</v>
      </c>
      <c r="C64" s="394"/>
      <c r="D64" s="394"/>
      <c r="E64" s="394"/>
      <c r="F64" s="394"/>
      <c r="G64" s="394"/>
      <c r="H64" s="394"/>
      <c r="I64" s="394"/>
      <c r="J64" s="394"/>
    </row>
    <row r="65" spans="1:13" outlineLevel="1" x14ac:dyDescent="0.2">
      <c r="A65" s="332"/>
    </row>
    <row r="66" spans="1:13" outlineLevel="1" x14ac:dyDescent="0.2">
      <c r="A66" s="384" t="s">
        <v>117</v>
      </c>
    </row>
    <row r="67" spans="1:13" outlineLevel="1" x14ac:dyDescent="0.2">
      <c r="A67" s="395" t="s">
        <v>12</v>
      </c>
      <c r="C67" s="396">
        <f>IS!C20/IS!C15</f>
        <v>6.6055598306174565E-2</v>
      </c>
      <c r="D67" s="396">
        <f>IS!D20/IS!D15</f>
        <v>0.10367726707748136</v>
      </c>
      <c r="E67" s="396">
        <f>IS!E20/IS!E15</f>
        <v>0.11713286830968354</v>
      </c>
      <c r="F67" s="396">
        <f>IS!F20/IS!F15</f>
        <v>0.16607691088562368</v>
      </c>
      <c r="G67" s="396">
        <f>IS!G20/IS!G15</f>
        <v>0.12738122435627119</v>
      </c>
      <c r="H67" s="567">
        <v>0.11</v>
      </c>
      <c r="I67" s="567">
        <v>0.11</v>
      </c>
      <c r="J67" s="567">
        <v>0.11</v>
      </c>
      <c r="K67" s="567">
        <v>0.11</v>
      </c>
      <c r="L67" s="567">
        <v>0.11</v>
      </c>
      <c r="M67" s="333" t="s">
        <v>427</v>
      </c>
    </row>
    <row r="68" spans="1:13" outlineLevel="1" x14ac:dyDescent="0.2">
      <c r="A68" s="395" t="s">
        <v>13</v>
      </c>
      <c r="C68" s="396">
        <f>IS!C21/IS!C15</f>
        <v>5.5158172829186357E-2</v>
      </c>
      <c r="D68" s="396">
        <f>IS!D21/IS!D15</f>
        <v>6.4238638869332343E-2</v>
      </c>
      <c r="E68" s="396">
        <f>IS!E21/IS!E15</f>
        <v>7.2843688182400654E-2</v>
      </c>
      <c r="F68" s="396">
        <f>IS!F21/IS!F15</f>
        <v>8.4296456027663863E-2</v>
      </c>
      <c r="G68" s="396">
        <f>IS!G21/IS!G15</f>
        <v>6.0634984921482317E-2</v>
      </c>
      <c r="H68" s="567">
        <v>7.0000000000000007E-2</v>
      </c>
      <c r="I68" s="567">
        <v>7.0000000000000007E-2</v>
      </c>
      <c r="J68" s="567">
        <v>7.0000000000000007E-2</v>
      </c>
      <c r="K68" s="567">
        <v>7.0000000000000007E-2</v>
      </c>
      <c r="L68" s="567">
        <v>7.0000000000000007E-2</v>
      </c>
      <c r="M68" s="333" t="s">
        <v>426</v>
      </c>
    </row>
    <row r="69" spans="1:13" outlineLevel="1" x14ac:dyDescent="0.2">
      <c r="A69" s="395" t="s">
        <v>14</v>
      </c>
      <c r="C69" s="396">
        <f>IS!C22/IS!C15</f>
        <v>8.6485492394100166E-2</v>
      </c>
      <c r="D69" s="396">
        <f>IS!D22/IS!D15</f>
        <v>0.11723946426041487</v>
      </c>
      <c r="E69" s="396">
        <f>IS!E22/IS!E15</f>
        <v>0.10850500541347993</v>
      </c>
      <c r="F69" s="396">
        <f>IS!F22/IS!F15</f>
        <v>0.15859059597628997</v>
      </c>
      <c r="G69" s="396">
        <f>IS!G22/IS!G15</f>
        <v>0.11677300975205886</v>
      </c>
      <c r="H69" s="567"/>
      <c r="I69" s="567"/>
      <c r="J69" s="567"/>
      <c r="K69" s="568"/>
      <c r="L69" s="568"/>
      <c r="M69" s="333" t="s">
        <v>430</v>
      </c>
    </row>
    <row r="70" spans="1:13" outlineLevel="1" x14ac:dyDescent="0.2">
      <c r="A70" s="395" t="s">
        <v>274</v>
      </c>
      <c r="C70" s="396">
        <f>IS!C23/IS!C15</f>
        <v>9.0462116020501235E-2</v>
      </c>
      <c r="D70" s="396">
        <f>IS!D23/IS!D15</f>
        <v>0.24519285069362429</v>
      </c>
      <c r="E70" s="396">
        <f>IS!E23/IS!E15</f>
        <v>0.290280805701218</v>
      </c>
      <c r="F70" s="396">
        <f>IS!F23/IS!F15</f>
        <v>0.36690562729442561</v>
      </c>
      <c r="G70" s="396">
        <f>IS!G23/IS!G15</f>
        <v>0.2924097755846054</v>
      </c>
      <c r="H70" s="567">
        <f>H77/H59</f>
        <v>1.053806839321852</v>
      </c>
      <c r="I70" s="567">
        <f t="shared" ref="I70:L70" si="24">I77/I59</f>
        <v>0.966961208259146</v>
      </c>
      <c r="J70" s="567">
        <f t="shared" si="24"/>
        <v>0.78995969739949479</v>
      </c>
      <c r="K70" s="567">
        <f t="shared" si="24"/>
        <v>0.63976171713935714</v>
      </c>
      <c r="L70" s="567">
        <f t="shared" si="24"/>
        <v>0.53149370777369287</v>
      </c>
      <c r="M70" s="333" t="s">
        <v>430</v>
      </c>
    </row>
    <row r="71" spans="1:13" outlineLevel="1" x14ac:dyDescent="0.2">
      <c r="A71" s="395" t="s">
        <v>15</v>
      </c>
      <c r="C71" s="396">
        <f>IS!C24/IS!C15</f>
        <v>1.5754022012836675E-3</v>
      </c>
      <c r="D71" s="396">
        <f>IS!D24/IS!D15</f>
        <v>2.6759759212259524E-3</v>
      </c>
      <c r="E71" s="396">
        <f>IS!E24/IS!E15</f>
        <v>2.9080085365563997E-3</v>
      </c>
      <c r="F71" s="396">
        <f>IS!F24/IS!F15</f>
        <v>2.3222885205408236E-3</v>
      </c>
      <c r="G71" s="396">
        <f>IS!G24/IS!G15</f>
        <v>2.1719080798565053E-3</v>
      </c>
      <c r="H71" s="567">
        <v>2E-3</v>
      </c>
      <c r="I71" s="567">
        <v>2E-3</v>
      </c>
      <c r="J71" s="567">
        <v>2E-3</v>
      </c>
      <c r="K71" s="567">
        <v>2E-3</v>
      </c>
      <c r="L71" s="567">
        <v>2E-3</v>
      </c>
      <c r="M71" s="333" t="s">
        <v>429</v>
      </c>
    </row>
    <row r="72" spans="1:13" outlineLevel="1" x14ac:dyDescent="0.2">
      <c r="A72" s="395" t="s">
        <v>16</v>
      </c>
      <c r="C72" s="396">
        <f>IS!C25/IS!C15</f>
        <v>1.9093629861811155E-2</v>
      </c>
      <c r="D72" s="396">
        <f>IS!D25/IS!D15</f>
        <v>3.3820761123427863E-2</v>
      </c>
      <c r="E72" s="396">
        <f>IS!E25/IS!E15</f>
        <v>3.7946383709805541E-2</v>
      </c>
      <c r="F72" s="396">
        <f>IS!F25/IS!F15</f>
        <v>4.1696676748661426E-2</v>
      </c>
      <c r="G72" s="396">
        <f>IS!G25/IS!G15</f>
        <v>3.1742324314514042E-2</v>
      </c>
      <c r="H72" s="567">
        <v>3.2000000000000001E-2</v>
      </c>
      <c r="I72" s="567">
        <v>3.2000000000000001E-2</v>
      </c>
      <c r="J72" s="567">
        <v>3.2000000000000001E-2</v>
      </c>
      <c r="K72" s="567">
        <v>3.2000000000000001E-2</v>
      </c>
      <c r="L72" s="567">
        <v>3.2000000000000001E-2</v>
      </c>
      <c r="M72" s="333" t="s">
        <v>429</v>
      </c>
    </row>
    <row r="73" spans="1:13" outlineLevel="1" x14ac:dyDescent="0.2">
      <c r="A73" s="395" t="s">
        <v>17</v>
      </c>
      <c r="C73" s="396">
        <f>IS!C26/IS!C15</f>
        <v>6.3459452990977591E-2</v>
      </c>
      <c r="D73" s="396">
        <f>IS!D26/IS!D15</f>
        <v>6.595042984511322E-2</v>
      </c>
      <c r="E73" s="396">
        <f>IS!E26/IS!E15</f>
        <v>7.2055538582836615E-2</v>
      </c>
      <c r="F73" s="396">
        <f>IS!F26/IS!F15</f>
        <v>9.8279572850261093E-2</v>
      </c>
      <c r="G73" s="396">
        <f>IS!G26/IS!G15</f>
        <v>6.4088077742896585E-2</v>
      </c>
      <c r="H73" s="567"/>
      <c r="I73" s="567"/>
      <c r="J73" s="567"/>
      <c r="K73" s="568"/>
      <c r="L73" s="568"/>
    </row>
    <row r="74" spans="1:13" outlineLevel="1" x14ac:dyDescent="0.2">
      <c r="A74" s="395" t="s">
        <v>18</v>
      </c>
      <c r="C74" s="396">
        <f>IS!C27/IS!C15</f>
        <v>0.42613995466758736</v>
      </c>
      <c r="D74" s="396">
        <f>IS!D27/IS!D15</f>
        <v>0.12955969974402759</v>
      </c>
      <c r="E74" s="396">
        <f>IS!E27/IS!E15</f>
        <v>2.8150672739918996E-2</v>
      </c>
      <c r="F74" s="396">
        <f>IS!F27/IS!F15</f>
        <v>3.3616862958862639E-2</v>
      </c>
      <c r="G74" s="396">
        <f>IS!G27/IS!G15</f>
        <v>2.4006639945103853E-2</v>
      </c>
      <c r="H74" s="567">
        <v>0.03</v>
      </c>
      <c r="I74" s="567">
        <v>0.03</v>
      </c>
      <c r="J74" s="567">
        <v>0.03</v>
      </c>
      <c r="K74" s="567">
        <v>0.03</v>
      </c>
      <c r="L74" s="567">
        <v>0.03</v>
      </c>
      <c r="M74" s="333" t="s">
        <v>428</v>
      </c>
    </row>
    <row r="75" spans="1:13" outlineLevel="1" x14ac:dyDescent="0.2">
      <c r="A75" s="336"/>
      <c r="C75" s="397"/>
      <c r="D75" s="397"/>
      <c r="E75" s="397"/>
    </row>
    <row r="76" spans="1:13" outlineLevel="1" x14ac:dyDescent="0.2">
      <c r="A76" s="398" t="s">
        <v>118</v>
      </c>
      <c r="C76" s="399"/>
      <c r="D76" s="399"/>
      <c r="E76" s="399"/>
      <c r="F76" s="399"/>
      <c r="G76" s="399"/>
      <c r="H76" s="399"/>
      <c r="I76" s="399"/>
      <c r="J76" s="399"/>
    </row>
    <row r="77" spans="1:13" outlineLevel="2" x14ac:dyDescent="0.2">
      <c r="A77" s="336" t="s">
        <v>269</v>
      </c>
      <c r="C77" s="400">
        <f>C114</f>
        <v>13605.031999999999</v>
      </c>
      <c r="D77" s="400">
        <f t="shared" ref="D77:L77" si="25">D114</f>
        <v>15581.6304</v>
      </c>
      <c r="E77" s="400">
        <f t="shared" si="25"/>
        <v>18824.96</v>
      </c>
      <c r="F77" s="400">
        <f t="shared" si="25"/>
        <v>19588.127999999997</v>
      </c>
      <c r="G77" s="400">
        <f t="shared" si="25"/>
        <v>21352.12</v>
      </c>
      <c r="H77" s="400">
        <f t="shared" si="25"/>
        <v>31152.038400000001</v>
      </c>
      <c r="I77" s="400">
        <f t="shared" si="25"/>
        <v>34761.006144000006</v>
      </c>
      <c r="J77" s="400">
        <f t="shared" si="25"/>
        <v>34966.951560000001</v>
      </c>
      <c r="K77" s="400">
        <f t="shared" si="25"/>
        <v>34845.429021264004</v>
      </c>
      <c r="L77" s="400">
        <f t="shared" si="25"/>
        <v>35574.473914133763</v>
      </c>
      <c r="M77" s="333" t="s">
        <v>420</v>
      </c>
    </row>
    <row r="78" spans="1:13" outlineLevel="2" x14ac:dyDescent="0.2">
      <c r="A78" s="336"/>
      <c r="C78" s="400"/>
      <c r="D78" s="400"/>
      <c r="E78" s="400"/>
      <c r="F78" s="400"/>
      <c r="G78" s="400"/>
      <c r="H78" s="400"/>
      <c r="I78" s="400"/>
      <c r="J78" s="400"/>
    </row>
    <row r="79" spans="1:13" outlineLevel="2" x14ac:dyDescent="0.2">
      <c r="A79" s="336" t="s">
        <v>120</v>
      </c>
      <c r="C79" s="400"/>
      <c r="D79" s="400"/>
      <c r="E79" s="400"/>
      <c r="F79" s="400"/>
      <c r="G79" s="400"/>
      <c r="H79" s="400">
        <f>H88*H104*H121</f>
        <v>119.70931607401505</v>
      </c>
      <c r="I79" s="400">
        <f>I88*I104*I121</f>
        <v>142.66357743120744</v>
      </c>
      <c r="J79" s="400">
        <f>J88*J104*J121</f>
        <v>172.26626974818302</v>
      </c>
      <c r="K79" s="400">
        <f>K88*K104*K121</f>
        <v>208.01152072093097</v>
      </c>
      <c r="L79" s="400">
        <f>L88*L104*L121</f>
        <v>251.17391127052414</v>
      </c>
      <c r="M79" s="333" t="s">
        <v>421</v>
      </c>
    </row>
    <row r="80" spans="1:13" outlineLevel="2" x14ac:dyDescent="0.2">
      <c r="A80" s="336" t="s">
        <v>121</v>
      </c>
      <c r="C80" s="400"/>
      <c r="D80" s="400"/>
      <c r="E80" s="400"/>
      <c r="F80" s="400"/>
      <c r="G80" s="400"/>
      <c r="H80" s="400">
        <f>H89*H104*H128</f>
        <v>78.36219576311278</v>
      </c>
      <c r="I80" s="400">
        <f>I89*I104*I128</f>
        <v>91.609324956866985</v>
      </c>
      <c r="J80" s="400">
        <f>J89*J104*J128</f>
        <v>108.51124541140899</v>
      </c>
      <c r="K80" s="400">
        <f>K89*K104*K128</f>
        <v>128.53157018981395</v>
      </c>
      <c r="L80" s="400">
        <f>L89*L104*L128</f>
        <v>152.24564488983461</v>
      </c>
      <c r="M80" s="333" t="s">
        <v>425</v>
      </c>
    </row>
    <row r="81" spans="1:16" outlineLevel="2" x14ac:dyDescent="0.2">
      <c r="A81" s="336" t="s">
        <v>122</v>
      </c>
      <c r="C81" s="400"/>
      <c r="D81" s="400"/>
      <c r="E81" s="400"/>
      <c r="F81" s="400"/>
      <c r="G81" s="400"/>
      <c r="H81" s="400">
        <f>H90*H104*H140</f>
        <v>413.64966137366656</v>
      </c>
      <c r="I81" s="400">
        <f>I90*I104*I140</f>
        <v>563.3908387909338</v>
      </c>
      <c r="J81" s="400">
        <f>J90*J104*J140</f>
        <v>777.47935753148874</v>
      </c>
      <c r="K81" s="400">
        <f>K90*K104*K140</f>
        <v>1072.9215133934545</v>
      </c>
      <c r="L81" s="400">
        <f>L90*L104*L140</f>
        <v>1480.6316884829669</v>
      </c>
      <c r="M81" s="333" t="s">
        <v>422</v>
      </c>
    </row>
    <row r="82" spans="1:16" outlineLevel="2" x14ac:dyDescent="0.2">
      <c r="A82" s="336" t="s">
        <v>123</v>
      </c>
      <c r="C82" s="400"/>
      <c r="D82" s="400"/>
      <c r="E82" s="400"/>
      <c r="F82" s="400"/>
      <c r="G82" s="400"/>
      <c r="H82" s="400">
        <f>H92*H104*H141</f>
        <v>36.063614766666653</v>
      </c>
      <c r="I82" s="400">
        <f>I92*I104*I141</f>
        <v>40.932202760166653</v>
      </c>
      <c r="J82" s="400">
        <f>J92*J104*J141</f>
        <v>47.07203317419166</v>
      </c>
      <c r="K82" s="400">
        <f>K92*K104*K141</f>
        <v>54.132838150320403</v>
      </c>
      <c r="L82" s="400">
        <f>L92*L104*L141</f>
        <v>62.252763872868471</v>
      </c>
      <c r="M82" s="333" t="s">
        <v>423</v>
      </c>
      <c r="N82" s="338"/>
      <c r="P82" s="332" t="s">
        <v>172</v>
      </c>
    </row>
    <row r="83" spans="1:16" outlineLevel="2" x14ac:dyDescent="0.2">
      <c r="A83" s="336" t="s">
        <v>124</v>
      </c>
      <c r="B83" s="401"/>
      <c r="C83" s="400"/>
      <c r="D83" s="400"/>
      <c r="E83" s="400"/>
      <c r="F83" s="400"/>
      <c r="G83" s="400"/>
      <c r="H83" s="400">
        <f>H91*H104*H133</f>
        <v>38.428226786656865</v>
      </c>
      <c r="I83" s="400">
        <f>I91*I104*I133</f>
        <v>48.668961069898891</v>
      </c>
      <c r="J83" s="400">
        <f>J91*J104*J133</f>
        <v>56.300901554182666</v>
      </c>
      <c r="K83" s="400">
        <f>K91*K104*K133</f>
        <v>64.521021382407298</v>
      </c>
      <c r="L83" s="400">
        <f>L91*L104*L133</f>
        <v>75.751588516335687</v>
      </c>
      <c r="M83" s="333" t="s">
        <v>424</v>
      </c>
      <c r="N83" s="338"/>
    </row>
    <row r="84" spans="1:16" outlineLevel="2" x14ac:dyDescent="0.2">
      <c r="A84" s="336" t="s">
        <v>468</v>
      </c>
      <c r="B84" s="403"/>
      <c r="C84" s="404"/>
      <c r="D84" s="404"/>
      <c r="E84" s="404"/>
      <c r="F84" s="404"/>
      <c r="G84" s="404"/>
      <c r="H84" s="447">
        <f>H93*H104*H142</f>
        <v>84.148434455555531</v>
      </c>
      <c r="I84" s="447">
        <f>I93*I104*I142</f>
        <v>95.508473107055522</v>
      </c>
      <c r="J84" s="447">
        <f>J93*J104*J142</f>
        <v>109.83474407311387</v>
      </c>
      <c r="K84" s="447">
        <f>K93*K104*K142</f>
        <v>126.30995568408095</v>
      </c>
      <c r="L84" s="447">
        <f>L93*L104*L142</f>
        <v>145.25644903669308</v>
      </c>
      <c r="N84" s="338"/>
    </row>
    <row r="85" spans="1:16" outlineLevel="2" x14ac:dyDescent="0.2">
      <c r="A85" s="402" t="s">
        <v>337</v>
      </c>
      <c r="B85" s="403"/>
      <c r="C85" s="404"/>
      <c r="D85" s="404"/>
      <c r="E85" s="404"/>
      <c r="F85" s="404"/>
      <c r="G85" s="404"/>
      <c r="H85" s="404"/>
      <c r="I85" s="404"/>
      <c r="J85" s="404"/>
      <c r="K85" s="404"/>
      <c r="L85" s="404"/>
      <c r="N85" s="338"/>
    </row>
    <row r="86" spans="1:16" outlineLevel="1" x14ac:dyDescent="0.2">
      <c r="A86" s="329"/>
      <c r="B86" s="405"/>
      <c r="C86" s="406"/>
      <c r="D86" s="406"/>
      <c r="E86" s="406"/>
      <c r="N86" s="375"/>
    </row>
    <row r="87" spans="1:16" outlineLevel="1" x14ac:dyDescent="0.2">
      <c r="A87" s="398" t="s">
        <v>336</v>
      </c>
      <c r="C87" s="407"/>
      <c r="D87" s="407"/>
      <c r="E87" s="407"/>
      <c r="F87" s="407"/>
      <c r="G87" s="407"/>
      <c r="H87" s="407">
        <f>SUM(C88:C92)</f>
        <v>1</v>
      </c>
      <c r="I87" s="407">
        <f t="shared" ref="I87:L87" si="26">SUM(I88:I92)</f>
        <v>1</v>
      </c>
      <c r="J87" s="407">
        <f t="shared" si="26"/>
        <v>1</v>
      </c>
      <c r="K87" s="407">
        <f t="shared" si="26"/>
        <v>1</v>
      </c>
      <c r="L87" s="407">
        <f t="shared" si="26"/>
        <v>1</v>
      </c>
      <c r="N87" s="375"/>
    </row>
    <row r="88" spans="1:16" outlineLevel="2" x14ac:dyDescent="0.2">
      <c r="A88" s="336" t="s">
        <v>474</v>
      </c>
      <c r="C88" s="408">
        <v>0.13</v>
      </c>
      <c r="D88" s="408">
        <v>0.13</v>
      </c>
      <c r="E88" s="408">
        <v>0.13</v>
      </c>
      <c r="F88" s="408">
        <v>0.13</v>
      </c>
      <c r="G88" s="408">
        <v>0.13</v>
      </c>
      <c r="H88" s="408">
        <v>0.13</v>
      </c>
      <c r="I88" s="408">
        <v>0.13</v>
      </c>
      <c r="J88" s="408">
        <v>0.13</v>
      </c>
      <c r="K88" s="408">
        <v>0.13</v>
      </c>
      <c r="L88" s="408">
        <v>0.13</v>
      </c>
    </row>
    <row r="89" spans="1:16" outlineLevel="2" x14ac:dyDescent="0.2">
      <c r="A89" s="336" t="s">
        <v>121</v>
      </c>
      <c r="C89" s="408">
        <v>0.16</v>
      </c>
      <c r="D89" s="408">
        <v>0.16</v>
      </c>
      <c r="E89" s="408">
        <v>0.16</v>
      </c>
      <c r="F89" s="408">
        <v>0.16</v>
      </c>
      <c r="G89" s="408">
        <v>0.16</v>
      </c>
      <c r="H89" s="408">
        <v>0.16</v>
      </c>
      <c r="I89" s="408">
        <v>0.16</v>
      </c>
      <c r="J89" s="408">
        <v>0.16</v>
      </c>
      <c r="K89" s="408">
        <v>0.16</v>
      </c>
      <c r="L89" s="408">
        <v>0.16</v>
      </c>
      <c r="N89" s="357"/>
    </row>
    <row r="90" spans="1:16" outlineLevel="2" x14ac:dyDescent="0.2">
      <c r="A90" s="336" t="s">
        <v>475</v>
      </c>
      <c r="C90" s="408">
        <v>0.31</v>
      </c>
      <c r="D90" s="408">
        <v>0.31</v>
      </c>
      <c r="E90" s="408">
        <v>0.31</v>
      </c>
      <c r="F90" s="408">
        <v>0.31</v>
      </c>
      <c r="G90" s="408">
        <v>0.31</v>
      </c>
      <c r="H90" s="408">
        <v>0.31</v>
      </c>
      <c r="I90" s="408">
        <v>0.31</v>
      </c>
      <c r="J90" s="408">
        <v>0.31</v>
      </c>
      <c r="K90" s="408">
        <v>0.31</v>
      </c>
      <c r="L90" s="408">
        <v>0.31</v>
      </c>
    </row>
    <row r="91" spans="1:16" outlineLevel="2" x14ac:dyDescent="0.2">
      <c r="A91" s="336" t="s">
        <v>124</v>
      </c>
      <c r="C91" s="408">
        <v>0.1</v>
      </c>
      <c r="D91" s="408">
        <v>0.1</v>
      </c>
      <c r="E91" s="408">
        <v>0.1</v>
      </c>
      <c r="F91" s="408">
        <v>0.1</v>
      </c>
      <c r="G91" s="408">
        <v>0.1</v>
      </c>
      <c r="H91" s="408">
        <v>0.1</v>
      </c>
      <c r="I91" s="408">
        <v>0.1</v>
      </c>
      <c r="J91" s="408">
        <v>0.1</v>
      </c>
      <c r="K91" s="408">
        <v>0.1</v>
      </c>
      <c r="L91" s="408">
        <v>0.1</v>
      </c>
    </row>
    <row r="92" spans="1:16" outlineLevel="2" x14ac:dyDescent="0.2">
      <c r="A92" s="336" t="s">
        <v>476</v>
      </c>
      <c r="C92" s="408">
        <v>0.3</v>
      </c>
      <c r="D92" s="408">
        <v>0.3</v>
      </c>
      <c r="E92" s="408">
        <v>0.3</v>
      </c>
      <c r="F92" s="408">
        <v>0.3</v>
      </c>
      <c r="G92" s="408">
        <v>0.3</v>
      </c>
      <c r="H92" s="408">
        <v>0.3</v>
      </c>
      <c r="I92" s="408">
        <v>0.3</v>
      </c>
      <c r="J92" s="408">
        <v>0.3</v>
      </c>
      <c r="K92" s="408">
        <v>0.3</v>
      </c>
      <c r="L92" s="408">
        <v>0.3</v>
      </c>
    </row>
    <row r="93" spans="1:16" outlineLevel="2" x14ac:dyDescent="0.2">
      <c r="A93" s="336" t="s">
        <v>490</v>
      </c>
      <c r="C93" s="408">
        <v>0.35</v>
      </c>
      <c r="D93" s="408">
        <v>0.35</v>
      </c>
      <c r="E93" s="408">
        <v>0.35</v>
      </c>
      <c r="F93" s="408">
        <v>0.35</v>
      </c>
      <c r="G93" s="408">
        <v>0.35</v>
      </c>
      <c r="H93" s="408">
        <v>0.35</v>
      </c>
      <c r="I93" s="408">
        <v>0.35</v>
      </c>
      <c r="J93" s="408">
        <v>0.35</v>
      </c>
      <c r="K93" s="408">
        <v>0.35</v>
      </c>
      <c r="L93" s="408">
        <v>0.35</v>
      </c>
    </row>
    <row r="94" spans="1:16" outlineLevel="1" x14ac:dyDescent="0.2">
      <c r="C94" s="409"/>
      <c r="D94" s="409"/>
      <c r="E94" s="409"/>
    </row>
    <row r="95" spans="1:16" outlineLevel="1" x14ac:dyDescent="0.2">
      <c r="A95" s="398" t="s">
        <v>125</v>
      </c>
      <c r="C95" s="409"/>
      <c r="D95" s="409"/>
      <c r="E95" s="409"/>
      <c r="G95" s="375"/>
      <c r="H95" s="375"/>
      <c r="I95" s="375"/>
      <c r="J95" s="375"/>
    </row>
    <row r="96" spans="1:16" outlineLevel="2" x14ac:dyDescent="0.2">
      <c r="A96" s="336" t="s">
        <v>119</v>
      </c>
      <c r="B96" s="332" t="s">
        <v>173</v>
      </c>
      <c r="C96" s="410">
        <v>0.14000000000000001</v>
      </c>
      <c r="D96" s="410">
        <v>0.14000000000000001</v>
      </c>
      <c r="E96" s="410">
        <v>0.14000000000000001</v>
      </c>
      <c r="F96" s="410">
        <v>0.14000000000000001</v>
      </c>
      <c r="G96" s="410">
        <v>0.14000000000000001</v>
      </c>
      <c r="H96" s="410">
        <v>0.14000000000000001</v>
      </c>
      <c r="I96" s="410">
        <v>0.14000000000000001</v>
      </c>
      <c r="J96" s="410">
        <v>0.14000000000000001</v>
      </c>
      <c r="K96" s="410">
        <v>0.14000000000000001</v>
      </c>
      <c r="L96" s="410">
        <v>0.14000000000000001</v>
      </c>
    </row>
    <row r="97" spans="1:13" outlineLevel="2" x14ac:dyDescent="0.2">
      <c r="A97" s="336" t="s">
        <v>126</v>
      </c>
      <c r="B97" s="332" t="s">
        <v>127</v>
      </c>
      <c r="C97" s="411">
        <v>110</v>
      </c>
      <c r="D97" s="411">
        <v>110</v>
      </c>
      <c r="E97" s="411">
        <v>110</v>
      </c>
      <c r="F97" s="411">
        <v>110</v>
      </c>
      <c r="G97" s="411">
        <v>110</v>
      </c>
      <c r="H97" s="411">
        <v>110</v>
      </c>
      <c r="I97" s="411">
        <v>110</v>
      </c>
      <c r="J97" s="411">
        <v>110</v>
      </c>
      <c r="K97" s="411">
        <v>110</v>
      </c>
      <c r="L97" s="411">
        <v>110</v>
      </c>
    </row>
    <row r="98" spans="1:13" outlineLevel="2" x14ac:dyDescent="0.2">
      <c r="A98" s="336" t="s">
        <v>417</v>
      </c>
      <c r="B98" s="332" t="s">
        <v>128</v>
      </c>
      <c r="C98" s="379">
        <f>(C104*24*300)/1000</f>
        <v>321.96933999999999</v>
      </c>
      <c r="D98" s="379">
        <f t="shared" ref="D98:L98" si="27">(D104*24*300)/1000</f>
        <v>374.64206999999999</v>
      </c>
      <c r="E98" s="379">
        <f t="shared" si="27"/>
        <v>334.13853</v>
      </c>
      <c r="F98" s="379">
        <f t="shared" si="27"/>
        <v>339.07082000000008</v>
      </c>
      <c r="G98" s="379">
        <f t="shared" si="27"/>
        <v>382.97643999999997</v>
      </c>
      <c r="H98" s="379">
        <f t="shared" si="27"/>
        <v>432.76337719999992</v>
      </c>
      <c r="I98" s="379">
        <f t="shared" si="27"/>
        <v>491.18643312199987</v>
      </c>
      <c r="J98" s="379">
        <f t="shared" si="27"/>
        <v>564.86439809030003</v>
      </c>
      <c r="K98" s="379">
        <f t="shared" si="27"/>
        <v>649.59405780384486</v>
      </c>
      <c r="L98" s="379">
        <f t="shared" si="27"/>
        <v>747.03316647442159</v>
      </c>
      <c r="M98" s="333" t="s">
        <v>418</v>
      </c>
    </row>
    <row r="99" spans="1:13" outlineLevel="2" x14ac:dyDescent="0.2">
      <c r="A99" s="336"/>
      <c r="C99" s="379"/>
      <c r="D99" s="379"/>
      <c r="E99" s="379"/>
      <c r="F99" s="379"/>
      <c r="G99" s="379"/>
      <c r="H99" s="379"/>
      <c r="I99" s="379"/>
      <c r="J99" s="379"/>
    </row>
    <row r="100" spans="1:13" s="413" customFormat="1" outlineLevel="1" x14ac:dyDescent="0.2">
      <c r="A100" s="412" t="s">
        <v>129</v>
      </c>
      <c r="C100" s="414"/>
      <c r="D100" s="414"/>
      <c r="E100" s="415"/>
      <c r="F100" s="414"/>
      <c r="G100" s="414"/>
      <c r="H100" s="414"/>
      <c r="I100" s="414"/>
      <c r="J100" s="414"/>
      <c r="M100" s="416"/>
    </row>
    <row r="101" spans="1:13" outlineLevel="1" x14ac:dyDescent="0.2">
      <c r="A101" s="398" t="s">
        <v>130</v>
      </c>
      <c r="C101" s="417"/>
      <c r="D101" s="417"/>
      <c r="E101" s="417"/>
      <c r="F101" s="417"/>
      <c r="G101" s="417"/>
      <c r="H101" s="417"/>
      <c r="I101" s="417"/>
      <c r="J101" s="417"/>
    </row>
    <row r="102" spans="1:13" outlineLevel="2" x14ac:dyDescent="0.2">
      <c r="A102" s="398"/>
      <c r="C102" s="332"/>
      <c r="D102" s="332"/>
      <c r="G102" s="461"/>
      <c r="H102" s="461"/>
      <c r="I102" s="461"/>
      <c r="J102" s="461"/>
      <c r="K102" s="461"/>
    </row>
    <row r="103" spans="1:13" outlineLevel="2" x14ac:dyDescent="0.2">
      <c r="A103" s="398" t="s">
        <v>91</v>
      </c>
      <c r="C103" s="332"/>
      <c r="D103" s="332"/>
      <c r="G103" s="461"/>
      <c r="H103" s="461"/>
      <c r="I103" s="461"/>
      <c r="J103" s="461"/>
      <c r="K103" s="461"/>
    </row>
    <row r="104" spans="1:13" outlineLevel="3" x14ac:dyDescent="0.2">
      <c r="A104" s="384" t="s">
        <v>131</v>
      </c>
      <c r="B104" s="401" t="s">
        <v>132</v>
      </c>
      <c r="C104" s="529">
        <f>(C97*C22*1000)/24/300</f>
        <v>44.717963888888889</v>
      </c>
      <c r="D104" s="529">
        <f t="shared" ref="D104:L104" si="28">(D97*D22*1000)/24/300</f>
        <v>52.033620833333337</v>
      </c>
      <c r="E104" s="529">
        <f t="shared" si="28"/>
        <v>46.408129166666669</v>
      </c>
      <c r="F104" s="529">
        <f t="shared" si="28"/>
        <v>47.093169444444449</v>
      </c>
      <c r="G104" s="529">
        <f t="shared" si="28"/>
        <v>53.191172222222214</v>
      </c>
      <c r="H104" s="529">
        <f t="shared" si="28"/>
        <v>60.106024611111096</v>
      </c>
      <c r="I104" s="529">
        <f t="shared" si="28"/>
        <v>68.220337933611091</v>
      </c>
      <c r="J104" s="529">
        <f t="shared" si="28"/>
        <v>78.453388623652771</v>
      </c>
      <c r="K104" s="529">
        <f t="shared" si="28"/>
        <v>90.221396917200678</v>
      </c>
      <c r="L104" s="529">
        <f t="shared" si="28"/>
        <v>103.75460645478078</v>
      </c>
      <c r="M104" s="333" t="s">
        <v>419</v>
      </c>
    </row>
    <row r="105" spans="1:13" outlineLevel="3" x14ac:dyDescent="0.2">
      <c r="A105" s="418" t="s">
        <v>472</v>
      </c>
      <c r="B105" s="332" t="s">
        <v>132</v>
      </c>
      <c r="C105" s="530">
        <v>10</v>
      </c>
      <c r="D105" s="530">
        <f>10+7.6</f>
        <v>17.600000000000001</v>
      </c>
      <c r="E105" s="530">
        <f>12+9</f>
        <v>21</v>
      </c>
      <c r="F105" s="530">
        <f t="shared" ref="F105:L105" si="29">12+9</f>
        <v>21</v>
      </c>
      <c r="G105" s="530">
        <f t="shared" si="29"/>
        <v>21</v>
      </c>
      <c r="H105" s="543">
        <f t="shared" si="29"/>
        <v>21</v>
      </c>
      <c r="I105" s="543">
        <f t="shared" si="29"/>
        <v>21</v>
      </c>
      <c r="J105" s="543">
        <f t="shared" si="29"/>
        <v>21</v>
      </c>
      <c r="K105" s="543">
        <f t="shared" si="29"/>
        <v>21</v>
      </c>
      <c r="L105" s="543">
        <f t="shared" si="29"/>
        <v>21</v>
      </c>
    </row>
    <row r="106" spans="1:13" outlineLevel="3" x14ac:dyDescent="0.2">
      <c r="A106" s="418" t="s">
        <v>473</v>
      </c>
      <c r="B106" s="332" t="s">
        <v>132</v>
      </c>
      <c r="C106" s="530">
        <v>0</v>
      </c>
      <c r="D106" s="530">
        <v>0</v>
      </c>
      <c r="E106" s="530">
        <v>12.5</v>
      </c>
      <c r="F106" s="530">
        <f>12.5+2.5</f>
        <v>15</v>
      </c>
      <c r="G106" s="530">
        <f>12.5+2.5+2.5+8.6</f>
        <v>26.1</v>
      </c>
      <c r="H106" s="530">
        <f t="shared" ref="H106:L106" si="30">12.5+2.5+2.5+8.6</f>
        <v>26.1</v>
      </c>
      <c r="I106" s="530">
        <f t="shared" si="30"/>
        <v>26.1</v>
      </c>
      <c r="J106" s="530">
        <f t="shared" si="30"/>
        <v>26.1</v>
      </c>
      <c r="K106" s="530">
        <f t="shared" si="30"/>
        <v>26.1</v>
      </c>
      <c r="L106" s="530">
        <f t="shared" si="30"/>
        <v>26.1</v>
      </c>
    </row>
    <row r="107" spans="1:13" outlineLevel="3" x14ac:dyDescent="0.2">
      <c r="A107" s="418" t="s">
        <v>470</v>
      </c>
      <c r="B107" s="332" t="s">
        <v>132</v>
      </c>
      <c r="C107" s="530">
        <v>16.3</v>
      </c>
      <c r="D107" s="530">
        <v>16.3</v>
      </c>
      <c r="E107" s="530">
        <v>16.3</v>
      </c>
      <c r="F107" s="530">
        <v>16.3</v>
      </c>
      <c r="G107" s="530">
        <v>16.3</v>
      </c>
      <c r="H107" s="543">
        <v>16.3</v>
      </c>
      <c r="I107" s="543">
        <v>16.3</v>
      </c>
      <c r="J107" s="543">
        <v>16.3</v>
      </c>
      <c r="K107" s="543">
        <v>16.3</v>
      </c>
      <c r="L107" s="543">
        <v>16.3</v>
      </c>
    </row>
    <row r="108" spans="1:13" outlineLevel="3" x14ac:dyDescent="0.2">
      <c r="A108" s="418" t="s">
        <v>471</v>
      </c>
      <c r="B108" s="332" t="s">
        <v>132</v>
      </c>
      <c r="C108" s="530">
        <v>5.4</v>
      </c>
      <c r="D108" s="530">
        <v>5.4</v>
      </c>
      <c r="E108" s="530">
        <v>5.4</v>
      </c>
      <c r="F108" s="530">
        <v>5.4</v>
      </c>
      <c r="G108" s="530">
        <v>5.4</v>
      </c>
      <c r="H108" s="543">
        <v>5.4</v>
      </c>
      <c r="I108" s="543">
        <v>5.4</v>
      </c>
      <c r="J108" s="543">
        <v>5.4</v>
      </c>
      <c r="K108" s="543">
        <v>5.4</v>
      </c>
      <c r="L108" s="543">
        <v>5.4</v>
      </c>
    </row>
    <row r="109" spans="1:13" outlineLevel="3" x14ac:dyDescent="0.2">
      <c r="A109" s="418" t="s">
        <v>493</v>
      </c>
      <c r="B109" s="332" t="s">
        <v>132</v>
      </c>
      <c r="C109" s="530">
        <f>C104-C110</f>
        <v>13.017963888888886</v>
      </c>
      <c r="D109" s="530">
        <f t="shared" ref="D109:L109" si="31">D104-D110</f>
        <v>12.733620833333333</v>
      </c>
      <c r="E109" s="530">
        <f t="shared" si="31"/>
        <v>-8.7918708333333271</v>
      </c>
      <c r="F109" s="530">
        <f t="shared" si="31"/>
        <v>-10.606830555555547</v>
      </c>
      <c r="G109" s="530">
        <f t="shared" si="31"/>
        <v>-15.608827777777798</v>
      </c>
      <c r="H109" s="530">
        <f t="shared" si="31"/>
        <v>-8.6939753888889157</v>
      </c>
      <c r="I109" s="530">
        <f t="shared" si="31"/>
        <v>-0.57966206638892004</v>
      </c>
      <c r="J109" s="530">
        <f t="shared" si="31"/>
        <v>9.6533886236527593</v>
      </c>
      <c r="K109" s="530">
        <f t="shared" si="31"/>
        <v>21.421396917200667</v>
      </c>
      <c r="L109" s="530">
        <f t="shared" si="31"/>
        <v>34.954606454780773</v>
      </c>
    </row>
    <row r="110" spans="1:13" outlineLevel="2" x14ac:dyDescent="0.2">
      <c r="A110" s="336" t="s">
        <v>469</v>
      </c>
      <c r="C110" s="350">
        <f>SUM(C105:C108)</f>
        <v>31.700000000000003</v>
      </c>
      <c r="D110" s="350">
        <f t="shared" ref="D110:L110" si="32">SUM(D105:D108)</f>
        <v>39.300000000000004</v>
      </c>
      <c r="E110" s="350">
        <f t="shared" si="32"/>
        <v>55.199999999999996</v>
      </c>
      <c r="F110" s="350">
        <f t="shared" si="32"/>
        <v>57.699999999999996</v>
      </c>
      <c r="G110" s="350">
        <f t="shared" si="32"/>
        <v>68.800000000000011</v>
      </c>
      <c r="H110" s="350">
        <f t="shared" si="32"/>
        <v>68.800000000000011</v>
      </c>
      <c r="I110" s="350">
        <f t="shared" si="32"/>
        <v>68.800000000000011</v>
      </c>
      <c r="J110" s="350">
        <f t="shared" si="32"/>
        <v>68.800000000000011</v>
      </c>
      <c r="K110" s="350">
        <f t="shared" si="32"/>
        <v>68.800000000000011</v>
      </c>
      <c r="L110" s="350">
        <f t="shared" si="32"/>
        <v>68.800000000000011</v>
      </c>
    </row>
    <row r="111" spans="1:13" outlineLevel="1" x14ac:dyDescent="0.2">
      <c r="A111" s="336"/>
      <c r="C111" s="332"/>
      <c r="D111" s="332"/>
    </row>
    <row r="112" spans="1:13" outlineLevel="1" x14ac:dyDescent="0.2">
      <c r="A112" s="398" t="s">
        <v>133</v>
      </c>
      <c r="C112" s="409"/>
      <c r="D112" s="409"/>
      <c r="E112" s="409"/>
    </row>
    <row r="113" spans="1:13" outlineLevel="2" x14ac:dyDescent="0.2">
      <c r="F113" s="375"/>
    </row>
    <row r="114" spans="1:13" outlineLevel="2" x14ac:dyDescent="0.2">
      <c r="A114" s="384" t="s">
        <v>134</v>
      </c>
      <c r="B114" s="332" t="s">
        <v>135</v>
      </c>
      <c r="C114" s="399">
        <f t="shared" ref="C114:L114" si="33">(C117+C118+C119)*C9</f>
        <v>13605.031999999999</v>
      </c>
      <c r="D114" s="399">
        <f t="shared" si="33"/>
        <v>15581.6304</v>
      </c>
      <c r="E114" s="399">
        <f t="shared" si="33"/>
        <v>18824.96</v>
      </c>
      <c r="F114" s="399">
        <f t="shared" si="33"/>
        <v>19588.127999999997</v>
      </c>
      <c r="G114" s="399">
        <f t="shared" si="33"/>
        <v>21352.12</v>
      </c>
      <c r="H114" s="539">
        <f t="shared" si="33"/>
        <v>31152.038400000001</v>
      </c>
      <c r="I114" s="539">
        <f t="shared" si="33"/>
        <v>34761.006144000006</v>
      </c>
      <c r="J114" s="539">
        <f t="shared" si="33"/>
        <v>34966.951560000001</v>
      </c>
      <c r="K114" s="539">
        <f t="shared" si="33"/>
        <v>34845.429021264004</v>
      </c>
      <c r="L114" s="539">
        <f t="shared" si="33"/>
        <v>35574.473914133763</v>
      </c>
      <c r="M114" s="333" t="s">
        <v>401</v>
      </c>
    </row>
    <row r="115" spans="1:13" outlineLevel="3" x14ac:dyDescent="0.2">
      <c r="A115" s="336" t="s">
        <v>136</v>
      </c>
      <c r="B115" s="332" t="s">
        <v>137</v>
      </c>
      <c r="C115" s="419">
        <v>90</v>
      </c>
      <c r="D115" s="419">
        <v>94</v>
      </c>
      <c r="E115" s="419">
        <v>88</v>
      </c>
      <c r="F115" s="419">
        <v>83</v>
      </c>
      <c r="G115" s="419">
        <v>95</v>
      </c>
      <c r="H115" s="540">
        <v>130</v>
      </c>
      <c r="I115" s="540">
        <v>135</v>
      </c>
      <c r="J115" s="540">
        <v>125</v>
      </c>
      <c r="K115" s="540">
        <v>115</v>
      </c>
      <c r="L115" s="540">
        <v>110</v>
      </c>
      <c r="M115" s="333" t="s">
        <v>400</v>
      </c>
    </row>
    <row r="116" spans="1:13" outlineLevel="3" x14ac:dyDescent="0.2">
      <c r="A116" s="336" t="s">
        <v>399</v>
      </c>
      <c r="B116" s="332" t="s">
        <v>137</v>
      </c>
      <c r="C116" s="357">
        <f>C115*0.2</f>
        <v>18</v>
      </c>
      <c r="D116" s="357">
        <f t="shared" ref="D116:L116" si="34">D115*0.2</f>
        <v>18.8</v>
      </c>
      <c r="E116" s="357">
        <f t="shared" si="34"/>
        <v>17.600000000000001</v>
      </c>
      <c r="F116" s="357">
        <f t="shared" si="34"/>
        <v>16.600000000000001</v>
      </c>
      <c r="G116" s="357">
        <f t="shared" si="34"/>
        <v>19</v>
      </c>
      <c r="H116" s="541">
        <f t="shared" si="34"/>
        <v>26</v>
      </c>
      <c r="I116" s="541">
        <f t="shared" si="34"/>
        <v>27</v>
      </c>
      <c r="J116" s="541">
        <f t="shared" si="34"/>
        <v>25</v>
      </c>
      <c r="K116" s="541">
        <f t="shared" si="34"/>
        <v>23</v>
      </c>
      <c r="L116" s="541">
        <f t="shared" si="34"/>
        <v>22</v>
      </c>
      <c r="M116" s="333" t="s">
        <v>402</v>
      </c>
    </row>
    <row r="117" spans="1:13" outlineLevel="3" x14ac:dyDescent="0.2">
      <c r="A117" s="336" t="s">
        <v>138</v>
      </c>
      <c r="B117" s="332" t="s">
        <v>137</v>
      </c>
      <c r="C117" s="338">
        <f>C116+C115</f>
        <v>108</v>
      </c>
      <c r="D117" s="338">
        <f t="shared" ref="D117:L117" si="35">D116+D115</f>
        <v>112.8</v>
      </c>
      <c r="E117" s="338">
        <f t="shared" si="35"/>
        <v>105.6</v>
      </c>
      <c r="F117" s="338">
        <f t="shared" si="35"/>
        <v>99.6</v>
      </c>
      <c r="G117" s="338">
        <f t="shared" si="35"/>
        <v>114</v>
      </c>
      <c r="H117" s="542">
        <f t="shared" si="35"/>
        <v>156</v>
      </c>
      <c r="I117" s="542">
        <f t="shared" si="35"/>
        <v>162</v>
      </c>
      <c r="J117" s="542">
        <f t="shared" si="35"/>
        <v>150</v>
      </c>
      <c r="K117" s="542">
        <f t="shared" si="35"/>
        <v>138</v>
      </c>
      <c r="L117" s="542">
        <f t="shared" si="35"/>
        <v>132</v>
      </c>
      <c r="M117" s="333" t="s">
        <v>403</v>
      </c>
    </row>
    <row r="118" spans="1:13" outlineLevel="3" x14ac:dyDescent="0.2">
      <c r="A118" s="336" t="s">
        <v>174</v>
      </c>
      <c r="B118" s="332" t="s">
        <v>137</v>
      </c>
      <c r="C118" s="357">
        <f>C117*0.01</f>
        <v>1.08</v>
      </c>
      <c r="D118" s="357">
        <f t="shared" ref="D118:L118" si="36">D117*0.01</f>
        <v>1.1279999999999999</v>
      </c>
      <c r="E118" s="357">
        <f t="shared" si="36"/>
        <v>1.056</v>
      </c>
      <c r="F118" s="357">
        <f t="shared" si="36"/>
        <v>0.996</v>
      </c>
      <c r="G118" s="357">
        <f t="shared" si="36"/>
        <v>1.1400000000000001</v>
      </c>
      <c r="H118" s="541">
        <f t="shared" si="36"/>
        <v>1.56</v>
      </c>
      <c r="I118" s="541">
        <f t="shared" si="36"/>
        <v>1.62</v>
      </c>
      <c r="J118" s="541">
        <f t="shared" si="36"/>
        <v>1.5</v>
      </c>
      <c r="K118" s="541">
        <f t="shared" si="36"/>
        <v>1.3800000000000001</v>
      </c>
      <c r="L118" s="541">
        <f t="shared" si="36"/>
        <v>1.32</v>
      </c>
      <c r="M118" s="333" t="s">
        <v>404</v>
      </c>
    </row>
    <row r="119" spans="1:13" outlineLevel="3" x14ac:dyDescent="0.2">
      <c r="A119" s="336" t="s">
        <v>175</v>
      </c>
      <c r="B119" s="332" t="s">
        <v>137</v>
      </c>
      <c r="C119" s="419">
        <v>20</v>
      </c>
      <c r="D119" s="419">
        <v>14</v>
      </c>
      <c r="E119" s="419">
        <v>11</v>
      </c>
      <c r="F119" s="419">
        <v>16</v>
      </c>
      <c r="G119" s="419">
        <v>20</v>
      </c>
      <c r="H119" s="540">
        <v>25</v>
      </c>
      <c r="I119" s="540">
        <v>25</v>
      </c>
      <c r="J119" s="540">
        <v>25</v>
      </c>
      <c r="K119" s="540">
        <v>25</v>
      </c>
      <c r="L119" s="540">
        <v>25</v>
      </c>
    </row>
    <row r="120" spans="1:13" outlineLevel="2" x14ac:dyDescent="0.2">
      <c r="A120" s="420"/>
      <c r="B120" s="421"/>
      <c r="C120" s="423"/>
      <c r="D120" s="424"/>
      <c r="E120" s="424"/>
      <c r="F120" s="375"/>
    </row>
    <row r="121" spans="1:13" outlineLevel="2" x14ac:dyDescent="0.2">
      <c r="A121" s="384" t="s">
        <v>120</v>
      </c>
      <c r="B121" s="332" t="s">
        <v>144</v>
      </c>
      <c r="C121" s="424">
        <f>(C124*C126)/C125</f>
        <v>6.7660624540328502</v>
      </c>
      <c r="D121" s="424">
        <f t="shared" ref="D121:L121" si="37">(D124*D126)/D125</f>
        <v>7.1043431294434907</v>
      </c>
      <c r="E121" s="424">
        <f t="shared" si="37"/>
        <v>7.4596837460161796</v>
      </c>
      <c r="F121" s="424">
        <f t="shared" si="37"/>
        <v>9.989044496200048</v>
      </c>
      <c r="G121" s="424">
        <f t="shared" si="37"/>
        <v>14.59073915175288</v>
      </c>
      <c r="H121" s="533">
        <f t="shared" si="37"/>
        <v>15.320276109340522</v>
      </c>
      <c r="I121" s="533">
        <f t="shared" si="37"/>
        <v>16.086289914807551</v>
      </c>
      <c r="J121" s="533">
        <f t="shared" si="37"/>
        <v>16.89060441054793</v>
      </c>
      <c r="K121" s="533">
        <f t="shared" si="37"/>
        <v>17.735134631075326</v>
      </c>
      <c r="L121" s="533">
        <f t="shared" si="37"/>
        <v>18.621891362629089</v>
      </c>
      <c r="M121" s="333" t="s">
        <v>410</v>
      </c>
    </row>
    <row r="122" spans="1:13" outlineLevel="3" x14ac:dyDescent="0.2">
      <c r="A122" s="336" t="s">
        <v>339</v>
      </c>
      <c r="B122" s="332" t="s">
        <v>135</v>
      </c>
      <c r="C122" s="531">
        <v>30142</v>
      </c>
      <c r="D122" s="531">
        <v>31649</v>
      </c>
      <c r="E122" s="531">
        <v>33232</v>
      </c>
      <c r="F122" s="532">
        <v>44500</v>
      </c>
      <c r="G122" s="532">
        <v>65000</v>
      </c>
      <c r="H122" s="534">
        <f>G122*(1.05)</f>
        <v>68250</v>
      </c>
      <c r="I122" s="534">
        <f t="shared" ref="I122:L122" si="38">H122*(1.05)</f>
        <v>71662.5</v>
      </c>
      <c r="J122" s="534">
        <f t="shared" si="38"/>
        <v>75245.625</v>
      </c>
      <c r="K122" s="534">
        <f t="shared" si="38"/>
        <v>79007.90625</v>
      </c>
      <c r="L122" s="534">
        <f t="shared" si="38"/>
        <v>82958.301562499997</v>
      </c>
      <c r="M122" s="333" t="s">
        <v>409</v>
      </c>
    </row>
    <row r="123" spans="1:13" outlineLevel="3" x14ac:dyDescent="0.2">
      <c r="A123" s="336" t="s">
        <v>139</v>
      </c>
      <c r="B123" s="332" t="s">
        <v>263</v>
      </c>
      <c r="C123" s="426">
        <v>40.79</v>
      </c>
      <c r="D123" s="426">
        <v>40.79</v>
      </c>
      <c r="E123" s="426">
        <v>40.79</v>
      </c>
      <c r="F123" s="426">
        <v>40.79</v>
      </c>
      <c r="G123" s="426">
        <v>40.79</v>
      </c>
      <c r="H123" s="535">
        <v>40.79</v>
      </c>
      <c r="I123" s="535">
        <v>40.79</v>
      </c>
      <c r="J123" s="535">
        <v>40.79</v>
      </c>
      <c r="K123" s="535">
        <v>40.79</v>
      </c>
      <c r="L123" s="535">
        <v>40.79</v>
      </c>
      <c r="M123" s="333" t="s">
        <v>405</v>
      </c>
    </row>
    <row r="124" spans="1:13" outlineLevel="3" x14ac:dyDescent="0.2">
      <c r="A124" s="427" t="s">
        <v>140</v>
      </c>
      <c r="B124" s="421" t="s">
        <v>264</v>
      </c>
      <c r="C124" s="428">
        <f>C122/C123</f>
        <v>738.95562637901446</v>
      </c>
      <c r="D124" s="428">
        <f t="shared" ref="D124:L124" si="39">D122/D123</f>
        <v>775.90095611669528</v>
      </c>
      <c r="E124" s="428">
        <f t="shared" si="39"/>
        <v>814.70948761951456</v>
      </c>
      <c r="F124" s="428">
        <f t="shared" si="39"/>
        <v>1090.9536651139986</v>
      </c>
      <c r="G124" s="428">
        <f t="shared" si="39"/>
        <v>1593.5278254474135</v>
      </c>
      <c r="H124" s="536">
        <f t="shared" si="39"/>
        <v>1673.2042167197842</v>
      </c>
      <c r="I124" s="536">
        <f t="shared" si="39"/>
        <v>1756.8644275557735</v>
      </c>
      <c r="J124" s="536">
        <f t="shared" si="39"/>
        <v>1844.7076489335623</v>
      </c>
      <c r="K124" s="536">
        <f t="shared" si="39"/>
        <v>1936.9430313802402</v>
      </c>
      <c r="L124" s="536">
        <f t="shared" si="39"/>
        <v>2033.7901829492523</v>
      </c>
      <c r="M124" s="333" t="s">
        <v>407</v>
      </c>
    </row>
    <row r="125" spans="1:13" outlineLevel="3" x14ac:dyDescent="0.2">
      <c r="A125" s="336" t="s">
        <v>141</v>
      </c>
      <c r="B125" s="332" t="s">
        <v>90</v>
      </c>
      <c r="C125" s="429">
        <v>0.32</v>
      </c>
      <c r="D125" s="429">
        <v>0.32</v>
      </c>
      <c r="E125" s="429">
        <v>0.32</v>
      </c>
      <c r="F125" s="429">
        <v>0.32</v>
      </c>
      <c r="G125" s="429">
        <v>0.32</v>
      </c>
      <c r="H125" s="537">
        <v>0.32</v>
      </c>
      <c r="I125" s="537">
        <v>0.32</v>
      </c>
      <c r="J125" s="537">
        <v>0.32</v>
      </c>
      <c r="K125" s="537">
        <v>0.32</v>
      </c>
      <c r="L125" s="537">
        <v>0.32</v>
      </c>
      <c r="M125" s="333" t="s">
        <v>406</v>
      </c>
    </row>
    <row r="126" spans="1:13" outlineLevel="3" x14ac:dyDescent="0.2">
      <c r="A126" s="336" t="s">
        <v>265</v>
      </c>
      <c r="B126" s="332" t="s">
        <v>267</v>
      </c>
      <c r="C126" s="430">
        <v>2.9299999999999999E-3</v>
      </c>
      <c r="D126" s="430">
        <v>2.9299999999999999E-3</v>
      </c>
      <c r="E126" s="430">
        <v>2.9299999999999999E-3</v>
      </c>
      <c r="F126" s="430">
        <v>2.9299999999999999E-3</v>
      </c>
      <c r="G126" s="430">
        <v>2.9299999999999999E-3</v>
      </c>
      <c r="H126" s="538">
        <v>2.9299999999999999E-3</v>
      </c>
      <c r="I126" s="538">
        <v>2.9299999999999999E-3</v>
      </c>
      <c r="J126" s="538">
        <v>2.9299999999999999E-3</v>
      </c>
      <c r="K126" s="538">
        <v>2.9299999999999999E-3</v>
      </c>
      <c r="L126" s="538">
        <v>2.9299999999999999E-3</v>
      </c>
      <c r="M126" s="333" t="s">
        <v>408</v>
      </c>
    </row>
    <row r="127" spans="1:13" outlineLevel="2" x14ac:dyDescent="0.2">
      <c r="A127" s="384"/>
      <c r="C127" s="431"/>
      <c r="D127" s="431"/>
      <c r="E127" s="431"/>
      <c r="F127" s="375"/>
    </row>
    <row r="128" spans="1:13" outlineLevel="2" x14ac:dyDescent="0.2">
      <c r="A128" s="384" t="s">
        <v>121</v>
      </c>
      <c r="B128" s="332" t="s">
        <v>144</v>
      </c>
      <c r="C128" s="424">
        <f>(C130*C131)/C129</f>
        <v>4.3949999999999996</v>
      </c>
      <c r="D128" s="424">
        <f t="shared" ref="D128:L128" si="40">(D130*D131)/D129</f>
        <v>4.7246249999999996</v>
      </c>
      <c r="E128" s="424">
        <f t="shared" si="40"/>
        <v>6.5924999999999994</v>
      </c>
      <c r="F128" s="424">
        <f t="shared" si="40"/>
        <v>7.4714999999999998</v>
      </c>
      <c r="G128" s="424">
        <f t="shared" si="40"/>
        <v>7.9109999999999987</v>
      </c>
      <c r="H128" s="533">
        <f t="shared" si="40"/>
        <v>8.1483299999999996</v>
      </c>
      <c r="I128" s="533">
        <f t="shared" si="40"/>
        <v>8.392779899999999</v>
      </c>
      <c r="J128" s="533">
        <f t="shared" si="40"/>
        <v>8.6445632970000013</v>
      </c>
      <c r="K128" s="533">
        <f t="shared" si="40"/>
        <v>8.9039001959100013</v>
      </c>
      <c r="L128" s="533">
        <f t="shared" si="40"/>
        <v>9.1710172017873006</v>
      </c>
      <c r="M128" s="333" t="s">
        <v>415</v>
      </c>
    </row>
    <row r="129" spans="1:13" outlineLevel="3" x14ac:dyDescent="0.2">
      <c r="A129" s="336" t="s">
        <v>142</v>
      </c>
      <c r="B129" s="419" t="s">
        <v>90</v>
      </c>
      <c r="C129" s="429">
        <v>0.4</v>
      </c>
      <c r="D129" s="429">
        <v>0.4</v>
      </c>
      <c r="E129" s="429">
        <v>0.4</v>
      </c>
      <c r="F129" s="429">
        <v>0.4</v>
      </c>
      <c r="G129" s="429">
        <v>0.4</v>
      </c>
      <c r="H129" s="548">
        <v>0.4</v>
      </c>
      <c r="I129" s="548">
        <v>0.4</v>
      </c>
      <c r="J129" s="548">
        <v>0.4</v>
      </c>
      <c r="K129" s="548">
        <v>0.4</v>
      </c>
      <c r="L129" s="548">
        <v>0.4</v>
      </c>
      <c r="M129" s="333" t="s">
        <v>413</v>
      </c>
    </row>
    <row r="130" spans="1:13" outlineLevel="3" x14ac:dyDescent="0.2">
      <c r="A130" s="433" t="s">
        <v>411</v>
      </c>
      <c r="B130" s="332" t="s">
        <v>264</v>
      </c>
      <c r="C130" s="419">
        <v>600</v>
      </c>
      <c r="D130" s="419">
        <v>645</v>
      </c>
      <c r="E130" s="419">
        <v>900</v>
      </c>
      <c r="F130" s="425">
        <v>1020</v>
      </c>
      <c r="G130" s="425">
        <v>1080</v>
      </c>
      <c r="H130" s="550">
        <f>G130*1.03</f>
        <v>1112.4000000000001</v>
      </c>
      <c r="I130" s="550">
        <f t="shared" ref="I130:L130" si="41">H130*1.03</f>
        <v>1145.7720000000002</v>
      </c>
      <c r="J130" s="550">
        <f t="shared" si="41"/>
        <v>1180.1451600000003</v>
      </c>
      <c r="K130" s="550">
        <f t="shared" si="41"/>
        <v>1215.5495148000002</v>
      </c>
      <c r="L130" s="550">
        <f t="shared" si="41"/>
        <v>1252.0160002440002</v>
      </c>
      <c r="M130" s="333" t="s">
        <v>412</v>
      </c>
    </row>
    <row r="131" spans="1:13" outlineLevel="3" x14ac:dyDescent="0.2">
      <c r="A131" s="433" t="s">
        <v>143</v>
      </c>
      <c r="B131" s="332" t="s">
        <v>267</v>
      </c>
      <c r="C131" s="430">
        <v>2.9299999999999999E-3</v>
      </c>
      <c r="D131" s="430">
        <v>2.9299999999999999E-3</v>
      </c>
      <c r="E131" s="430">
        <v>2.9299999999999999E-3</v>
      </c>
      <c r="F131" s="430">
        <v>2.9299999999999999E-3</v>
      </c>
      <c r="G131" s="430">
        <v>2.9299999999999999E-3</v>
      </c>
      <c r="H131" s="549">
        <v>2.9299999999999999E-3</v>
      </c>
      <c r="I131" s="549">
        <v>2.9299999999999999E-3</v>
      </c>
      <c r="J131" s="549">
        <v>2.9299999999999999E-3</v>
      </c>
      <c r="K131" s="549">
        <v>2.9299999999999999E-3</v>
      </c>
      <c r="L131" s="549">
        <v>2.9299999999999999E-3</v>
      </c>
      <c r="M131" s="333" t="s">
        <v>408</v>
      </c>
    </row>
    <row r="132" spans="1:13" outlineLevel="3" x14ac:dyDescent="0.2">
      <c r="A132" s="433"/>
      <c r="C132" s="422"/>
      <c r="D132" s="422"/>
      <c r="E132" s="422"/>
      <c r="F132" s="422"/>
      <c r="G132" s="422"/>
      <c r="H132" s="422"/>
      <c r="I132" s="422"/>
      <c r="J132" s="422"/>
    </row>
    <row r="133" spans="1:13" outlineLevel="3" x14ac:dyDescent="0.2">
      <c r="A133" s="384" t="s">
        <v>266</v>
      </c>
      <c r="B133" s="332" t="s">
        <v>144</v>
      </c>
      <c r="C133" s="432">
        <f>(C136*C138)/C137</f>
        <v>2.7921930277028681</v>
      </c>
      <c r="D133" s="432">
        <f t="shared" ref="D133:L133" si="42">(D136*D138)/D137</f>
        <v>3.197855011522432</v>
      </c>
      <c r="E133" s="432">
        <f t="shared" si="42"/>
        <v>3.8634912478548666</v>
      </c>
      <c r="F133" s="432">
        <f t="shared" si="42"/>
        <v>4.0201180289286587</v>
      </c>
      <c r="G133" s="432">
        <f t="shared" si="42"/>
        <v>4.382146296361153</v>
      </c>
      <c r="H133" s="544">
        <f t="shared" si="42"/>
        <v>6.3934068232409915</v>
      </c>
      <c r="I133" s="544">
        <f t="shared" si="42"/>
        <v>7.1340838442139196</v>
      </c>
      <c r="J133" s="544">
        <f t="shared" si="42"/>
        <v>7.1763505110356194</v>
      </c>
      <c r="K133" s="544">
        <f t="shared" si="42"/>
        <v>7.1514101518091637</v>
      </c>
      <c r="L133" s="544">
        <f t="shared" si="42"/>
        <v>7.3010337665682714</v>
      </c>
      <c r="M133" s="333" t="s">
        <v>416</v>
      </c>
    </row>
    <row r="134" spans="1:13" outlineLevel="3" x14ac:dyDescent="0.2">
      <c r="A134" s="336" t="s">
        <v>134</v>
      </c>
      <c r="B134" s="332" t="s">
        <v>135</v>
      </c>
      <c r="C134" s="419">
        <f>C114</f>
        <v>13605.031999999999</v>
      </c>
      <c r="D134" s="419">
        <f t="shared" ref="D134:L134" si="43">D114</f>
        <v>15581.6304</v>
      </c>
      <c r="E134" s="419">
        <f t="shared" si="43"/>
        <v>18824.96</v>
      </c>
      <c r="F134" s="419">
        <f t="shared" si="43"/>
        <v>19588.127999999997</v>
      </c>
      <c r="G134" s="419">
        <f t="shared" si="43"/>
        <v>21352.12</v>
      </c>
      <c r="H134" s="545">
        <f t="shared" si="43"/>
        <v>31152.038400000001</v>
      </c>
      <c r="I134" s="545">
        <f t="shared" si="43"/>
        <v>34761.006144000006</v>
      </c>
      <c r="J134" s="545">
        <f t="shared" si="43"/>
        <v>34966.951560000001</v>
      </c>
      <c r="K134" s="545">
        <f t="shared" si="43"/>
        <v>34845.429021264004</v>
      </c>
      <c r="L134" s="545">
        <f t="shared" si="43"/>
        <v>35574.473914133763</v>
      </c>
      <c r="M134" s="333" t="s">
        <v>416</v>
      </c>
    </row>
    <row r="135" spans="1:13" outlineLevel="3" x14ac:dyDescent="0.2">
      <c r="A135" s="336" t="s">
        <v>139</v>
      </c>
      <c r="B135" s="332" t="s">
        <v>263</v>
      </c>
      <c r="C135" s="426">
        <v>40.79</v>
      </c>
      <c r="D135" s="426">
        <v>40.79</v>
      </c>
      <c r="E135" s="426">
        <v>40.79</v>
      </c>
      <c r="F135" s="426">
        <v>40.79</v>
      </c>
      <c r="G135" s="426">
        <v>40.79</v>
      </c>
      <c r="H135" s="546">
        <v>40.79</v>
      </c>
      <c r="I135" s="546">
        <v>40.79</v>
      </c>
      <c r="J135" s="546">
        <v>40.79</v>
      </c>
      <c r="K135" s="546">
        <v>40.79</v>
      </c>
      <c r="L135" s="546">
        <v>40.79</v>
      </c>
    </row>
    <row r="136" spans="1:13" outlineLevel="3" x14ac:dyDescent="0.2">
      <c r="A136" s="427" t="s">
        <v>140</v>
      </c>
      <c r="B136" s="421" t="s">
        <v>264</v>
      </c>
      <c r="C136" s="434">
        <f>C134/C135</f>
        <v>333.5384162784996</v>
      </c>
      <c r="D136" s="434">
        <f t="shared" ref="D136:L136" si="44">D134/D135</f>
        <v>381.9963324344202</v>
      </c>
      <c r="E136" s="434">
        <f t="shared" si="44"/>
        <v>461.50919342976221</v>
      </c>
      <c r="F136" s="434">
        <f t="shared" si="44"/>
        <v>480.21887717577829</v>
      </c>
      <c r="G136" s="434">
        <f t="shared" si="44"/>
        <v>523.46457465064964</v>
      </c>
      <c r="H136" s="547">
        <f t="shared" si="44"/>
        <v>763.71753861240506</v>
      </c>
      <c r="I136" s="547">
        <f t="shared" si="44"/>
        <v>852.19431586173096</v>
      </c>
      <c r="J136" s="547">
        <f t="shared" si="44"/>
        <v>857.24323510664385</v>
      </c>
      <c r="K136" s="547">
        <f t="shared" si="44"/>
        <v>854.26401130826196</v>
      </c>
      <c r="L136" s="547">
        <f t="shared" si="44"/>
        <v>872.13713935115868</v>
      </c>
    </row>
    <row r="137" spans="1:13" outlineLevel="3" x14ac:dyDescent="0.2">
      <c r="A137" s="336" t="s">
        <v>141</v>
      </c>
      <c r="B137" s="332" t="s">
        <v>90</v>
      </c>
      <c r="C137" s="429">
        <v>0.35</v>
      </c>
      <c r="D137" s="429">
        <v>0.35</v>
      </c>
      <c r="E137" s="429">
        <v>0.35</v>
      </c>
      <c r="F137" s="429">
        <v>0.35</v>
      </c>
      <c r="G137" s="429">
        <v>0.35</v>
      </c>
      <c r="H137" s="548">
        <v>0.35</v>
      </c>
      <c r="I137" s="548">
        <v>0.35</v>
      </c>
      <c r="J137" s="548">
        <v>0.35</v>
      </c>
      <c r="K137" s="548">
        <v>0.35</v>
      </c>
      <c r="L137" s="548">
        <v>0.35</v>
      </c>
      <c r="M137" s="333" t="s">
        <v>414</v>
      </c>
    </row>
    <row r="138" spans="1:13" outlineLevel="2" x14ac:dyDescent="0.2">
      <c r="A138" s="336" t="s">
        <v>265</v>
      </c>
      <c r="B138" s="332" t="s">
        <v>267</v>
      </c>
      <c r="C138" s="430">
        <v>2.9299999999999999E-3</v>
      </c>
      <c r="D138" s="430">
        <v>2.9299999999999999E-3</v>
      </c>
      <c r="E138" s="430">
        <v>2.9299999999999999E-3</v>
      </c>
      <c r="F138" s="430">
        <v>2.9299999999999999E-3</v>
      </c>
      <c r="G138" s="430">
        <v>2.9299999999999999E-3</v>
      </c>
      <c r="H138" s="549">
        <v>2.9299999999999999E-3</v>
      </c>
      <c r="I138" s="549">
        <v>2.9299999999999999E-3</v>
      </c>
      <c r="J138" s="549">
        <v>2.9299999999999999E-3</v>
      </c>
      <c r="K138" s="549">
        <v>2.9299999999999999E-3</v>
      </c>
      <c r="L138" s="549">
        <v>2.9299999999999999E-3</v>
      </c>
      <c r="M138" s="333" t="s">
        <v>408</v>
      </c>
    </row>
    <row r="139" spans="1:13" outlineLevel="2" x14ac:dyDescent="0.2">
      <c r="A139" s="336"/>
      <c r="C139" s="435"/>
      <c r="D139" s="435"/>
      <c r="E139" s="435"/>
      <c r="F139" s="375"/>
    </row>
    <row r="140" spans="1:13" outlineLevel="2" x14ac:dyDescent="0.2">
      <c r="A140" s="384" t="s">
        <v>122</v>
      </c>
      <c r="B140" s="332" t="s">
        <v>144</v>
      </c>
      <c r="C140" s="426">
        <v>12</v>
      </c>
      <c r="D140" s="426">
        <v>12</v>
      </c>
      <c r="E140" s="426">
        <v>14.5</v>
      </c>
      <c r="F140" s="426">
        <v>16</v>
      </c>
      <c r="G140" s="426">
        <v>18.5</v>
      </c>
      <c r="H140" s="611">
        <f>G140*1.2</f>
        <v>22.2</v>
      </c>
      <c r="I140" s="611">
        <f t="shared" ref="I140:L140" si="45">H140*1.2</f>
        <v>26.639999999999997</v>
      </c>
      <c r="J140" s="611">
        <f t="shared" si="45"/>
        <v>31.967999999999996</v>
      </c>
      <c r="K140" s="611">
        <f t="shared" si="45"/>
        <v>38.361599999999996</v>
      </c>
      <c r="L140" s="611">
        <f t="shared" si="45"/>
        <v>46.033919999999995</v>
      </c>
    </row>
    <row r="141" spans="1:13" outlineLevel="2" x14ac:dyDescent="0.2">
      <c r="A141" s="384" t="s">
        <v>123</v>
      </c>
      <c r="B141" s="365" t="s">
        <v>268</v>
      </c>
      <c r="C141" s="426">
        <v>2</v>
      </c>
      <c r="D141" s="426">
        <v>2</v>
      </c>
      <c r="E141" s="426">
        <v>2</v>
      </c>
      <c r="F141" s="426">
        <v>2</v>
      </c>
      <c r="G141" s="426">
        <v>2</v>
      </c>
      <c r="H141" s="546">
        <v>2</v>
      </c>
      <c r="I141" s="546">
        <v>2</v>
      </c>
      <c r="J141" s="546">
        <v>2</v>
      </c>
      <c r="K141" s="546">
        <v>2</v>
      </c>
      <c r="L141" s="546">
        <v>2</v>
      </c>
    </row>
    <row r="142" spans="1:13" outlineLevel="2" x14ac:dyDescent="0.2">
      <c r="A142" s="384" t="s">
        <v>468</v>
      </c>
      <c r="B142" s="365" t="s">
        <v>268</v>
      </c>
      <c r="C142" s="426">
        <v>4</v>
      </c>
      <c r="D142" s="426">
        <v>4</v>
      </c>
      <c r="E142" s="426">
        <v>4</v>
      </c>
      <c r="F142" s="426">
        <v>4</v>
      </c>
      <c r="G142" s="426">
        <v>4</v>
      </c>
      <c r="H142" s="426">
        <v>4</v>
      </c>
      <c r="I142" s="426">
        <v>4</v>
      </c>
      <c r="J142" s="426">
        <v>4</v>
      </c>
      <c r="K142" s="426">
        <v>4</v>
      </c>
      <c r="L142" s="426">
        <v>4</v>
      </c>
    </row>
    <row r="143" spans="1:13" x14ac:dyDescent="0.2">
      <c r="B143" s="365"/>
    </row>
    <row r="144" spans="1:13" x14ac:dyDescent="0.2">
      <c r="A144" s="339" t="s">
        <v>145</v>
      </c>
      <c r="B144" s="382" t="s">
        <v>103</v>
      </c>
      <c r="C144" s="394"/>
      <c r="D144" s="394"/>
      <c r="E144" s="394"/>
      <c r="F144" s="394"/>
      <c r="G144" s="394"/>
      <c r="H144" s="394"/>
      <c r="I144" s="394"/>
      <c r="J144" s="394"/>
      <c r="K144" s="394"/>
      <c r="L144" s="394"/>
    </row>
    <row r="145" spans="1:12" outlineLevel="1" x14ac:dyDescent="0.2">
      <c r="A145" s="436"/>
      <c r="B145" s="365"/>
      <c r="C145" s="369"/>
      <c r="D145" s="369"/>
      <c r="E145" s="369"/>
    </row>
    <row r="146" spans="1:12" outlineLevel="1" x14ac:dyDescent="0.2">
      <c r="A146" s="384" t="s">
        <v>146</v>
      </c>
      <c r="B146" s="365" t="s">
        <v>147</v>
      </c>
      <c r="C146" s="437">
        <f>IS!C33/IS!C15</f>
        <v>1.6636149318456771E-2</v>
      </c>
      <c r="D146" s="437">
        <f>IS!D33/IS!D15</f>
        <v>1.8222400790742232E-2</v>
      </c>
      <c r="E146" s="437">
        <f>IS!E33/IS!E15</f>
        <v>2.0000834692352882E-2</v>
      </c>
      <c r="F146" s="437">
        <f>IS!F33/IS!F15</f>
        <v>2.7197012205811971E-2</v>
      </c>
      <c r="G146" s="437">
        <f>IS!G33/IS!G15</f>
        <v>2.1618509279586962E-2</v>
      </c>
      <c r="H146" s="610">
        <v>2.5000000000000001E-2</v>
      </c>
      <c r="I146" s="610">
        <v>2.5000000000000001E-2</v>
      </c>
      <c r="J146" s="610">
        <v>2.5000000000000001E-2</v>
      </c>
      <c r="K146" s="610">
        <v>2.5000000000000001E-2</v>
      </c>
      <c r="L146" s="610">
        <v>2.5000000000000001E-2</v>
      </c>
    </row>
    <row r="147" spans="1:12" outlineLevel="1" x14ac:dyDescent="0.2">
      <c r="A147" s="336"/>
      <c r="B147" s="365"/>
      <c r="C147" s="438"/>
      <c r="D147" s="438"/>
      <c r="E147" s="438"/>
    </row>
    <row r="148" spans="1:12" outlineLevel="1" x14ac:dyDescent="0.2">
      <c r="A148" s="384" t="s">
        <v>148</v>
      </c>
      <c r="B148" s="365" t="s">
        <v>272</v>
      </c>
      <c r="C148" s="438">
        <f>IS!C40/IS!C17</f>
        <v>0.22999799534089579</v>
      </c>
      <c r="D148" s="438">
        <f>IS!D40/IS!D17</f>
        <v>0.19271876970870749</v>
      </c>
      <c r="E148" s="438">
        <f>IS!E40/IS!E17</f>
        <v>0.16693704433294229</v>
      </c>
      <c r="F148" s="438">
        <f>IS!F40/IS!F17</f>
        <v>0.14451975738921835</v>
      </c>
      <c r="G148" s="438">
        <f>IS!G40/IS!G17</f>
        <v>0.12927399030804856</v>
      </c>
      <c r="H148" s="610">
        <v>0.18</v>
      </c>
      <c r="I148" s="610">
        <v>0.18</v>
      </c>
      <c r="J148" s="610">
        <v>0.18</v>
      </c>
      <c r="K148" s="610">
        <v>0.18</v>
      </c>
      <c r="L148" s="610">
        <v>0.18</v>
      </c>
    </row>
    <row r="149" spans="1:12" x14ac:dyDescent="0.2">
      <c r="B149" s="365"/>
    </row>
    <row r="150" spans="1:12" x14ac:dyDescent="0.2">
      <c r="A150" s="339" t="s">
        <v>149</v>
      </c>
      <c r="B150" s="365"/>
      <c r="C150" s="439"/>
      <c r="D150" s="439"/>
      <c r="E150" s="439"/>
    </row>
    <row r="151" spans="1:12" outlineLevel="1" x14ac:dyDescent="0.2">
      <c r="B151" s="365"/>
      <c r="C151" s="439"/>
      <c r="D151" s="439"/>
      <c r="E151" s="439"/>
    </row>
    <row r="152" spans="1:12" outlineLevel="1" x14ac:dyDescent="0.2">
      <c r="A152" s="440" t="s">
        <v>150</v>
      </c>
      <c r="B152" s="365"/>
      <c r="C152" s="425">
        <f>(BS!C8/IS!C19)*365</f>
        <v>50.105761225406823</v>
      </c>
      <c r="D152" s="425">
        <f>(BS!D8/IS!D19)*365</f>
        <v>69.779655622598398</v>
      </c>
      <c r="E152" s="425">
        <f>(BS!E8/IS!E19)*365</f>
        <v>72.058576181838177</v>
      </c>
      <c r="F152" s="425">
        <f>(BS!F8/IS!F19)*365</f>
        <v>77.166421379511874</v>
      </c>
      <c r="G152" s="425">
        <f>(BS!G8/IS!G19)*365</f>
        <v>85.216424230840218</v>
      </c>
      <c r="H152" s="550">
        <v>85</v>
      </c>
      <c r="I152" s="550">
        <v>80</v>
      </c>
      <c r="J152" s="550">
        <v>80</v>
      </c>
      <c r="K152" s="550">
        <v>75</v>
      </c>
      <c r="L152" s="550">
        <v>70</v>
      </c>
    </row>
    <row r="153" spans="1:12" outlineLevel="1" x14ac:dyDescent="0.2">
      <c r="A153" s="440" t="s">
        <v>151</v>
      </c>
      <c r="B153" s="365"/>
      <c r="C153" s="425">
        <f>(BS!C9/IS!C19)*365</f>
        <v>24.476223374684306</v>
      </c>
      <c r="D153" s="425">
        <f>(BS!D9/IS!D19)*365</f>
        <v>28.315192900340648</v>
      </c>
      <c r="E153" s="425">
        <f>(BS!E9/IS!E19)*365</f>
        <v>22.26643806231446</v>
      </c>
      <c r="F153" s="425">
        <f>(BS!F9/IS!F19)*365</f>
        <v>26.143629423724445</v>
      </c>
      <c r="G153" s="425">
        <f>(BS!G9/IS!G19)*365</f>
        <v>23.840288396474307</v>
      </c>
      <c r="H153" s="550">
        <v>25</v>
      </c>
      <c r="I153" s="550">
        <v>25</v>
      </c>
      <c r="J153" s="550">
        <v>25</v>
      </c>
      <c r="K153" s="550">
        <v>25</v>
      </c>
      <c r="L153" s="550">
        <v>25</v>
      </c>
    </row>
    <row r="154" spans="1:12" outlineLevel="1" x14ac:dyDescent="0.2">
      <c r="A154" s="336" t="s">
        <v>152</v>
      </c>
      <c r="B154" s="365"/>
      <c r="C154" s="425">
        <f>(BS!C10/IS!C15)*365</f>
        <v>20.527751168808887</v>
      </c>
      <c r="D154" s="425">
        <f>(BS!D10/IS!D15)*365</f>
        <v>20.152528406430015</v>
      </c>
      <c r="E154" s="425">
        <f>(BS!E10/IS!E15)*365</f>
        <v>16.620368647455084</v>
      </c>
      <c r="F154" s="425">
        <f>(BS!F10/IS!F15)*365</f>
        <v>22.254530876769099</v>
      </c>
      <c r="G154" s="425">
        <f>(BS!G10/IS!G15)*365</f>
        <v>21.799587454887533</v>
      </c>
      <c r="H154" s="550">
        <v>20</v>
      </c>
      <c r="I154" s="550">
        <v>20</v>
      </c>
      <c r="J154" s="550">
        <v>20</v>
      </c>
      <c r="K154" s="550">
        <v>20</v>
      </c>
      <c r="L154" s="550">
        <v>20</v>
      </c>
    </row>
    <row r="155" spans="1:12" outlineLevel="1" x14ac:dyDescent="0.2">
      <c r="A155" s="336" t="s">
        <v>153</v>
      </c>
      <c r="B155" s="385"/>
      <c r="C155" s="425">
        <f>(BS!C29/IS!C19)*365</f>
        <v>13.600941192426047</v>
      </c>
      <c r="D155" s="425">
        <f>(BS!D29/IS!D19)*365</f>
        <v>23.309852102270863</v>
      </c>
      <c r="E155" s="425">
        <f>(BS!E29/IS!E19)*365</f>
        <v>22.380645245089571</v>
      </c>
      <c r="F155" s="425">
        <f>(BS!F29/IS!F19)*365</f>
        <v>25.604227441948964</v>
      </c>
      <c r="G155" s="425">
        <f>(BS!G29/IS!G19)*365</f>
        <v>36.539172554550809</v>
      </c>
      <c r="H155" s="550">
        <v>35</v>
      </c>
      <c r="I155" s="550">
        <v>35</v>
      </c>
      <c r="J155" s="550">
        <v>30</v>
      </c>
      <c r="K155" s="550">
        <v>25</v>
      </c>
      <c r="L155" s="550">
        <v>20</v>
      </c>
    </row>
    <row r="156" spans="1:12" outlineLevel="1" x14ac:dyDescent="0.2">
      <c r="A156" s="336"/>
      <c r="B156" s="385"/>
      <c r="C156" s="441"/>
      <c r="D156" s="441"/>
      <c r="E156" s="441"/>
    </row>
    <row r="157" spans="1:12" x14ac:dyDescent="0.2">
      <c r="B157" s="365"/>
      <c r="C157" s="439"/>
      <c r="D157" s="439"/>
      <c r="E157" s="439"/>
    </row>
    <row r="158" spans="1:12" x14ac:dyDescent="0.2">
      <c r="A158" s="339" t="s">
        <v>443</v>
      </c>
      <c r="B158" s="382" t="s">
        <v>103</v>
      </c>
      <c r="C158" s="400">
        <f>IS!C48</f>
        <v>811.78399999999999</v>
      </c>
      <c r="D158" s="400">
        <f>IS!D48</f>
        <v>1386.404</v>
      </c>
      <c r="E158" s="400">
        <f>IS!E48</f>
        <v>1327.1220000000001</v>
      </c>
      <c r="F158" s="400">
        <f>IS!F48</f>
        <v>542.30799999999999</v>
      </c>
      <c r="G158" s="400">
        <f>IS!G48</f>
        <v>180.14599999999999</v>
      </c>
      <c r="H158" s="400"/>
      <c r="I158" s="400"/>
      <c r="J158" s="400"/>
      <c r="K158" s="400"/>
      <c r="L158" s="400"/>
    </row>
    <row r="159" spans="1:12" x14ac:dyDescent="0.2">
      <c r="B159" s="365"/>
      <c r="C159" s="400"/>
      <c r="D159" s="400"/>
      <c r="E159" s="400"/>
      <c r="F159" s="400"/>
      <c r="G159" s="467"/>
      <c r="H159" s="467"/>
      <c r="I159" s="467"/>
      <c r="J159" s="467"/>
      <c r="K159" s="467"/>
      <c r="L159" s="467"/>
    </row>
    <row r="160" spans="1:12" x14ac:dyDescent="0.2">
      <c r="A160" s="339" t="s">
        <v>154</v>
      </c>
      <c r="B160" s="382" t="s">
        <v>103</v>
      </c>
      <c r="C160" s="466">
        <f>IS!C49</f>
        <v>0</v>
      </c>
      <c r="D160" s="466">
        <f>IS!D49</f>
        <v>311.18400000000003</v>
      </c>
      <c r="E160" s="466">
        <f>IS!E49</f>
        <v>326.68900000000002</v>
      </c>
      <c r="F160" s="466">
        <f>IS!F49</f>
        <v>0.56699999999999995</v>
      </c>
      <c r="G160" s="466">
        <f>IS!G49</f>
        <v>377.94600000000003</v>
      </c>
      <c r="H160" s="466">
        <f>IS!H49</f>
        <v>591.2286244042034</v>
      </c>
      <c r="I160" s="466">
        <f>IS!I49</f>
        <v>790.87157647698405</v>
      </c>
      <c r="J160" s="466">
        <f>IS!J49</f>
        <v>1062.3413323523014</v>
      </c>
      <c r="K160" s="466">
        <f>IS!K49</f>
        <v>1416.1228005387468</v>
      </c>
      <c r="L160" s="466">
        <f>IS!L49</f>
        <v>1874.1242935276159</v>
      </c>
    </row>
    <row r="161" spans="1:13" outlineLevel="1" x14ac:dyDescent="0.2">
      <c r="A161" s="442"/>
      <c r="B161" s="365"/>
      <c r="C161" s="439"/>
      <c r="D161" s="439"/>
      <c r="E161" s="439"/>
    </row>
    <row r="162" spans="1:13" outlineLevel="1" x14ac:dyDescent="0.2">
      <c r="A162" s="442" t="s">
        <v>147</v>
      </c>
      <c r="B162" s="365"/>
      <c r="C162" s="443">
        <f>C160/IS!C15</f>
        <v>0</v>
      </c>
      <c r="D162" s="443">
        <f>D160/IS!D15</f>
        <v>1.4705627998989454E-2</v>
      </c>
      <c r="E162" s="443">
        <f>E160/IS!E15</f>
        <v>1.5707650349681284E-2</v>
      </c>
      <c r="F162" s="443">
        <f>F160/IS!F15</f>
        <v>3.290445538512749E-5</v>
      </c>
      <c r="G162" s="443">
        <f>G160/IS!G15</f>
        <v>1.5571734253048405E-2</v>
      </c>
      <c r="H162" s="408">
        <v>0.02</v>
      </c>
      <c r="I162" s="408">
        <v>2.1999999999999999E-2</v>
      </c>
      <c r="J162" s="408">
        <v>2.4E-2</v>
      </c>
      <c r="K162" s="408">
        <v>2.5999999999999999E-2</v>
      </c>
      <c r="L162" s="408">
        <v>2.8000000000000001E-2</v>
      </c>
    </row>
    <row r="163" spans="1:13" x14ac:dyDescent="0.2">
      <c r="A163" s="442"/>
      <c r="B163" s="365"/>
    </row>
    <row r="164" spans="1:13" outlineLevel="1" x14ac:dyDescent="0.2">
      <c r="A164" s="339" t="s">
        <v>436</v>
      </c>
      <c r="B164" s="365"/>
    </row>
    <row r="165" spans="1:13" x14ac:dyDescent="0.2">
      <c r="A165" s="444"/>
      <c r="B165" s="365"/>
      <c r="E165" s="338"/>
    </row>
    <row r="166" spans="1:13" x14ac:dyDescent="0.2">
      <c r="A166" s="444" t="s">
        <v>437</v>
      </c>
      <c r="B166" s="365"/>
      <c r="C166" s="338">
        <f>BS!C35+BS!C43</f>
        <v>1375.4860000000001</v>
      </c>
      <c r="D166" s="338">
        <f>BS!D35+BS!D43</f>
        <v>2275.7539999999999</v>
      </c>
      <c r="E166" s="338">
        <f>BS!E35+BS!E43</f>
        <v>1307.9469999999999</v>
      </c>
      <c r="F166" s="338">
        <f>BS!F35+BS!F43</f>
        <v>2316.4939999999997</v>
      </c>
      <c r="G166" s="338">
        <f>BS!G35+BS!G43</f>
        <v>2108.2890000000002</v>
      </c>
      <c r="H166" s="338">
        <f>BS!H35+BS!H43</f>
        <v>2059.1388000000002</v>
      </c>
      <c r="I166" s="338">
        <f>BS!I35+BS!I43</f>
        <v>2014.90362</v>
      </c>
      <c r="J166" s="338">
        <f>BS!J35+BS!J43</f>
        <v>1975.091958</v>
      </c>
      <c r="K166" s="338">
        <f>BS!K35+BS!K43</f>
        <v>1939.2614622000001</v>
      </c>
      <c r="L166" s="338">
        <f>BS!L35+BS!L43</f>
        <v>1907.0140159800001</v>
      </c>
      <c r="M166" s="333" t="s">
        <v>442</v>
      </c>
    </row>
    <row r="167" spans="1:13" x14ac:dyDescent="0.2">
      <c r="A167" s="444" t="s">
        <v>438</v>
      </c>
      <c r="B167" s="365"/>
      <c r="C167" s="338">
        <f>IS!C56</f>
        <v>0</v>
      </c>
      <c r="D167" s="338">
        <f>IS!D56</f>
        <v>147.81299999999999</v>
      </c>
      <c r="E167" s="338">
        <f>IS!E56</f>
        <v>106.758</v>
      </c>
      <c r="F167" s="338">
        <f>IS!F56</f>
        <v>233.8</v>
      </c>
      <c r="G167" s="338">
        <f>IS!G56</f>
        <v>109.623</v>
      </c>
      <c r="H167" s="331">
        <f>H166*H168</f>
        <v>185.32249200000001</v>
      </c>
      <c r="I167" s="331">
        <f t="shared" ref="I167:L167" si="46">I166*I168</f>
        <v>201.490362</v>
      </c>
      <c r="J167" s="331">
        <f t="shared" si="46"/>
        <v>177.75827622</v>
      </c>
      <c r="K167" s="331">
        <f t="shared" si="46"/>
        <v>164.83722428700003</v>
      </c>
      <c r="L167" s="331">
        <f t="shared" si="46"/>
        <v>152.56112127840001</v>
      </c>
    </row>
    <row r="168" spans="1:13" x14ac:dyDescent="0.2">
      <c r="A168" s="444" t="s">
        <v>439</v>
      </c>
      <c r="B168" s="365"/>
      <c r="C168" s="465">
        <f>C167/C166</f>
        <v>0</v>
      </c>
      <c r="D168" s="465">
        <f t="shared" ref="D168:G168" si="47">D167/D166</f>
        <v>6.4951220562503673E-2</v>
      </c>
      <c r="E168" s="465">
        <f t="shared" si="47"/>
        <v>8.1622573391735301E-2</v>
      </c>
      <c r="F168" s="465">
        <f t="shared" si="47"/>
        <v>0.10092838574155601</v>
      </c>
      <c r="G168" s="465">
        <f t="shared" si="47"/>
        <v>5.1996192172894702E-2</v>
      </c>
      <c r="H168" s="422">
        <v>0.09</v>
      </c>
      <c r="I168" s="422">
        <v>0.1</v>
      </c>
      <c r="J168" s="422">
        <v>0.09</v>
      </c>
      <c r="K168" s="422">
        <v>8.5000000000000006E-2</v>
      </c>
      <c r="L168" s="422">
        <v>0.08</v>
      </c>
      <c r="M168" s="333" t="s">
        <v>441</v>
      </c>
    </row>
    <row r="169" spans="1:13" x14ac:dyDescent="0.2">
      <c r="A169" s="444" t="s">
        <v>440</v>
      </c>
      <c r="B169" s="365"/>
      <c r="C169" s="338">
        <f>IS!C50</f>
        <v>0</v>
      </c>
      <c r="D169" s="338">
        <f>IS!D50</f>
        <v>5528.2720000000054</v>
      </c>
      <c r="E169" s="338">
        <f>IS!E50</f>
        <v>5697.4300000000012</v>
      </c>
      <c r="F169" s="338">
        <f>IS!F50</f>
        <v>517.8500000000065</v>
      </c>
      <c r="G169" s="338">
        <f>IS!G50</f>
        <v>5152.3590000000058</v>
      </c>
      <c r="H169" s="338">
        <f>IS!H50</f>
        <v>18653.693694677466</v>
      </c>
      <c r="I169" s="338">
        <f>IS!I50</f>
        <v>22732.932578395175</v>
      </c>
      <c r="J169" s="338">
        <f>IS!J50</f>
        <v>28107.89688325192</v>
      </c>
      <c r="K169" s="338">
        <f>IS!K50</f>
        <v>34693.234467573406</v>
      </c>
      <c r="L169" s="338">
        <f>IS!L50</f>
        <v>42690.173876482339</v>
      </c>
    </row>
    <row r="170" spans="1:13" x14ac:dyDescent="0.2">
      <c r="A170" s="444"/>
      <c r="B170" s="365"/>
      <c r="E170" s="338"/>
    </row>
    <row r="171" spans="1:13" x14ac:dyDescent="0.2">
      <c r="A171" s="444"/>
      <c r="B171" s="365"/>
      <c r="E171" s="338"/>
    </row>
    <row r="172" spans="1:13" x14ac:dyDescent="0.2">
      <c r="A172" s="444"/>
      <c r="B172" s="365"/>
      <c r="E172" s="338"/>
    </row>
    <row r="173" spans="1:13" x14ac:dyDescent="0.2">
      <c r="A173" s="444"/>
      <c r="B173" s="365"/>
      <c r="E173" s="338"/>
    </row>
    <row r="174" spans="1:13" x14ac:dyDescent="0.2">
      <c r="B174" s="365"/>
    </row>
    <row r="175" spans="1:13" x14ac:dyDescent="0.2">
      <c r="B175" s="365"/>
    </row>
    <row r="176" spans="1:13" x14ac:dyDescent="0.2">
      <c r="A176" s="445"/>
      <c r="B176" s="365"/>
      <c r="C176" s="369"/>
      <c r="D176" s="369"/>
      <c r="E176" s="369"/>
    </row>
    <row r="177" spans="1:5" x14ac:dyDescent="0.2">
      <c r="A177" s="444"/>
      <c r="B177" s="365"/>
      <c r="E177" s="338"/>
    </row>
    <row r="178" spans="1:5" x14ac:dyDescent="0.2">
      <c r="A178" s="444"/>
      <c r="B178" s="365"/>
      <c r="E178" s="338"/>
    </row>
    <row r="179" spans="1:5" x14ac:dyDescent="0.2">
      <c r="A179" s="444"/>
      <c r="E179" s="338"/>
    </row>
    <row r="180" spans="1:5" x14ac:dyDescent="0.2">
      <c r="A180" s="444"/>
      <c r="E180" s="338"/>
    </row>
    <row r="181" spans="1:5" x14ac:dyDescent="0.2">
      <c r="A181" s="444"/>
      <c r="B181" s="401"/>
      <c r="E181" s="338"/>
    </row>
    <row r="182" spans="1:5" x14ac:dyDescent="0.2">
      <c r="A182" s="444"/>
      <c r="E182" s="338"/>
    </row>
    <row r="183" spans="1:5" x14ac:dyDescent="0.2">
      <c r="A183" s="445"/>
      <c r="C183" s="369"/>
      <c r="D183" s="369"/>
      <c r="E183" s="369"/>
    </row>
    <row r="184" spans="1:5" x14ac:dyDescent="0.2">
      <c r="A184" s="444"/>
      <c r="E184" s="338"/>
    </row>
    <row r="185" spans="1:5" x14ac:dyDescent="0.2">
      <c r="A185" s="444"/>
      <c r="E185" s="338"/>
    </row>
    <row r="186" spans="1:5" x14ac:dyDescent="0.2">
      <c r="A186" s="444"/>
      <c r="E186" s="338"/>
    </row>
    <row r="187" spans="1:5" x14ac:dyDescent="0.2">
      <c r="A187" s="444"/>
    </row>
    <row r="188" spans="1:5" x14ac:dyDescent="0.2">
      <c r="A188" s="445"/>
      <c r="C188" s="369"/>
      <c r="D188" s="369"/>
      <c r="E188" s="369"/>
    </row>
    <row r="191" spans="1:5" x14ac:dyDescent="0.2">
      <c r="A191" s="446"/>
    </row>
    <row r="193" spans="1:1" x14ac:dyDescent="0.2">
      <c r="A193" s="445"/>
    </row>
    <row r="214" spans="1:1" x14ac:dyDescent="0.2">
      <c r="A214" s="445"/>
    </row>
    <row r="229" spans="1:5" x14ac:dyDescent="0.2">
      <c r="A229" s="445"/>
      <c r="C229" s="369"/>
      <c r="D229" s="369"/>
      <c r="E229" s="369"/>
    </row>
    <row r="230" spans="1:5" x14ac:dyDescent="0.2">
      <c r="A230" s="440"/>
      <c r="C230" s="448"/>
      <c r="D230" s="447"/>
      <c r="E230" s="439"/>
    </row>
    <row r="231" spans="1:5" x14ac:dyDescent="0.2">
      <c r="A231" s="440"/>
      <c r="C231" s="448"/>
      <c r="D231" s="447"/>
      <c r="E231" s="439"/>
    </row>
    <row r="232" spans="1:5" x14ac:dyDescent="0.2">
      <c r="A232" s="440"/>
      <c r="C232" s="448"/>
      <c r="D232" s="448"/>
      <c r="E232" s="439"/>
    </row>
    <row r="233" spans="1:5" x14ac:dyDescent="0.2">
      <c r="A233" s="440"/>
      <c r="C233" s="447"/>
      <c r="D233" s="447"/>
      <c r="E233" s="447"/>
    </row>
    <row r="234" spans="1:5" x14ac:dyDescent="0.2">
      <c r="A234" s="440"/>
      <c r="C234" s="448"/>
      <c r="D234" s="448"/>
      <c r="E234" s="439"/>
    </row>
    <row r="235" spans="1:5" x14ac:dyDescent="0.2">
      <c r="A235" s="440"/>
      <c r="C235" s="448"/>
      <c r="D235" s="448"/>
      <c r="E235" s="439"/>
    </row>
    <row r="236" spans="1:5" x14ac:dyDescent="0.2">
      <c r="A236" s="440"/>
      <c r="C236" s="448"/>
      <c r="D236" s="448"/>
      <c r="E236" s="400"/>
    </row>
    <row r="237" spans="1:5" x14ac:dyDescent="0.2">
      <c r="A237" s="440"/>
      <c r="C237" s="447"/>
      <c r="D237" s="447"/>
      <c r="E237" s="400"/>
    </row>
    <row r="238" spans="1:5" x14ac:dyDescent="0.2">
      <c r="A238" s="440"/>
      <c r="C238" s="448"/>
      <c r="D238" s="448"/>
      <c r="E238" s="439"/>
    </row>
    <row r="239" spans="1:5" x14ac:dyDescent="0.2">
      <c r="A239" s="440"/>
      <c r="C239" s="448"/>
      <c r="D239" s="448"/>
      <c r="E239" s="439"/>
    </row>
    <row r="240" spans="1:5" x14ac:dyDescent="0.2">
      <c r="A240" s="440"/>
      <c r="C240" s="447"/>
      <c r="D240" s="447"/>
      <c r="E240" s="400"/>
    </row>
    <row r="241" spans="1:5" x14ac:dyDescent="0.2">
      <c r="A241" s="440"/>
      <c r="C241" s="448"/>
      <c r="D241" s="448"/>
      <c r="E241" s="439"/>
    </row>
    <row r="242" spans="1:5" x14ac:dyDescent="0.2">
      <c r="C242" s="448"/>
      <c r="D242" s="448"/>
      <c r="E242" s="439"/>
    </row>
    <row r="249" spans="1:5" x14ac:dyDescent="0.2">
      <c r="A249" s="446"/>
    </row>
    <row r="250" spans="1:5" x14ac:dyDescent="0.2">
      <c r="A250" s="440"/>
      <c r="C250" s="448"/>
      <c r="D250" s="448"/>
      <c r="E250" s="448"/>
    </row>
    <row r="251" spans="1:5" x14ac:dyDescent="0.2">
      <c r="A251" s="440"/>
      <c r="C251" s="448"/>
      <c r="D251" s="448"/>
      <c r="E251" s="448"/>
    </row>
    <row r="253" spans="1:5" x14ac:dyDescent="0.2">
      <c r="A253" s="440"/>
      <c r="E253" s="338"/>
    </row>
    <row r="254" spans="1:5" x14ac:dyDescent="0.2">
      <c r="A254" s="440"/>
      <c r="E254" s="338"/>
    </row>
    <row r="255" spans="1:5" x14ac:dyDescent="0.2">
      <c r="A255" s="445"/>
      <c r="C255" s="369"/>
      <c r="D255" s="369"/>
      <c r="E255" s="369"/>
    </row>
    <row r="256" spans="1:5" x14ac:dyDescent="0.2">
      <c r="A256" s="445"/>
      <c r="E256" s="338"/>
    </row>
    <row r="259" spans="1:5" x14ac:dyDescent="0.2">
      <c r="A259" s="446"/>
      <c r="E259" s="338"/>
    </row>
    <row r="261" spans="1:5" x14ac:dyDescent="0.2">
      <c r="A261" s="449"/>
      <c r="E261" s="338"/>
    </row>
    <row r="262" spans="1:5" x14ac:dyDescent="0.2">
      <c r="A262" s="449"/>
      <c r="E262" s="338"/>
    </row>
    <row r="263" spans="1:5" x14ac:dyDescent="0.2">
      <c r="A263" s="449"/>
      <c r="E263" s="338"/>
    </row>
    <row r="264" spans="1:5" x14ac:dyDescent="0.2">
      <c r="A264" s="449"/>
      <c r="E264" s="338"/>
    </row>
    <row r="265" spans="1:5" x14ac:dyDescent="0.2">
      <c r="A265" s="450"/>
      <c r="C265" s="369"/>
      <c r="D265" s="369"/>
      <c r="E265" s="369"/>
    </row>
    <row r="266" spans="1:5" x14ac:dyDescent="0.2">
      <c r="E266" s="451" t="e">
        <f>(E265*(1+[7]Dashboard!V3/100))/(([7]Dashboard!#REF!-[7]Dashboard!V3)/100)</f>
        <v>#REF!</v>
      </c>
    </row>
    <row r="267" spans="1:5" x14ac:dyDescent="0.2">
      <c r="A267" s="450"/>
      <c r="E267" s="451"/>
    </row>
    <row r="268" spans="1:5" x14ac:dyDescent="0.2">
      <c r="A268" s="450"/>
      <c r="E268" s="451"/>
    </row>
    <row r="269" spans="1:5" x14ac:dyDescent="0.2">
      <c r="A269" s="450"/>
      <c r="E269" s="451"/>
    </row>
    <row r="270" spans="1:5" x14ac:dyDescent="0.2">
      <c r="A270" s="450"/>
      <c r="E270" s="451"/>
    </row>
    <row r="271" spans="1:5" x14ac:dyDescent="0.2">
      <c r="E271" s="451"/>
    </row>
    <row r="272" spans="1:5" x14ac:dyDescent="0.2">
      <c r="A272" s="450"/>
    </row>
    <row r="273" spans="1:5" x14ac:dyDescent="0.2">
      <c r="A273" s="449"/>
    </row>
    <row r="274" spans="1:5" x14ac:dyDescent="0.2">
      <c r="A274" s="452"/>
      <c r="B274" s="453"/>
    </row>
    <row r="275" spans="1:5" x14ac:dyDescent="0.2">
      <c r="A275" s="452"/>
      <c r="B275" s="453"/>
      <c r="E275" s="338"/>
    </row>
    <row r="276" spans="1:5" x14ac:dyDescent="0.2">
      <c r="A276" s="452"/>
      <c r="B276" s="453"/>
    </row>
    <row r="277" spans="1:5" x14ac:dyDescent="0.2">
      <c r="A277" s="384"/>
    </row>
  </sheetData>
  <mergeCells count="1">
    <mergeCell ref="F2:G3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P74"/>
  <sheetViews>
    <sheetView showGridLines="0" zoomScale="124" zoomScaleNormal="124" workbookViewId="0">
      <pane xSplit="2" ySplit="5" topLeftCell="I44" activePane="bottomRight" state="frozen"/>
      <selection pane="topRight" activeCell="E1" sqref="E1"/>
      <selection pane="bottomLeft" activeCell="A6" sqref="A6"/>
      <selection pane="bottomRight" sqref="A1:XFD1048576"/>
    </sheetView>
  </sheetViews>
  <sheetFormatPr defaultColWidth="9.140625" defaultRowHeight="11.25" outlineLevelRow="1" x14ac:dyDescent="0.2"/>
  <cols>
    <col min="1" max="1" width="21.85546875" style="3" bestFit="1" customWidth="1"/>
    <col min="2" max="2" width="6.140625" style="3" customWidth="1"/>
    <col min="3" max="3" width="12.140625" style="3" bestFit="1" customWidth="1"/>
    <col min="4" max="4" width="11.28515625" style="3" bestFit="1" customWidth="1"/>
    <col min="5" max="5" width="12.140625" style="3" bestFit="1" customWidth="1"/>
    <col min="6" max="12" width="11.28515625" style="3" bestFit="1" customWidth="1"/>
    <col min="13" max="16384" width="9.140625" style="3"/>
  </cols>
  <sheetData>
    <row r="1" spans="1:16" x14ac:dyDescent="0.2">
      <c r="A1" s="1" t="s">
        <v>447</v>
      </c>
      <c r="B1" s="2"/>
      <c r="C1" s="2"/>
      <c r="D1" s="2"/>
      <c r="E1" s="2"/>
      <c r="F1" s="2"/>
    </row>
    <row r="2" spans="1:16" x14ac:dyDescent="0.2">
      <c r="A2" s="4" t="s">
        <v>0</v>
      </c>
      <c r="B2" s="2"/>
      <c r="C2" s="2"/>
      <c r="D2" s="2"/>
      <c r="E2" s="5"/>
      <c r="F2" s="5"/>
      <c r="G2" s="5"/>
    </row>
    <row r="3" spans="1:16" x14ac:dyDescent="0.2">
      <c r="A3" s="6" t="s">
        <v>1</v>
      </c>
      <c r="B3" s="2"/>
      <c r="C3" s="2"/>
      <c r="D3" s="2"/>
      <c r="E3" s="5"/>
      <c r="F3" s="5"/>
      <c r="G3" s="5"/>
    </row>
    <row r="4" spans="1:16" ht="5.0999999999999996" customHeight="1" x14ac:dyDescent="0.2">
      <c r="A4" s="2"/>
      <c r="B4" s="2"/>
      <c r="C4" s="2"/>
      <c r="D4" s="2"/>
      <c r="E4" s="2"/>
      <c r="F4" s="2"/>
    </row>
    <row r="5" spans="1:16" x14ac:dyDescent="0.2">
      <c r="A5" s="635" t="s">
        <v>2</v>
      </c>
      <c r="B5" s="636"/>
      <c r="C5" s="637">
        <v>2017</v>
      </c>
      <c r="D5" s="637">
        <v>2018</v>
      </c>
      <c r="E5" s="637">
        <v>2019</v>
      </c>
      <c r="F5" s="637">
        <v>2020</v>
      </c>
      <c r="G5" s="637">
        <v>2021</v>
      </c>
      <c r="H5" s="8" t="s">
        <v>176</v>
      </c>
      <c r="I5" s="8" t="s">
        <v>177</v>
      </c>
      <c r="J5" s="8" t="s">
        <v>334</v>
      </c>
      <c r="K5" s="8" t="s">
        <v>356</v>
      </c>
      <c r="L5" s="8" t="s">
        <v>369</v>
      </c>
    </row>
    <row r="6" spans="1:16" ht="15" customHeight="1" x14ac:dyDescent="0.2"/>
    <row r="7" spans="1:16" x14ac:dyDescent="0.2">
      <c r="A7" s="10" t="s">
        <v>4</v>
      </c>
      <c r="C7" s="475">
        <f>C8+C9</f>
        <v>27434.754000000001</v>
      </c>
      <c r="D7" s="475">
        <f t="shared" ref="D7:L7" si="0">D8+D9</f>
        <v>29679.456000000002</v>
      </c>
      <c r="E7" s="475">
        <f t="shared" si="0"/>
        <v>29500.317000000003</v>
      </c>
      <c r="F7" s="475">
        <f t="shared" si="0"/>
        <v>26998.155000000002</v>
      </c>
      <c r="G7" s="475">
        <f t="shared" si="0"/>
        <v>34206.154000000002</v>
      </c>
      <c r="H7" s="475">
        <f t="shared" si="0"/>
        <v>43800.975975337053</v>
      </c>
      <c r="I7" s="475">
        <f t="shared" si="0"/>
        <v>52544.37024477926</v>
      </c>
      <c r="J7" s="475">
        <f t="shared" si="0"/>
        <v>63875.583010690818</v>
      </c>
      <c r="K7" s="475">
        <f t="shared" si="0"/>
        <v>77657.730863575867</v>
      </c>
      <c r="L7" s="475">
        <f t="shared" si="0"/>
        <v>94373.656426493952</v>
      </c>
    </row>
    <row r="8" spans="1:16" outlineLevel="1" x14ac:dyDescent="0.2">
      <c r="A8" s="12" t="s">
        <v>5</v>
      </c>
      <c r="C8" s="477">
        <v>26709.608</v>
      </c>
      <c r="D8" s="473">
        <v>28244.024000000001</v>
      </c>
      <c r="E8" s="473">
        <v>28236.791000000001</v>
      </c>
      <c r="F8" s="473">
        <v>25580.151000000002</v>
      </c>
      <c r="G8" s="473">
        <v>32735.882000000001</v>
      </c>
      <c r="H8" s="478">
        <f>'Drivers Sheet'!H41</f>
        <v>40598.712678887998</v>
      </c>
      <c r="I8" s="478">
        <f>'Drivers Sheet'!I41</f>
        <v>48383.515835064776</v>
      </c>
      <c r="J8" s="478">
        <f>'Drivers Sheet'!J41</f>
        <v>58423.095370840711</v>
      </c>
      <c r="K8" s="478">
        <f>'Drivers Sheet'!K41</f>
        <v>70545.887660290173</v>
      </c>
      <c r="L8" s="478">
        <f>'Drivers Sheet'!L41</f>
        <v>85184.159349800379</v>
      </c>
    </row>
    <row r="9" spans="1:16" outlineLevel="1" x14ac:dyDescent="0.2">
      <c r="A9" s="12" t="s">
        <v>6</v>
      </c>
      <c r="C9" s="477">
        <v>725.14599999999996</v>
      </c>
      <c r="D9" s="473">
        <v>1435.432</v>
      </c>
      <c r="E9" s="473">
        <v>1263.5260000000001</v>
      </c>
      <c r="F9" s="473">
        <v>1418.0039999999999</v>
      </c>
      <c r="G9" s="473">
        <v>1470.2719999999999</v>
      </c>
      <c r="H9" s="478">
        <f>'Drivers Sheet'!H42</f>
        <v>3202.2632964490558</v>
      </c>
      <c r="I9" s="478">
        <f>'Drivers Sheet'!I42</f>
        <v>4160.8544097144877</v>
      </c>
      <c r="J9" s="478">
        <f>'Drivers Sheet'!J42</f>
        <v>5452.4876398501074</v>
      </c>
      <c r="K9" s="478">
        <f>'Drivers Sheet'!K42</f>
        <v>7111.8432032856917</v>
      </c>
      <c r="L9" s="478">
        <f>'Drivers Sheet'!L42</f>
        <v>9189.4970766935712</v>
      </c>
    </row>
    <row r="10" spans="1:16" x14ac:dyDescent="0.2">
      <c r="A10" s="12"/>
      <c r="C10" s="477"/>
      <c r="D10" s="479"/>
      <c r="E10" s="473"/>
      <c r="F10" s="473"/>
      <c r="G10" s="473"/>
      <c r="H10" s="480"/>
      <c r="I10" s="480"/>
      <c r="J10" s="480"/>
      <c r="K10" s="480"/>
      <c r="L10" s="480"/>
    </row>
    <row r="11" spans="1:16" x14ac:dyDescent="0.2">
      <c r="A11" s="2" t="s">
        <v>7</v>
      </c>
      <c r="B11" s="13"/>
      <c r="C11" s="481">
        <f>C12+C13</f>
        <v>7011.3979999999992</v>
      </c>
      <c r="D11" s="481">
        <f t="shared" ref="D11:L11" si="1">D12+D13</f>
        <v>8518.5779999999995</v>
      </c>
      <c r="E11" s="481">
        <f t="shared" si="1"/>
        <v>8702.2349999999988</v>
      </c>
      <c r="F11" s="481">
        <f t="shared" si="1"/>
        <v>9766.4459999999999</v>
      </c>
      <c r="G11" s="481">
        <f t="shared" si="1"/>
        <v>9934.8690000000006</v>
      </c>
      <c r="H11" s="481">
        <f t="shared" si="1"/>
        <v>0</v>
      </c>
      <c r="I11" s="481">
        <f t="shared" si="1"/>
        <v>0</v>
      </c>
      <c r="J11" s="481">
        <f t="shared" si="1"/>
        <v>0</v>
      </c>
      <c r="K11" s="481">
        <f t="shared" si="1"/>
        <v>0</v>
      </c>
      <c r="L11" s="481">
        <f t="shared" si="1"/>
        <v>0</v>
      </c>
    </row>
    <row r="12" spans="1:16" outlineLevel="1" x14ac:dyDescent="0.2">
      <c r="A12" s="12" t="s">
        <v>8</v>
      </c>
      <c r="B12" s="13"/>
      <c r="C12" s="473">
        <f>4208.713+2800.854</f>
        <v>7009.5669999999991</v>
      </c>
      <c r="D12" s="509">
        <f>4549.06+3965.877</f>
        <v>8514.9369999999999</v>
      </c>
      <c r="E12" s="510">
        <f>4473.274+4225.401</f>
        <v>8698.6749999999993</v>
      </c>
      <c r="F12" s="473">
        <f>4139.235+5623.159</f>
        <v>9762.3940000000002</v>
      </c>
      <c r="G12" s="473">
        <f>5129.939+4800.823</f>
        <v>9930.7620000000006</v>
      </c>
      <c r="H12" s="482"/>
      <c r="I12" s="482"/>
      <c r="J12" s="482"/>
      <c r="K12" s="482"/>
      <c r="L12" s="482"/>
    </row>
    <row r="13" spans="1:16" outlineLevel="1" x14ac:dyDescent="0.2">
      <c r="A13" s="12" t="s">
        <v>9</v>
      </c>
      <c r="B13" s="13"/>
      <c r="C13" s="511">
        <v>1.831</v>
      </c>
      <c r="D13" s="473">
        <v>3.641</v>
      </c>
      <c r="E13" s="483">
        <v>3.56</v>
      </c>
      <c r="F13" s="483">
        <v>4.0519999999999996</v>
      </c>
      <c r="G13" s="483">
        <v>4.1070000000000002</v>
      </c>
      <c r="H13" s="482"/>
      <c r="I13" s="482"/>
      <c r="J13" s="482"/>
      <c r="K13" s="482"/>
      <c r="L13" s="482"/>
      <c r="P13" s="472"/>
    </row>
    <row r="14" spans="1:16" x14ac:dyDescent="0.2">
      <c r="A14" s="16"/>
      <c r="B14" s="17"/>
      <c r="C14" s="484"/>
      <c r="D14" s="484"/>
      <c r="E14" s="484"/>
      <c r="F14" s="484"/>
      <c r="G14" s="484"/>
      <c r="H14" s="485"/>
      <c r="I14" s="485"/>
      <c r="J14" s="485"/>
      <c r="K14" s="485"/>
      <c r="L14" s="485"/>
    </row>
    <row r="15" spans="1:16" x14ac:dyDescent="0.2">
      <c r="A15" s="18" t="s">
        <v>10</v>
      </c>
      <c r="B15" s="19"/>
      <c r="C15" s="486">
        <f>C7-C11</f>
        <v>20423.356</v>
      </c>
      <c r="D15" s="486">
        <f t="shared" ref="D15:G15" si="2">D7-D11</f>
        <v>21160.878000000004</v>
      </c>
      <c r="E15" s="486">
        <f t="shared" si="2"/>
        <v>20798.082000000002</v>
      </c>
      <c r="F15" s="486">
        <f t="shared" si="2"/>
        <v>17231.709000000003</v>
      </c>
      <c r="G15" s="486">
        <f t="shared" si="2"/>
        <v>24271.285000000003</v>
      </c>
      <c r="H15" s="590">
        <f>SUM(H16:H17)</f>
        <v>29561.431220210172</v>
      </c>
      <c r="I15" s="590">
        <f t="shared" ref="I15:L15" si="3">SUM(I16:I17)</f>
        <v>35948.708021681094</v>
      </c>
      <c r="J15" s="590">
        <f t="shared" si="3"/>
        <v>44264.222181345889</v>
      </c>
      <c r="K15" s="590">
        <f t="shared" si="3"/>
        <v>54466.261559182574</v>
      </c>
      <c r="L15" s="590">
        <f t="shared" si="3"/>
        <v>66933.010483129139</v>
      </c>
    </row>
    <row r="16" spans="1:16" outlineLevel="1" x14ac:dyDescent="0.2">
      <c r="A16" s="12" t="s">
        <v>5</v>
      </c>
      <c r="B16" s="13"/>
      <c r="C16" s="487">
        <f>C8-C12</f>
        <v>19700.041000000001</v>
      </c>
      <c r="D16" s="487">
        <f>D8-D12</f>
        <v>19729.087</v>
      </c>
      <c r="E16" s="487">
        <f t="shared" ref="E16:G16" si="4">E8-E12</f>
        <v>19538.116000000002</v>
      </c>
      <c r="F16" s="487">
        <f t="shared" si="4"/>
        <v>15817.757000000001</v>
      </c>
      <c r="G16" s="487">
        <f t="shared" si="4"/>
        <v>22805.120000000003</v>
      </c>
      <c r="H16" s="591">
        <f>'Drivers Sheet'!H61</f>
        <v>26615.348987477042</v>
      </c>
      <c r="I16" s="591">
        <f>'Drivers Sheet'!I61</f>
        <v>32120.721964743763</v>
      </c>
      <c r="J16" s="591">
        <f>'Drivers Sheet'!J61</f>
        <v>39247.933552683789</v>
      </c>
      <c r="K16" s="591">
        <f>'Drivers Sheet'!K61</f>
        <v>47923.36581215974</v>
      </c>
      <c r="L16" s="591">
        <f>'Drivers Sheet'!L61</f>
        <v>58478.673172571049</v>
      </c>
    </row>
    <row r="17" spans="1:12" outlineLevel="1" x14ac:dyDescent="0.2">
      <c r="A17" s="12" t="s">
        <v>6</v>
      </c>
      <c r="B17" s="13"/>
      <c r="C17" s="487">
        <f>C9-C13</f>
        <v>723.31499999999994</v>
      </c>
      <c r="D17" s="487">
        <f>D9-D13</f>
        <v>1431.7909999999999</v>
      </c>
      <c r="E17" s="487">
        <f t="shared" ref="E17:G17" si="5">E9-E13</f>
        <v>1259.9660000000001</v>
      </c>
      <c r="F17" s="487">
        <f t="shared" si="5"/>
        <v>1413.952</v>
      </c>
      <c r="G17" s="487">
        <f t="shared" si="5"/>
        <v>1466.165</v>
      </c>
      <c r="H17" s="591">
        <f>'Drivers Sheet'!H62</f>
        <v>2946.0822327331316</v>
      </c>
      <c r="I17" s="591">
        <f>'Drivers Sheet'!I62</f>
        <v>3827.9860569373291</v>
      </c>
      <c r="J17" s="591">
        <f>'Drivers Sheet'!J62</f>
        <v>5016.2886286620987</v>
      </c>
      <c r="K17" s="591">
        <f>'Drivers Sheet'!K62</f>
        <v>6542.895747022837</v>
      </c>
      <c r="L17" s="591">
        <f>'Drivers Sheet'!L62</f>
        <v>8454.3373105580868</v>
      </c>
    </row>
    <row r="18" spans="1:12" x14ac:dyDescent="0.2">
      <c r="A18" s="21"/>
      <c r="B18" s="13"/>
      <c r="C18" s="487"/>
      <c r="D18" s="488"/>
      <c r="E18" s="489"/>
      <c r="F18" s="489"/>
      <c r="G18" s="489"/>
      <c r="H18" s="490"/>
      <c r="I18" s="490"/>
      <c r="J18" s="490"/>
      <c r="K18" s="490"/>
      <c r="L18" s="490"/>
    </row>
    <row r="19" spans="1:12" x14ac:dyDescent="0.2">
      <c r="A19" s="10" t="s">
        <v>11</v>
      </c>
      <c r="C19" s="474">
        <f>SUM(C20:C28)</f>
        <v>15985.678999999998</v>
      </c>
      <c r="D19" s="474">
        <f t="shared" ref="D19:H19" si="6">SUM(D20:D28)</f>
        <v>16046.290999999999</v>
      </c>
      <c r="E19" s="474">
        <f t="shared" si="6"/>
        <v>15474.771000000001</v>
      </c>
      <c r="F19" s="474">
        <f t="shared" si="6"/>
        <v>16582.604999999996</v>
      </c>
      <c r="G19" s="474">
        <f t="shared" si="6"/>
        <v>18206.879999999997</v>
      </c>
      <c r="H19" s="588">
        <f t="shared" si="6"/>
        <v>9217.1001937312813</v>
      </c>
      <c r="I19" s="588">
        <f t="shared" ref="I19:L19" si="7">SUM(I20:I28)</f>
        <v>11007.070551018185</v>
      </c>
      <c r="J19" s="588">
        <f t="shared" si="7"/>
        <v>13295.383958048844</v>
      </c>
      <c r="K19" s="588">
        <f t="shared" si="7"/>
        <v>16075.339017626748</v>
      </c>
      <c r="L19" s="588">
        <f t="shared" si="7"/>
        <v>19443.137585140496</v>
      </c>
    </row>
    <row r="20" spans="1:12" outlineLevel="1" x14ac:dyDescent="0.2">
      <c r="A20" s="15" t="s">
        <v>12</v>
      </c>
      <c r="B20" s="13"/>
      <c r="C20" s="473">
        <f>539.296+809.781</f>
        <v>1349.077</v>
      </c>
      <c r="D20" s="473">
        <f>1208.78+985.122</f>
        <v>2193.902</v>
      </c>
      <c r="E20" s="473">
        <f>1265.214+1170.925</f>
        <v>2436.1390000000001</v>
      </c>
      <c r="F20" s="473">
        <f>1582.587+1279.202</f>
        <v>2861.7889999999998</v>
      </c>
      <c r="G20" s="473">
        <f>1769.471+1322.235</f>
        <v>3091.7060000000001</v>
      </c>
      <c r="H20" s="589">
        <f>H15*'Drivers Sheet'!H67</f>
        <v>3251.7574342231187</v>
      </c>
      <c r="I20" s="589">
        <f>I15*'Drivers Sheet'!I67</f>
        <v>3954.3578823849202</v>
      </c>
      <c r="J20" s="589">
        <f>J15*'Drivers Sheet'!J67</f>
        <v>4869.0644399480479</v>
      </c>
      <c r="K20" s="589">
        <f>K15*'Drivers Sheet'!K67</f>
        <v>5991.2887715100833</v>
      </c>
      <c r="L20" s="589">
        <f>L15*'Drivers Sheet'!L67</f>
        <v>7362.6311531442052</v>
      </c>
    </row>
    <row r="21" spans="1:12" outlineLevel="1" x14ac:dyDescent="0.2">
      <c r="A21" s="15" t="s">
        <v>13</v>
      </c>
      <c r="B21" s="13"/>
      <c r="C21" s="473">
        <v>1126.5150000000001</v>
      </c>
      <c r="D21" s="473">
        <v>1359.346</v>
      </c>
      <c r="E21" s="473">
        <v>1515.009</v>
      </c>
      <c r="F21" s="473">
        <v>1452.5719999999999</v>
      </c>
      <c r="G21" s="473">
        <v>1471.6890000000001</v>
      </c>
      <c r="H21" s="589">
        <f>H15*'Drivers Sheet'!H68</f>
        <v>2069.3001854147124</v>
      </c>
      <c r="I21" s="589">
        <f>I15*'Drivers Sheet'!I68</f>
        <v>2516.4095615176766</v>
      </c>
      <c r="J21" s="589">
        <f>J15*'Drivers Sheet'!J68</f>
        <v>3098.4955526942126</v>
      </c>
      <c r="K21" s="589">
        <f>K15*'Drivers Sheet'!K68</f>
        <v>3812.6383091427806</v>
      </c>
      <c r="L21" s="589">
        <f>L15*'Drivers Sheet'!L68</f>
        <v>4685.3107338190403</v>
      </c>
    </row>
    <row r="22" spans="1:12" outlineLevel="1" x14ac:dyDescent="0.2">
      <c r="A22" s="15" t="s">
        <v>14</v>
      </c>
      <c r="B22" s="13"/>
      <c r="C22" s="473">
        <v>1766.3240000000001</v>
      </c>
      <c r="D22" s="473">
        <v>2480.89</v>
      </c>
      <c r="E22" s="473">
        <v>2256.6959999999999</v>
      </c>
      <c r="F22" s="473">
        <v>2732.7869999999998</v>
      </c>
      <c r="G22" s="473">
        <v>2834.2310000000002</v>
      </c>
      <c r="H22" s="589"/>
      <c r="I22" s="589"/>
      <c r="J22" s="589"/>
      <c r="K22" s="589"/>
      <c r="L22" s="589"/>
    </row>
    <row r="23" spans="1:12" outlineLevel="1" x14ac:dyDescent="0.2">
      <c r="A23" s="15" t="s">
        <v>274</v>
      </c>
      <c r="B23" s="13"/>
      <c r="C23" s="473">
        <v>1847.54</v>
      </c>
      <c r="D23" s="473">
        <v>5188.4960000000001</v>
      </c>
      <c r="E23" s="473">
        <v>6037.2839999999997</v>
      </c>
      <c r="F23" s="473">
        <v>6322.4110000000001</v>
      </c>
      <c r="G23" s="473">
        <v>7097.1610000000001</v>
      </c>
      <c r="H23" s="589"/>
      <c r="I23" s="589"/>
      <c r="J23" s="589"/>
      <c r="K23" s="589"/>
      <c r="L23" s="589"/>
    </row>
    <row r="24" spans="1:12" outlineLevel="1" x14ac:dyDescent="0.2">
      <c r="A24" s="15" t="s">
        <v>15</v>
      </c>
      <c r="B24" s="13"/>
      <c r="C24" s="473">
        <v>32.174999999999997</v>
      </c>
      <c r="D24" s="473">
        <v>56.625999999999998</v>
      </c>
      <c r="E24" s="473">
        <v>60.481000000000002</v>
      </c>
      <c r="F24" s="473">
        <v>40.017000000000003</v>
      </c>
      <c r="G24" s="473">
        <v>52.715000000000003</v>
      </c>
      <c r="H24" s="589">
        <f>H15*'Drivers Sheet'!H71</f>
        <v>59.122862440420342</v>
      </c>
      <c r="I24" s="589">
        <f>I15*'Drivers Sheet'!I71</f>
        <v>71.897416043362185</v>
      </c>
      <c r="J24" s="589">
        <f>J15*'Drivers Sheet'!J71</f>
        <v>88.528444362691786</v>
      </c>
      <c r="K24" s="589">
        <f>K15*'Drivers Sheet'!K71</f>
        <v>108.93252311836515</v>
      </c>
      <c r="L24" s="589">
        <f>L15*'Drivers Sheet'!L71</f>
        <v>133.86602096625828</v>
      </c>
    </row>
    <row r="25" spans="1:12" outlineLevel="1" x14ac:dyDescent="0.2">
      <c r="A25" s="15" t="s">
        <v>16</v>
      </c>
      <c r="B25" s="13"/>
      <c r="C25" s="473">
        <v>389.95600000000002</v>
      </c>
      <c r="D25" s="473">
        <v>715.67700000000002</v>
      </c>
      <c r="E25" s="473">
        <v>789.21199999999999</v>
      </c>
      <c r="F25" s="473">
        <v>718.505</v>
      </c>
      <c r="G25" s="473">
        <v>770.42700000000002</v>
      </c>
      <c r="H25" s="589">
        <f>H15*'Drivers Sheet'!H72</f>
        <v>945.96579904672546</v>
      </c>
      <c r="I25" s="589">
        <f>I15*'Drivers Sheet'!I72</f>
        <v>1150.358656693795</v>
      </c>
      <c r="J25" s="589">
        <f>J15*'Drivers Sheet'!J72</f>
        <v>1416.4551098030686</v>
      </c>
      <c r="K25" s="589">
        <f>K15*'Drivers Sheet'!K72</f>
        <v>1742.9203698938425</v>
      </c>
      <c r="L25" s="589">
        <f>L15*'Drivers Sheet'!L72</f>
        <v>2141.8563354601324</v>
      </c>
    </row>
    <row r="26" spans="1:12" outlineLevel="1" x14ac:dyDescent="0.2">
      <c r="A26" s="15" t="s">
        <v>17</v>
      </c>
      <c r="B26" s="13"/>
      <c r="C26" s="473">
        <v>1296.0550000000001</v>
      </c>
      <c r="D26" s="473">
        <v>1395.569</v>
      </c>
      <c r="E26" s="473">
        <v>1498.617</v>
      </c>
      <c r="F26" s="473">
        <v>1693.5250000000001</v>
      </c>
      <c r="G26" s="473">
        <v>1555.5</v>
      </c>
      <c r="H26" s="589">
        <f>'Fixed Assets'!H24</f>
        <v>2004.1109759999997</v>
      </c>
      <c r="I26" s="589">
        <f>'Fixed Assets'!I24</f>
        <v>2235.5857937279998</v>
      </c>
      <c r="J26" s="589">
        <f>'Fixed Assets'!J24</f>
        <v>2494.9137458004479</v>
      </c>
      <c r="K26" s="589">
        <f>'Fixed Assets'!K24</f>
        <v>2785.5711971862006</v>
      </c>
      <c r="L26" s="589">
        <f>'Fixed Assets'!L24</f>
        <v>3111.4830272569857</v>
      </c>
    </row>
    <row r="27" spans="1:12" outlineLevel="1" x14ac:dyDescent="0.2">
      <c r="A27" s="15" t="s">
        <v>18</v>
      </c>
      <c r="B27" s="13"/>
      <c r="C27" s="473">
        <f>23.018+85.101+14.998+18.687+3.491+25.504+22.412+8509.997</f>
        <v>8703.2079999999987</v>
      </c>
      <c r="D27" s="473">
        <f>25.384+131.718+10.426+17.308+3.316+38.296+52.067+2463.082</f>
        <v>2741.5969999999998</v>
      </c>
      <c r="E27" s="473">
        <f>25.309+48.286+60.242+20.155+2.861+46.116+45.763+336.748</f>
        <v>585.48</v>
      </c>
      <c r="F27" s="473">
        <f>16.684+21.953+150.056+14.071+20.512+2.908+43.534+42.004+267.554</f>
        <v>579.27600000000007</v>
      </c>
      <c r="G27" s="473">
        <f>28.822+138.214+13.306+16.975+2.486+36.947+64.059+281.863</f>
        <v>582.67200000000003</v>
      </c>
      <c r="H27" s="589">
        <f>H15*'Drivers Sheet'!H74</f>
        <v>886.8429366063051</v>
      </c>
      <c r="I27" s="589">
        <f>I15*'Drivers Sheet'!I74</f>
        <v>1078.4612406504327</v>
      </c>
      <c r="J27" s="589">
        <f>J15*'Drivers Sheet'!J74</f>
        <v>1327.9266654403766</v>
      </c>
      <c r="K27" s="589">
        <f>K15*'Drivers Sheet'!K74</f>
        <v>1633.9878467754772</v>
      </c>
      <c r="L27" s="589">
        <f>L15*'Drivers Sheet'!L74</f>
        <v>2007.9903144938742</v>
      </c>
    </row>
    <row r="28" spans="1:12" outlineLevel="1" x14ac:dyDescent="0.2">
      <c r="A28" s="15" t="s">
        <v>19</v>
      </c>
      <c r="B28" s="13"/>
      <c r="C28" s="473">
        <f>(251.313-693.604)+(164.028-232.036)-14.872</f>
        <v>-525.17100000000005</v>
      </c>
      <c r="D28" s="473">
        <f>(693.604-808.315)+(232.036-186.546)-16.591</f>
        <v>-85.812000000000012</v>
      </c>
      <c r="E28" s="473">
        <f>(808.315-524.636)+(186.546-206.537)-6.999+39.164</f>
        <v>295.85300000000007</v>
      </c>
      <c r="F28" s="473">
        <f>(524.636-779.94)+(206.537-138.345)-0.955+369.79</f>
        <v>181.72299999999993</v>
      </c>
      <c r="G28" s="473">
        <f>(779.94-629.288)+(138.345-146.34)-0.376+608.498</f>
        <v>750.77900000000011</v>
      </c>
      <c r="H28" s="577"/>
      <c r="I28" s="577"/>
      <c r="J28" s="577"/>
      <c r="K28" s="577"/>
      <c r="L28" s="577"/>
    </row>
    <row r="29" spans="1:12" x14ac:dyDescent="0.2">
      <c r="A29" s="24"/>
      <c r="B29" s="17"/>
      <c r="C29" s="492"/>
      <c r="D29" s="492"/>
      <c r="E29" s="492"/>
      <c r="F29" s="492"/>
      <c r="G29" s="492"/>
      <c r="H29" s="492"/>
      <c r="I29" s="492"/>
      <c r="J29" s="492"/>
      <c r="K29" s="492"/>
      <c r="L29" s="492"/>
    </row>
    <row r="30" spans="1:12" x14ac:dyDescent="0.2">
      <c r="A30" s="18" t="s">
        <v>20</v>
      </c>
      <c r="B30" s="19"/>
      <c r="C30" s="493">
        <f>C15-C19</f>
        <v>4437.6770000000015</v>
      </c>
      <c r="D30" s="493">
        <f>D15-D19</f>
        <v>5114.587000000005</v>
      </c>
      <c r="E30" s="493">
        <f t="shared" ref="E30:G30" si="8">E15-E19</f>
        <v>5323.3110000000015</v>
      </c>
      <c r="F30" s="493">
        <f>F15-F19</f>
        <v>649.10400000000664</v>
      </c>
      <c r="G30" s="493">
        <f t="shared" si="8"/>
        <v>6064.4050000000061</v>
      </c>
      <c r="H30" s="493">
        <f>H15-H19</f>
        <v>20344.331026478889</v>
      </c>
      <c r="I30" s="493">
        <f t="shared" ref="I30:L30" si="9">I15-I19</f>
        <v>24941.637470662907</v>
      </c>
      <c r="J30" s="493">
        <f t="shared" si="9"/>
        <v>30968.838223297047</v>
      </c>
      <c r="K30" s="493">
        <f t="shared" si="9"/>
        <v>38390.922541555825</v>
      </c>
      <c r="L30" s="493">
        <f t="shared" si="9"/>
        <v>47489.872897988644</v>
      </c>
    </row>
    <row r="31" spans="1:12" x14ac:dyDescent="0.2">
      <c r="A31" s="26" t="s">
        <v>21</v>
      </c>
      <c r="C31" s="592">
        <f>C30/C15</f>
        <v>0.21728441691953082</v>
      </c>
      <c r="D31" s="592">
        <f>D30/D15</f>
        <v>0.24170013172421315</v>
      </c>
      <c r="E31" s="592">
        <f t="shared" ref="E31:G31" si="10">E30/E15</f>
        <v>0.25595201519063154</v>
      </c>
      <c r="F31" s="592">
        <f>F30/F15</f>
        <v>3.7669159803012373E-2</v>
      </c>
      <c r="G31" s="592">
        <f t="shared" si="10"/>
        <v>0.24985924725452341</v>
      </c>
      <c r="H31" s="592">
        <f>H30/H15</f>
        <v>0.68820521154503989</v>
      </c>
      <c r="I31" s="592">
        <f t="shared" ref="I31:L31" si="11">I30/I15</f>
        <v>0.69381179027686635</v>
      </c>
      <c r="J31" s="592">
        <f t="shared" si="11"/>
        <v>0.69963588417799272</v>
      </c>
      <c r="K31" s="592">
        <f t="shared" si="11"/>
        <v>0.70485694157364875</v>
      </c>
      <c r="L31" s="592">
        <f t="shared" si="11"/>
        <v>0.7095134755661221</v>
      </c>
    </row>
    <row r="32" spans="1:12" x14ac:dyDescent="0.2">
      <c r="A32" s="26"/>
      <c r="C32" s="494"/>
      <c r="D32" s="494"/>
      <c r="E32" s="494"/>
      <c r="F32" s="494"/>
      <c r="G32" s="494"/>
      <c r="H32" s="480"/>
      <c r="I32" s="480"/>
      <c r="J32" s="480"/>
      <c r="K32" s="480"/>
      <c r="L32" s="480"/>
    </row>
    <row r="33" spans="1:12" x14ac:dyDescent="0.2">
      <c r="A33" s="10" t="s">
        <v>22</v>
      </c>
      <c r="B33" s="28"/>
      <c r="C33" s="496">
        <f>SUM(C34:C38)</f>
        <v>339.76599999999996</v>
      </c>
      <c r="D33" s="496">
        <f>SUM(D34:D38)</f>
        <v>385.60199999999998</v>
      </c>
      <c r="E33" s="496">
        <f t="shared" ref="E33:G33" si="12">SUM(E34:E38)</f>
        <v>415.97900000000004</v>
      </c>
      <c r="F33" s="496">
        <f t="shared" si="12"/>
        <v>468.65100000000007</v>
      </c>
      <c r="G33" s="496">
        <f t="shared" si="12"/>
        <v>524.70899999999995</v>
      </c>
      <c r="H33" s="491">
        <f>H15*'Drivers Sheet'!H146</f>
        <v>739.03578050525437</v>
      </c>
      <c r="I33" s="491">
        <f>I15*'Drivers Sheet'!I146</f>
        <v>898.71770054202739</v>
      </c>
      <c r="J33" s="491">
        <f>J15*'Drivers Sheet'!J146</f>
        <v>1106.6055545336474</v>
      </c>
      <c r="K33" s="491">
        <f>K15*'Drivers Sheet'!K146</f>
        <v>1361.6565389795644</v>
      </c>
      <c r="L33" s="491">
        <f>L15*'Drivers Sheet'!L146</f>
        <v>1673.3252620782287</v>
      </c>
    </row>
    <row r="34" spans="1:12" outlineLevel="1" x14ac:dyDescent="0.2">
      <c r="A34" s="2" t="s">
        <v>23</v>
      </c>
      <c r="C34" s="510">
        <v>253.077</v>
      </c>
      <c r="D34" s="510">
        <v>291.54399999999998</v>
      </c>
      <c r="E34" s="510">
        <v>319.673</v>
      </c>
      <c r="F34" s="510">
        <v>312.05200000000002</v>
      </c>
      <c r="G34" s="510">
        <v>327.99099999999999</v>
      </c>
      <c r="H34" s="480"/>
      <c r="I34" s="480"/>
      <c r="J34" s="480"/>
      <c r="K34" s="480"/>
      <c r="L34" s="480"/>
    </row>
    <row r="35" spans="1:12" outlineLevel="1" x14ac:dyDescent="0.2">
      <c r="A35" s="2" t="s">
        <v>24</v>
      </c>
      <c r="C35" s="510">
        <v>15.256</v>
      </c>
      <c r="D35" s="510">
        <v>17.042999999999999</v>
      </c>
      <c r="E35" s="511">
        <v>16.096</v>
      </c>
      <c r="F35" s="510">
        <f>14.335+15.08</f>
        <v>29.414999999999999</v>
      </c>
      <c r="G35" s="510">
        <f>13.02+21.411</f>
        <v>34.430999999999997</v>
      </c>
      <c r="H35" s="480"/>
      <c r="I35" s="480"/>
      <c r="J35" s="480"/>
      <c r="K35" s="480"/>
      <c r="L35" s="480"/>
    </row>
    <row r="36" spans="1:12" outlineLevel="1" x14ac:dyDescent="0.2">
      <c r="A36" s="2" t="s">
        <v>25</v>
      </c>
      <c r="C36" s="510">
        <v>14.596</v>
      </c>
      <c r="D36" s="510">
        <v>11.916</v>
      </c>
      <c r="E36" s="510">
        <v>15.593999999999999</v>
      </c>
      <c r="F36" s="510">
        <v>9.66</v>
      </c>
      <c r="G36" s="510">
        <f>12.691+17.384</f>
        <v>30.075000000000003</v>
      </c>
      <c r="H36" s="480"/>
      <c r="I36" s="480"/>
      <c r="J36" s="480"/>
      <c r="K36" s="480"/>
      <c r="L36" s="480"/>
    </row>
    <row r="37" spans="1:12" outlineLevel="1" x14ac:dyDescent="0.2">
      <c r="A37" s="2" t="s">
        <v>26</v>
      </c>
      <c r="C37" s="510">
        <v>11.022</v>
      </c>
      <c r="D37" s="510">
        <v>14.076000000000001</v>
      </c>
      <c r="E37" s="510">
        <v>11.021000000000001</v>
      </c>
      <c r="F37" s="510">
        <v>11.252000000000001</v>
      </c>
      <c r="G37" s="510">
        <v>2.7309999999999999</v>
      </c>
      <c r="H37" s="480"/>
      <c r="I37" s="480"/>
      <c r="J37" s="480"/>
      <c r="K37" s="480"/>
      <c r="L37" s="480"/>
    </row>
    <row r="38" spans="1:12" outlineLevel="1" x14ac:dyDescent="0.2">
      <c r="A38" s="2" t="s">
        <v>18</v>
      </c>
      <c r="C38" s="510">
        <f>6.399+1.081+9.84+2.955+5.187+17.703+2.65</f>
        <v>45.814999999999998</v>
      </c>
      <c r="D38" s="511">
        <f>7.586+1.399+10.677+1.248+4.07+21.121+4.922</f>
        <v>51.022999999999996</v>
      </c>
      <c r="E38" s="510">
        <f>7.438+1.713+11.488+0.92+4.097+20.695+7.244</f>
        <v>53.594999999999999</v>
      </c>
      <c r="F38" s="510">
        <f>7.67+1.293+0.2+0.757+4.268+35.308+56.776</f>
        <v>106.27199999999999</v>
      </c>
      <c r="G38" s="510">
        <f>6.712+1.286+0.236+10.711+3.909+23.837+75+7.79</f>
        <v>129.48099999999999</v>
      </c>
      <c r="H38" s="480"/>
      <c r="I38" s="480"/>
      <c r="J38" s="480"/>
      <c r="K38" s="480"/>
      <c r="L38" s="480"/>
    </row>
    <row r="39" spans="1:12" x14ac:dyDescent="0.2">
      <c r="C39" s="473"/>
      <c r="D39" s="497"/>
      <c r="E39" s="497"/>
      <c r="F39" s="497"/>
      <c r="G39" s="497"/>
      <c r="H39" s="480"/>
      <c r="I39" s="480"/>
      <c r="J39" s="480"/>
      <c r="K39" s="480"/>
      <c r="L39" s="480"/>
    </row>
    <row r="40" spans="1:12" x14ac:dyDescent="0.2">
      <c r="A40" s="10" t="s">
        <v>27</v>
      </c>
      <c r="B40" s="28"/>
      <c r="C40" s="496">
        <f>SUM(C41:C46)</f>
        <v>166.36100000000002</v>
      </c>
      <c r="D40" s="496">
        <f>SUM(D41:D46)</f>
        <v>275.93299999999999</v>
      </c>
      <c r="E40" s="496">
        <f t="shared" ref="E40:G40" si="13">SUM(E41:E46)</f>
        <v>210.33499999999998</v>
      </c>
      <c r="F40" s="496">
        <f t="shared" si="13"/>
        <v>204.34400000000005</v>
      </c>
      <c r="G40" s="496">
        <f t="shared" si="13"/>
        <v>189.53700000000001</v>
      </c>
      <c r="H40" s="491">
        <f>H17*'Drivers Sheet'!H148</f>
        <v>530.29480189196363</v>
      </c>
      <c r="I40" s="491">
        <f>I17*'Drivers Sheet'!I148</f>
        <v>689.03749024871922</v>
      </c>
      <c r="J40" s="491">
        <f>J17*'Drivers Sheet'!J148</f>
        <v>902.93195315917774</v>
      </c>
      <c r="K40" s="491">
        <f>K17*'Drivers Sheet'!K148</f>
        <v>1177.7212344641107</v>
      </c>
      <c r="L40" s="491">
        <f>L17*'Drivers Sheet'!L148</f>
        <v>1521.7807159004556</v>
      </c>
    </row>
    <row r="41" spans="1:12" outlineLevel="1" x14ac:dyDescent="0.2">
      <c r="A41" s="9" t="s">
        <v>28</v>
      </c>
      <c r="C41" s="510">
        <v>3.1160000000000001</v>
      </c>
      <c r="D41" s="511">
        <v>5.6520000000000001</v>
      </c>
      <c r="E41" s="510">
        <v>2.6389999999999998</v>
      </c>
      <c r="F41" s="510">
        <v>2.2349999999999999</v>
      </c>
      <c r="G41" s="510">
        <v>1.8560000000000001</v>
      </c>
      <c r="H41" s="480"/>
      <c r="I41" s="480"/>
      <c r="J41" s="480"/>
      <c r="K41" s="480"/>
      <c r="L41" s="480"/>
    </row>
    <row r="42" spans="1:12" outlineLevel="1" x14ac:dyDescent="0.2">
      <c r="A42" s="9" t="s">
        <v>29</v>
      </c>
      <c r="C42" s="510">
        <v>7.5330000000000004</v>
      </c>
      <c r="D42" s="510">
        <v>12.375999999999999</v>
      </c>
      <c r="E42" s="510">
        <v>11.007</v>
      </c>
      <c r="F42" s="510">
        <v>8.9760000000000009</v>
      </c>
      <c r="G42" s="510">
        <v>5.1050000000000004</v>
      </c>
      <c r="H42" s="480"/>
      <c r="I42" s="480"/>
      <c r="J42" s="480"/>
      <c r="K42" s="480"/>
      <c r="L42" s="480"/>
    </row>
    <row r="43" spans="1:12" outlineLevel="1" x14ac:dyDescent="0.2">
      <c r="A43" s="9" t="s">
        <v>13</v>
      </c>
      <c r="C43" s="510">
        <v>131.09</v>
      </c>
      <c r="D43" s="510">
        <v>159.09200000000001</v>
      </c>
      <c r="E43" s="510">
        <v>173.32</v>
      </c>
      <c r="F43" s="510">
        <v>167.11500000000001</v>
      </c>
      <c r="G43" s="510">
        <v>158.52000000000001</v>
      </c>
      <c r="H43" s="480"/>
      <c r="I43" s="480"/>
      <c r="J43" s="480"/>
      <c r="K43" s="480"/>
      <c r="L43" s="480"/>
    </row>
    <row r="44" spans="1:12" outlineLevel="1" x14ac:dyDescent="0.2">
      <c r="A44" s="29" t="s">
        <v>24</v>
      </c>
      <c r="C44" s="510">
        <v>4.6859999999999999</v>
      </c>
      <c r="D44" s="510">
        <v>4.6619999999999999</v>
      </c>
      <c r="E44" s="510">
        <v>5.7439999999999998</v>
      </c>
      <c r="F44" s="510">
        <v>5.8769999999999998</v>
      </c>
      <c r="G44" s="510">
        <f>5.512+4.108</f>
        <v>9.6199999999999992</v>
      </c>
      <c r="H44" s="480"/>
      <c r="I44" s="480"/>
      <c r="J44" s="480"/>
      <c r="K44" s="480"/>
      <c r="L44" s="480"/>
    </row>
    <row r="45" spans="1:12" outlineLevel="1" x14ac:dyDescent="0.2">
      <c r="A45" s="29" t="s">
        <v>451</v>
      </c>
      <c r="C45" s="510">
        <v>2.726</v>
      </c>
      <c r="D45" s="511">
        <v>2.98</v>
      </c>
      <c r="E45" s="510">
        <v>3.274</v>
      </c>
      <c r="F45" s="510">
        <v>3.6150000000000002</v>
      </c>
      <c r="G45" s="510">
        <v>3.1339999999999999</v>
      </c>
      <c r="H45" s="480"/>
      <c r="I45" s="480"/>
      <c r="J45" s="480"/>
      <c r="K45" s="480"/>
      <c r="L45" s="480"/>
    </row>
    <row r="46" spans="1:12" outlineLevel="1" x14ac:dyDescent="0.2">
      <c r="A46" s="29" t="s">
        <v>18</v>
      </c>
      <c r="C46" s="510">
        <f>2.619+4.854+2.425+0.874+6.109+0.329</f>
        <v>17.21</v>
      </c>
      <c r="D46" s="510">
        <f>78.226+6.068+0.819+1.258+4.422+0.378</f>
        <v>91.170999999999992</v>
      </c>
      <c r="E46" s="510">
        <f>6.717+0.616+0.602+5.883+0.533</f>
        <v>14.350999999999999</v>
      </c>
      <c r="F46" s="510">
        <f>7.379+0.728+1.496+6.35+0.573</f>
        <v>16.526</v>
      </c>
      <c r="G46" s="510">
        <f>3.126+0.757+1.726+5.148+0.545</f>
        <v>11.302</v>
      </c>
      <c r="H46" s="480"/>
      <c r="I46" s="480"/>
      <c r="J46" s="480"/>
      <c r="K46" s="480"/>
      <c r="L46" s="480"/>
    </row>
    <row r="47" spans="1:12" x14ac:dyDescent="0.2">
      <c r="C47" s="473"/>
      <c r="D47" s="473"/>
      <c r="E47" s="473"/>
      <c r="F47" s="473"/>
      <c r="G47" s="473"/>
      <c r="H47" s="480"/>
      <c r="I47" s="480"/>
      <c r="J47" s="480"/>
      <c r="K47" s="480"/>
      <c r="L47" s="480"/>
    </row>
    <row r="48" spans="1:12" x14ac:dyDescent="0.2">
      <c r="A48" s="2" t="s">
        <v>30</v>
      </c>
      <c r="B48" s="28"/>
      <c r="C48" s="473">
        <f>Investments!B2</f>
        <v>811.78399999999999</v>
      </c>
      <c r="D48" s="473">
        <f>Investments!C2</f>
        <v>1386.404</v>
      </c>
      <c r="E48" s="473">
        <f>Investments!D2</f>
        <v>1327.1220000000001</v>
      </c>
      <c r="F48" s="473">
        <f>Investments!E2</f>
        <v>542.30799999999999</v>
      </c>
      <c r="G48" s="473">
        <f>Investments!F2</f>
        <v>180.14599999999999</v>
      </c>
      <c r="H48" s="498">
        <f>Investments!G2</f>
        <v>169.921875</v>
      </c>
      <c r="I48" s="498">
        <f>Investments!H2</f>
        <v>169.921875</v>
      </c>
      <c r="J48" s="498">
        <f>Investments!I2</f>
        <v>210.9375</v>
      </c>
      <c r="K48" s="498">
        <f>Investments!J2</f>
        <v>257.8125</v>
      </c>
      <c r="L48" s="498">
        <f>Investments!K2</f>
        <v>269.53125</v>
      </c>
    </row>
    <row r="49" spans="1:13" x14ac:dyDescent="0.2">
      <c r="A49" s="30" t="s">
        <v>31</v>
      </c>
      <c r="B49" s="31"/>
      <c r="C49" s="499"/>
      <c r="D49" s="499">
        <v>311.18400000000003</v>
      </c>
      <c r="E49" s="499">
        <v>326.68900000000002</v>
      </c>
      <c r="F49" s="499">
        <v>0.56699999999999995</v>
      </c>
      <c r="G49" s="499">
        <v>377.94600000000003</v>
      </c>
      <c r="H49" s="500">
        <f>H15*'Drivers Sheet'!H162</f>
        <v>591.2286244042034</v>
      </c>
      <c r="I49" s="500">
        <f>I15*'Drivers Sheet'!I162</f>
        <v>790.87157647698405</v>
      </c>
      <c r="J49" s="500">
        <f>J15*'Drivers Sheet'!J162</f>
        <v>1062.3413323523014</v>
      </c>
      <c r="K49" s="500">
        <f>K15*'Drivers Sheet'!K162</f>
        <v>1416.1228005387468</v>
      </c>
      <c r="L49" s="500">
        <f>L15*'Drivers Sheet'!L162</f>
        <v>1874.1242935276159</v>
      </c>
    </row>
    <row r="50" spans="1:13" x14ac:dyDescent="0.2">
      <c r="A50" s="18" t="s">
        <v>32</v>
      </c>
      <c r="B50" s="33"/>
      <c r="C50" s="493"/>
      <c r="D50" s="493">
        <f>D30-D33-D40+D48-D49</f>
        <v>5528.2720000000054</v>
      </c>
      <c r="E50" s="493">
        <f t="shared" ref="E50:G50" si="14">E30-E33-E40+E48-E49</f>
        <v>5697.4300000000012</v>
      </c>
      <c r="F50" s="493">
        <f>F30-F33-F40+F48-F49</f>
        <v>517.8500000000065</v>
      </c>
      <c r="G50" s="493">
        <f t="shared" si="14"/>
        <v>5152.3590000000058</v>
      </c>
      <c r="H50" s="493">
        <f>H30-H33-H40+H48-H49</f>
        <v>18653.693694677466</v>
      </c>
      <c r="I50" s="493">
        <f t="shared" ref="I50:L50" si="15">I30-I33-I40+I48-I49</f>
        <v>22732.932578395175</v>
      </c>
      <c r="J50" s="493">
        <f t="shared" si="15"/>
        <v>28107.89688325192</v>
      </c>
      <c r="K50" s="493">
        <f t="shared" si="15"/>
        <v>34693.234467573406</v>
      </c>
      <c r="L50" s="493">
        <f t="shared" si="15"/>
        <v>42690.173876482339</v>
      </c>
    </row>
    <row r="51" spans="1:13" x14ac:dyDescent="0.2">
      <c r="A51" s="34" t="s">
        <v>33</v>
      </c>
      <c r="C51" s="494"/>
      <c r="D51" s="495">
        <f>D50/D15</f>
        <v>0.26124965136134731</v>
      </c>
      <c r="E51" s="495">
        <f t="shared" ref="E51:G51" si="16">E50/E15</f>
        <v>0.2739401642901495</v>
      </c>
      <c r="F51" s="495">
        <f>F50/F15</f>
        <v>3.0052155592925022E-2</v>
      </c>
      <c r="G51" s="495">
        <f t="shared" si="16"/>
        <v>0.21228208560032999</v>
      </c>
      <c r="H51" s="494">
        <f>H50/H15</f>
        <v>0.63101456609869933</v>
      </c>
      <c r="I51" s="494">
        <f t="shared" ref="I51:L51" si="17">I50/I15</f>
        <v>0.63237133764820341</v>
      </c>
      <c r="J51" s="494">
        <f t="shared" si="17"/>
        <v>0.63500261606533615</v>
      </c>
      <c r="K51" s="494">
        <f t="shared" si="17"/>
        <v>0.63696742670462214</v>
      </c>
      <c r="L51" s="494">
        <f t="shared" si="17"/>
        <v>0.63780447896098513</v>
      </c>
      <c r="M51" s="27"/>
    </row>
    <row r="52" spans="1:13" s="36" customFormat="1" x14ac:dyDescent="0.2">
      <c r="A52" s="35" t="s">
        <v>34</v>
      </c>
      <c r="C52" s="501"/>
      <c r="D52" s="501"/>
      <c r="E52" s="501"/>
      <c r="F52" s="501"/>
      <c r="G52" s="501"/>
      <c r="H52" s="501"/>
      <c r="I52" s="501"/>
      <c r="J52" s="501"/>
      <c r="K52" s="501"/>
      <c r="L52" s="501"/>
    </row>
    <row r="53" spans="1:13" s="36" customFormat="1" x14ac:dyDescent="0.2">
      <c r="A53" s="35" t="s">
        <v>35</v>
      </c>
      <c r="C53" s="501"/>
      <c r="D53" s="501"/>
      <c r="E53" s="501"/>
      <c r="F53" s="501"/>
      <c r="G53" s="501"/>
      <c r="H53" s="501"/>
      <c r="I53" s="501"/>
      <c r="J53" s="501"/>
      <c r="K53" s="501"/>
      <c r="L53" s="501"/>
    </row>
    <row r="54" spans="1:13" x14ac:dyDescent="0.2">
      <c r="A54" s="34"/>
      <c r="C54" s="494"/>
      <c r="D54" s="494"/>
      <c r="E54" s="494"/>
      <c r="F54" s="494"/>
      <c r="G54" s="494"/>
      <c r="H54" s="494"/>
      <c r="I54" s="494"/>
      <c r="J54" s="494"/>
      <c r="K54" s="494"/>
      <c r="L54" s="494"/>
    </row>
    <row r="55" spans="1:13" x14ac:dyDescent="0.2">
      <c r="A55" s="2" t="s">
        <v>36</v>
      </c>
      <c r="C55" s="473"/>
      <c r="D55" s="497"/>
      <c r="E55" s="497"/>
      <c r="F55" s="497"/>
      <c r="G55" s="497"/>
      <c r="H55" s="480"/>
      <c r="I55" s="480"/>
      <c r="J55" s="480"/>
      <c r="K55" s="480"/>
      <c r="L55" s="480"/>
    </row>
    <row r="56" spans="1:13" x14ac:dyDescent="0.2">
      <c r="A56" s="37" t="s">
        <v>37</v>
      </c>
      <c r="B56" s="24"/>
      <c r="C56" s="499"/>
      <c r="D56" s="499">
        <v>147.81299999999999</v>
      </c>
      <c r="E56" s="499">
        <v>106.758</v>
      </c>
      <c r="F56" s="499">
        <v>233.8</v>
      </c>
      <c r="G56" s="499">
        <v>109.623</v>
      </c>
      <c r="H56" s="502">
        <f>'Drivers Sheet'!H167</f>
        <v>185.32249200000001</v>
      </c>
      <c r="I56" s="502">
        <f>'Drivers Sheet'!I167</f>
        <v>201.490362</v>
      </c>
      <c r="J56" s="502">
        <f>'Drivers Sheet'!J167</f>
        <v>177.75827622</v>
      </c>
      <c r="K56" s="502">
        <f>'Drivers Sheet'!K167</f>
        <v>164.83722428700003</v>
      </c>
      <c r="L56" s="502">
        <f>'Drivers Sheet'!L167</f>
        <v>152.56112127840001</v>
      </c>
    </row>
    <row r="57" spans="1:13" x14ac:dyDescent="0.2">
      <c r="A57" s="10" t="s">
        <v>38</v>
      </c>
      <c r="C57" s="475"/>
      <c r="D57" s="475">
        <f>D50-D56</f>
        <v>5380.4590000000053</v>
      </c>
      <c r="E57" s="475">
        <f t="shared" ref="E57:L57" si="18">E50-E56</f>
        <v>5590.6720000000014</v>
      </c>
      <c r="F57" s="475">
        <f t="shared" si="18"/>
        <v>284.05000000000649</v>
      </c>
      <c r="G57" s="475">
        <f t="shared" si="18"/>
        <v>5042.7360000000062</v>
      </c>
      <c r="H57" s="475">
        <f t="shared" si="18"/>
        <v>18468.371202677466</v>
      </c>
      <c r="I57" s="475">
        <f t="shared" si="18"/>
        <v>22531.442216395175</v>
      </c>
      <c r="J57" s="475">
        <f t="shared" si="18"/>
        <v>27930.13860703192</v>
      </c>
      <c r="K57" s="475">
        <f t="shared" si="18"/>
        <v>34528.397243286403</v>
      </c>
      <c r="L57" s="475">
        <f t="shared" si="18"/>
        <v>42537.61275520394</v>
      </c>
    </row>
    <row r="58" spans="1:13" x14ac:dyDescent="0.2">
      <c r="A58" s="34" t="s">
        <v>39</v>
      </c>
      <c r="C58" s="494"/>
      <c r="D58" s="495">
        <f>D57/D15</f>
        <v>0.2542644497076163</v>
      </c>
      <c r="E58" s="495">
        <f t="shared" ref="E58:L58" si="19">E57/E15</f>
        <v>0.26880709480806936</v>
      </c>
      <c r="F58" s="495">
        <v>0</v>
      </c>
      <c r="G58" s="495">
        <f t="shared" si="19"/>
        <v>0.20776551385721875</v>
      </c>
      <c r="H58" s="495">
        <f t="shared" si="19"/>
        <v>0.62474550251312777</v>
      </c>
      <c r="I58" s="495">
        <f t="shared" si="19"/>
        <v>0.62676639735720663</v>
      </c>
      <c r="J58" s="495">
        <f t="shared" si="19"/>
        <v>0.63098677059330366</v>
      </c>
      <c r="K58" s="495">
        <f t="shared" si="19"/>
        <v>0.63394101696824079</v>
      </c>
      <c r="L58" s="495">
        <f t="shared" si="19"/>
        <v>0.63552516834613015</v>
      </c>
    </row>
    <row r="59" spans="1:13" x14ac:dyDescent="0.2">
      <c r="A59" s="30" t="s">
        <v>40</v>
      </c>
      <c r="B59" s="24"/>
      <c r="C59" s="503"/>
      <c r="D59" s="503">
        <f>-668.685</f>
        <v>-668.68499999999995</v>
      </c>
      <c r="E59" s="503">
        <f>-1587.61</f>
        <v>-1587.61</v>
      </c>
      <c r="F59" s="503">
        <f>-113.886</f>
        <v>-113.886</v>
      </c>
      <c r="G59" s="503">
        <f>-1636.341</f>
        <v>-1636.3409999999999</v>
      </c>
      <c r="H59" s="498">
        <f>H57*H64</f>
        <v>-4617.0928006693666</v>
      </c>
      <c r="I59" s="498">
        <f t="shared" ref="I59:L59" si="20">I57*I64</f>
        <v>-5632.8605540987937</v>
      </c>
      <c r="J59" s="498">
        <f t="shared" si="20"/>
        <v>-6982.5346517579801</v>
      </c>
      <c r="K59" s="498">
        <f t="shared" si="20"/>
        <v>-8632.0993108216007</v>
      </c>
      <c r="L59" s="498">
        <f t="shared" si="20"/>
        <v>-10634.403188800985</v>
      </c>
    </row>
    <row r="60" spans="1:13" ht="12" thickBot="1" x14ac:dyDescent="0.25">
      <c r="A60" s="41" t="s">
        <v>41</v>
      </c>
      <c r="B60" s="42"/>
      <c r="C60" s="504"/>
      <c r="D60" s="504">
        <f>D57+D59</f>
        <v>4711.7740000000049</v>
      </c>
      <c r="E60" s="504">
        <f t="shared" ref="E60:L60" si="21">E57+E59</f>
        <v>4003.0620000000017</v>
      </c>
      <c r="F60" s="504">
        <f t="shared" si="21"/>
        <v>170.1640000000065</v>
      </c>
      <c r="G60" s="504">
        <f t="shared" si="21"/>
        <v>3406.3950000000063</v>
      </c>
      <c r="H60" s="504">
        <f t="shared" si="21"/>
        <v>13851.2784020081</v>
      </c>
      <c r="I60" s="504">
        <f t="shared" si="21"/>
        <v>16898.581662296383</v>
      </c>
      <c r="J60" s="504">
        <f t="shared" si="21"/>
        <v>20947.603955273938</v>
      </c>
      <c r="K60" s="504">
        <f t="shared" si="21"/>
        <v>25896.297932464804</v>
      </c>
      <c r="L60" s="504">
        <f t="shared" si="21"/>
        <v>31903.209566402955</v>
      </c>
    </row>
    <row r="61" spans="1:13" ht="15" customHeight="1" thickTop="1" x14ac:dyDescent="0.2">
      <c r="A61" s="34" t="s">
        <v>42</v>
      </c>
      <c r="C61" s="494"/>
      <c r="D61" s="494"/>
      <c r="E61" s="505"/>
      <c r="F61" s="505"/>
      <c r="G61" s="505"/>
      <c r="H61" s="505"/>
      <c r="I61" s="505"/>
      <c r="J61" s="505"/>
      <c r="K61" s="505"/>
      <c r="L61" s="505"/>
    </row>
    <row r="62" spans="1:13" ht="15" customHeight="1" x14ac:dyDescent="0.2">
      <c r="A62" s="43" t="s">
        <v>43</v>
      </c>
      <c r="C62" s="474">
        <f>C60/C65</f>
        <v>0</v>
      </c>
      <c r="D62" s="474">
        <f t="shared" ref="D62:L62" si="22">D60/D65</f>
        <v>3.4147867030220262</v>
      </c>
      <c r="E62" s="474">
        <f t="shared" si="22"/>
        <v>2.9011584360737057</v>
      </c>
      <c r="F62" s="474">
        <f t="shared" si="22"/>
        <v>0.12332377667796919</v>
      </c>
      <c r="G62" s="474">
        <f t="shared" si="22"/>
        <v>2.4687330825376437</v>
      </c>
      <c r="H62" s="613">
        <f t="shared" si="22"/>
        <v>10.038503821922145</v>
      </c>
      <c r="I62" s="613">
        <f t="shared" si="22"/>
        <v>12.246990615496728</v>
      </c>
      <c r="J62" s="613">
        <f t="shared" si="22"/>
        <v>15.181458076435961</v>
      </c>
      <c r="K62" s="613">
        <f t="shared" si="22"/>
        <v>18.767948937550379</v>
      </c>
      <c r="L62" s="613">
        <f t="shared" si="22"/>
        <v>23.121366986421208</v>
      </c>
    </row>
    <row r="63" spans="1:13" ht="15" customHeight="1" x14ac:dyDescent="0.2">
      <c r="A63" s="43"/>
      <c r="C63" s="474"/>
      <c r="D63" s="476"/>
      <c r="E63" s="476"/>
      <c r="F63" s="476"/>
      <c r="G63" s="476"/>
      <c r="H63" s="480"/>
      <c r="I63" s="480"/>
      <c r="J63" s="480"/>
      <c r="K63" s="480"/>
      <c r="L63" s="480"/>
    </row>
    <row r="64" spans="1:13" ht="15" customHeight="1" x14ac:dyDescent="0.2">
      <c r="A64" s="45" t="s">
        <v>44</v>
      </c>
      <c r="B64" s="46"/>
      <c r="C64" s="612" t="e">
        <f>-(C59/C57)</f>
        <v>#DIV/0!</v>
      </c>
      <c r="D64" s="612">
        <f t="shared" ref="D64:G64" si="23">-(D59/D57)</f>
        <v>0.12428028909801177</v>
      </c>
      <c r="E64" s="612">
        <f t="shared" si="23"/>
        <v>0.28397480660643293</v>
      </c>
      <c r="F64" s="612">
        <f t="shared" si="23"/>
        <v>0.40093645484948914</v>
      </c>
      <c r="G64" s="612">
        <f t="shared" si="23"/>
        <v>0.32449467907897578</v>
      </c>
      <c r="H64" s="614">
        <v>-0.25</v>
      </c>
      <c r="I64" s="614">
        <v>-0.25</v>
      </c>
      <c r="J64" s="614">
        <v>-0.25</v>
      </c>
      <c r="K64" s="614">
        <v>-0.25</v>
      </c>
      <c r="L64" s="614">
        <v>-0.25</v>
      </c>
    </row>
    <row r="65" spans="1:12" ht="15" customHeight="1" x14ac:dyDescent="0.2">
      <c r="A65" s="45" t="s">
        <v>45</v>
      </c>
      <c r="B65" s="46"/>
      <c r="C65" s="506">
        <v>1379.8150250000001</v>
      </c>
      <c r="D65" s="506">
        <v>1379.8150250000001</v>
      </c>
      <c r="E65" s="506">
        <v>1379.8150250000001</v>
      </c>
      <c r="F65" s="506">
        <v>1379.8150250000001</v>
      </c>
      <c r="G65" s="506">
        <v>1379.8150250000001</v>
      </c>
      <c r="H65" s="577">
        <v>1379.8150250000001</v>
      </c>
      <c r="I65" s="577">
        <v>1379.8150250000001</v>
      </c>
      <c r="J65" s="577">
        <v>1379.8150250000001</v>
      </c>
      <c r="K65" s="577">
        <v>1379.8150250000001</v>
      </c>
      <c r="L65" s="577">
        <v>1379.8150250000001</v>
      </c>
    </row>
    <row r="66" spans="1:12" ht="15" customHeight="1" x14ac:dyDescent="0.2">
      <c r="A66" s="45" t="s">
        <v>46</v>
      </c>
      <c r="B66" s="46"/>
      <c r="C66" s="507">
        <f>-1379.815</f>
        <v>-1379.8150000000001</v>
      </c>
      <c r="D66" s="507">
        <f>C66</f>
        <v>-1379.8150000000001</v>
      </c>
      <c r="E66" s="507">
        <f t="shared" ref="E66:G66" si="24">-E67*E65</f>
        <v>-1034.8612687500001</v>
      </c>
      <c r="F66" s="507">
        <f t="shared" si="24"/>
        <v>0</v>
      </c>
      <c r="G66" s="507">
        <f t="shared" si="24"/>
        <v>0</v>
      </c>
      <c r="H66" s="615">
        <f>H67*H65</f>
        <v>2077.6917603012153</v>
      </c>
      <c r="I66" s="615">
        <f t="shared" ref="I66:L66" si="25">I67*I65</f>
        <v>2534.7872493444575</v>
      </c>
      <c r="J66" s="615">
        <f t="shared" si="25"/>
        <v>3142.1405932910907</v>
      </c>
      <c r="K66" s="615">
        <f t="shared" si="25"/>
        <v>3884.4446898697206</v>
      </c>
      <c r="L66" s="615">
        <f t="shared" si="25"/>
        <v>4785.481434960443</v>
      </c>
    </row>
    <row r="67" spans="1:12" ht="15" customHeight="1" x14ac:dyDescent="0.2">
      <c r="A67" s="45" t="s">
        <v>47</v>
      </c>
      <c r="B67" s="47"/>
      <c r="C67" s="508">
        <v>0.9</v>
      </c>
      <c r="D67" s="508">
        <v>1</v>
      </c>
      <c r="E67" s="508">
        <v>0.75</v>
      </c>
      <c r="F67" s="508">
        <v>0</v>
      </c>
      <c r="G67" s="508">
        <v>0</v>
      </c>
      <c r="H67" s="616">
        <f>H62*H68</f>
        <v>1.5057755732883218</v>
      </c>
      <c r="I67" s="616">
        <f t="shared" ref="I67:L67" si="26">I62*I68</f>
        <v>1.837048592324509</v>
      </c>
      <c r="J67" s="616">
        <f t="shared" si="26"/>
        <v>2.2772187114653941</v>
      </c>
      <c r="K67" s="616">
        <f t="shared" si="26"/>
        <v>2.815192340632557</v>
      </c>
      <c r="L67" s="616">
        <f t="shared" si="26"/>
        <v>3.4682050479631812</v>
      </c>
    </row>
    <row r="68" spans="1:12" ht="15" customHeight="1" x14ac:dyDescent="0.2">
      <c r="A68" s="48" t="s">
        <v>48</v>
      </c>
      <c r="B68" s="49"/>
      <c r="C68" s="622" t="e">
        <f>-C66/C60</f>
        <v>#DIV/0!</v>
      </c>
      <c r="D68" s="617">
        <f>-D66/D60</f>
        <v>0.29284405406541114</v>
      </c>
      <c r="E68" s="617">
        <f t="shared" ref="E68:G68" si="27">-E66/E60</f>
        <v>0.25851742210088169</v>
      </c>
      <c r="F68" s="617">
        <f t="shared" si="27"/>
        <v>0</v>
      </c>
      <c r="G68" s="617">
        <f t="shared" si="27"/>
        <v>0</v>
      </c>
      <c r="H68" s="618">
        <v>0.15</v>
      </c>
      <c r="I68" s="618">
        <v>0.15</v>
      </c>
      <c r="J68" s="618">
        <v>0.15</v>
      </c>
      <c r="K68" s="618">
        <v>0.15</v>
      </c>
      <c r="L68" s="618">
        <v>0.15</v>
      </c>
    </row>
    <row r="69" spans="1:12" ht="15" customHeight="1" x14ac:dyDescent="0.2">
      <c r="C69" s="44"/>
      <c r="D69" s="44"/>
      <c r="E69" s="44"/>
    </row>
    <row r="70" spans="1:12" ht="15" customHeight="1" x14ac:dyDescent="0.2">
      <c r="C70" s="44"/>
      <c r="D70" s="44"/>
      <c r="E70" s="44"/>
    </row>
    <row r="71" spans="1:12" ht="15" customHeight="1" x14ac:dyDescent="0.2">
      <c r="C71" s="44"/>
      <c r="D71" s="44"/>
      <c r="E71" s="44"/>
    </row>
    <row r="72" spans="1:12" ht="15" customHeight="1" x14ac:dyDescent="0.2"/>
    <row r="73" spans="1:12" ht="15" customHeight="1" x14ac:dyDescent="0.2"/>
    <row r="74" spans="1:12" ht="12" customHeight="1" x14ac:dyDescent="0.2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N60"/>
  <sheetViews>
    <sheetView showGridLines="0" tabSelected="1" zoomScale="130" zoomScaleNormal="130" workbookViewId="0">
      <pane xSplit="2" ySplit="5" topLeftCell="F6" activePane="bottomRight" state="frozen"/>
      <selection pane="topRight" activeCell="E1" sqref="E1"/>
      <selection pane="bottomLeft" activeCell="A6" sqref="A6"/>
      <selection pane="bottomRight" sqref="A1:XFD1048576"/>
    </sheetView>
  </sheetViews>
  <sheetFormatPr defaultColWidth="9.140625" defaultRowHeight="11.25" x14ac:dyDescent="0.2"/>
  <cols>
    <col min="1" max="1" width="3.5703125" style="3" customWidth="1"/>
    <col min="2" max="2" width="26.85546875" style="3" bestFit="1" customWidth="1"/>
    <col min="3" max="7" width="12.140625" style="3" bestFit="1" customWidth="1"/>
    <col min="8" max="8" width="12.28515625" style="3" bestFit="1" customWidth="1"/>
    <col min="9" max="9" width="12.140625" style="3" bestFit="1" customWidth="1"/>
    <col min="10" max="12" width="12.7109375" style="3" bestFit="1" customWidth="1"/>
    <col min="13" max="16384" width="9.140625" style="3"/>
  </cols>
  <sheetData>
    <row r="1" spans="1:12" x14ac:dyDescent="0.2">
      <c r="A1" s="1" t="s">
        <v>447</v>
      </c>
      <c r="B1" s="2"/>
      <c r="C1" s="2"/>
      <c r="D1" s="2"/>
      <c r="E1" s="2"/>
      <c r="F1" s="2"/>
    </row>
    <row r="2" spans="1:12" x14ac:dyDescent="0.2">
      <c r="A2" s="4" t="s">
        <v>49</v>
      </c>
      <c r="B2" s="2"/>
      <c r="C2" s="2"/>
      <c r="D2" s="2"/>
      <c r="E2" s="5"/>
      <c r="F2" s="5"/>
    </row>
    <row r="3" spans="1:12" x14ac:dyDescent="0.2">
      <c r="A3" s="50" t="s">
        <v>78</v>
      </c>
      <c r="B3" s="2"/>
      <c r="C3" s="2"/>
      <c r="D3" s="2"/>
      <c r="E3" s="5"/>
      <c r="F3" s="5"/>
    </row>
    <row r="4" spans="1:12" ht="6" customHeight="1" x14ac:dyDescent="0.2">
      <c r="A4" s="2"/>
      <c r="B4" s="2"/>
      <c r="C4" s="2"/>
      <c r="D4" s="2"/>
      <c r="E4" s="2"/>
      <c r="F4" s="2"/>
    </row>
    <row r="5" spans="1:12" x14ac:dyDescent="0.2">
      <c r="A5" s="635" t="s">
        <v>50</v>
      </c>
      <c r="B5" s="636"/>
      <c r="C5" s="637">
        <v>2017</v>
      </c>
      <c r="D5" s="637">
        <v>2018</v>
      </c>
      <c r="E5" s="637">
        <v>2019</v>
      </c>
      <c r="F5" s="637">
        <v>2020</v>
      </c>
      <c r="G5" s="637">
        <v>2021</v>
      </c>
      <c r="H5" s="8" t="s">
        <v>176</v>
      </c>
      <c r="I5" s="8" t="s">
        <v>177</v>
      </c>
      <c r="J5" s="8" t="s">
        <v>334</v>
      </c>
      <c r="K5" s="8" t="s">
        <v>356</v>
      </c>
      <c r="L5" s="8" t="s">
        <v>369</v>
      </c>
    </row>
    <row r="6" spans="1:12" x14ac:dyDescent="0.2">
      <c r="B6" s="10" t="s">
        <v>51</v>
      </c>
    </row>
    <row r="7" spans="1:12" x14ac:dyDescent="0.2">
      <c r="B7" s="51" t="s">
        <v>52</v>
      </c>
      <c r="C7" s="15"/>
      <c r="D7" s="15"/>
      <c r="E7" s="15"/>
      <c r="F7" s="52"/>
    </row>
    <row r="8" spans="1:12" x14ac:dyDescent="0.2">
      <c r="B8" s="3" t="s">
        <v>15</v>
      </c>
      <c r="C8" s="524">
        <v>2194.451</v>
      </c>
      <c r="D8" s="525">
        <v>3067.6840000000002</v>
      </c>
      <c r="E8" s="525">
        <v>3055.0410000000002</v>
      </c>
      <c r="F8" s="525">
        <v>3505.8090000000002</v>
      </c>
      <c r="G8" s="526">
        <v>4250.7539999999999</v>
      </c>
      <c r="H8" s="514">
        <f>('Drivers Sheet'!H152/365)*IS!H19</f>
        <v>2146.4479903209831</v>
      </c>
      <c r="I8" s="514">
        <f>('Drivers Sheet'!I152/365)*IS!I19</f>
        <v>2412.5086139217938</v>
      </c>
      <c r="J8" s="514">
        <f>('Drivers Sheet'!J152/365)*IS!J19</f>
        <v>2914.0567579285134</v>
      </c>
      <c r="K8" s="514">
        <f>('Drivers Sheet'!K152/365)*IS!K19</f>
        <v>3303.1518529370028</v>
      </c>
      <c r="L8" s="514">
        <f>('Drivers Sheet'!L152/365)*IS!L19</f>
        <v>3728.8209067392727</v>
      </c>
    </row>
    <row r="9" spans="1:12" x14ac:dyDescent="0.2">
      <c r="B9" s="3" t="s">
        <v>53</v>
      </c>
      <c r="C9" s="524">
        <v>1071.97</v>
      </c>
      <c r="D9" s="525">
        <v>1244.8050000000001</v>
      </c>
      <c r="E9" s="525">
        <v>944.02200000000005</v>
      </c>
      <c r="F9" s="525">
        <v>1187.752</v>
      </c>
      <c r="G9" s="525">
        <v>1189.1980000000001</v>
      </c>
      <c r="H9" s="619">
        <f>'Drivers Sheet'!H153/365*IS!H19</f>
        <v>631.30823244734802</v>
      </c>
      <c r="I9" s="619">
        <f>'Drivers Sheet'!I153/365*IS!I19</f>
        <v>753.90894185056061</v>
      </c>
      <c r="J9" s="619">
        <f>'Drivers Sheet'!J153/365*IS!J19</f>
        <v>910.64273685266051</v>
      </c>
      <c r="K9" s="619">
        <f>'Drivers Sheet'!K153/365*IS!K19</f>
        <v>1101.0506176456677</v>
      </c>
      <c r="L9" s="619">
        <f>'Drivers Sheet'!L153/365*IS!L19</f>
        <v>1331.7217524068831</v>
      </c>
    </row>
    <row r="10" spans="1:12" x14ac:dyDescent="0.2">
      <c r="B10" s="3" t="s">
        <v>54</v>
      </c>
      <c r="C10" s="524">
        <v>1148.6179999999999</v>
      </c>
      <c r="D10" s="525">
        <v>1168.3430000000001</v>
      </c>
      <c r="E10" s="525">
        <v>947.04600000000005</v>
      </c>
      <c r="F10" s="525">
        <v>1050.6400000000001</v>
      </c>
      <c r="G10" s="525">
        <v>1449.6</v>
      </c>
      <c r="H10" s="619">
        <f>('Drivers Sheet'!H154/365)*IS!H15</f>
        <v>1619.8044504224752</v>
      </c>
      <c r="I10" s="619">
        <f>('Drivers Sheet'!I154/365)*IS!I15</f>
        <v>1969.7922203660871</v>
      </c>
      <c r="J10" s="619">
        <f>('Drivers Sheet'!J154/365)*IS!J15</f>
        <v>2425.4368318545689</v>
      </c>
      <c r="K10" s="619">
        <f>('Drivers Sheet'!K154/365)*IS!K15</f>
        <v>2984.4526881743873</v>
      </c>
      <c r="L10" s="619">
        <f>('Drivers Sheet'!L154/365)*IS!L15</f>
        <v>3667.5622182536513</v>
      </c>
    </row>
    <row r="11" spans="1:12" x14ac:dyDescent="0.2">
      <c r="B11" s="3" t="s">
        <v>453</v>
      </c>
      <c r="C11" s="524">
        <v>83.001000000000005</v>
      </c>
      <c r="D11" s="525">
        <v>37.927</v>
      </c>
      <c r="E11" s="525">
        <v>36.176000000000002</v>
      </c>
      <c r="F11" s="525">
        <v>73.694999999999993</v>
      </c>
      <c r="G11" s="525">
        <v>45.593000000000004</v>
      </c>
      <c r="H11" s="620">
        <v>45.593000000000004</v>
      </c>
      <c r="I11" s="620">
        <v>45.593000000000004</v>
      </c>
      <c r="J11" s="620">
        <v>45.593000000000004</v>
      </c>
      <c r="K11" s="620">
        <v>45.593000000000004</v>
      </c>
      <c r="L11" s="620">
        <v>45.593000000000004</v>
      </c>
    </row>
    <row r="12" spans="1:12" x14ac:dyDescent="0.2">
      <c r="B12" s="3" t="s">
        <v>56</v>
      </c>
      <c r="C12" s="524">
        <v>53.374000000000002</v>
      </c>
      <c r="D12" s="525">
        <v>66.668999999999997</v>
      </c>
      <c r="E12" s="525">
        <v>0</v>
      </c>
      <c r="F12" s="525">
        <v>19.843</v>
      </c>
      <c r="G12" s="525">
        <v>26.146999999999998</v>
      </c>
      <c r="H12" s="620">
        <v>26.146999999999998</v>
      </c>
      <c r="I12" s="620">
        <v>26.146999999999998</v>
      </c>
      <c r="J12" s="620">
        <v>26.146999999999998</v>
      </c>
      <c r="K12" s="620">
        <v>26.146999999999998</v>
      </c>
      <c r="L12" s="620">
        <v>26.146999999999998</v>
      </c>
    </row>
    <row r="13" spans="1:12" x14ac:dyDescent="0.2">
      <c r="B13" s="3" t="s">
        <v>452</v>
      </c>
      <c r="C13" s="524">
        <f>2.663+589.761</f>
        <v>592.42399999999998</v>
      </c>
      <c r="D13" s="525">
        <f>1.031+115.55+104.664</f>
        <v>221.245</v>
      </c>
      <c r="E13" s="525">
        <f>20.463+0.398+261.998+7.66</f>
        <v>290.51900000000001</v>
      </c>
      <c r="F13" s="525">
        <f>562.239+22.169</f>
        <v>584.40800000000002</v>
      </c>
      <c r="G13" s="525">
        <f>88.89+4397.699+90.073</f>
        <v>4576.6620000000003</v>
      </c>
      <c r="H13" s="620">
        <f t="shared" ref="H13:L13" si="0">88.89+4397.699+90.073</f>
        <v>4576.6620000000003</v>
      </c>
      <c r="I13" s="620">
        <f t="shared" si="0"/>
        <v>4576.6620000000003</v>
      </c>
      <c r="J13" s="620">
        <f t="shared" si="0"/>
        <v>4576.6620000000003</v>
      </c>
      <c r="K13" s="620">
        <f t="shared" si="0"/>
        <v>4576.6620000000003</v>
      </c>
      <c r="L13" s="620">
        <f t="shared" si="0"/>
        <v>4576.6620000000003</v>
      </c>
    </row>
    <row r="14" spans="1:12" x14ac:dyDescent="0.2">
      <c r="B14" s="3" t="s">
        <v>57</v>
      </c>
      <c r="C14" s="527">
        <v>517.83699999999999</v>
      </c>
      <c r="D14" s="527">
        <v>531.75900000000001</v>
      </c>
      <c r="E14" s="527">
        <v>402.84699999999998</v>
      </c>
      <c r="F14" s="527">
        <v>561.17399999999998</v>
      </c>
      <c r="G14" s="527">
        <v>900.77800000000002</v>
      </c>
      <c r="H14" s="621">
        <f>CF!B28</f>
        <v>18566.564219544798</v>
      </c>
      <c r="I14" s="621">
        <f>CF!C28</f>
        <v>38113.120225107501</v>
      </c>
      <c r="J14" s="621">
        <f>CF!D28</f>
        <v>62023.149022097889</v>
      </c>
      <c r="K14" s="621">
        <f>CF!E28</f>
        <v>91818.143927791069</v>
      </c>
      <c r="L14" s="621">
        <f>CF!F28</f>
        <v>127480.71095029863</v>
      </c>
    </row>
    <row r="15" spans="1:12" x14ac:dyDescent="0.2">
      <c r="B15" s="53" t="s">
        <v>58</v>
      </c>
      <c r="C15" s="518">
        <f t="shared" ref="C15:L15" si="1">SUM(C8:C14)</f>
        <v>5661.6750000000011</v>
      </c>
      <c r="D15" s="518">
        <f t="shared" si="1"/>
        <v>6338.4319999999998</v>
      </c>
      <c r="E15" s="518">
        <f t="shared" si="1"/>
        <v>5675.6510000000007</v>
      </c>
      <c r="F15" s="518">
        <f t="shared" si="1"/>
        <v>6983.3209999999999</v>
      </c>
      <c r="G15" s="518">
        <f t="shared" si="1"/>
        <v>12438.732</v>
      </c>
      <c r="H15" s="518">
        <f t="shared" si="1"/>
        <v>27612.526892735605</v>
      </c>
      <c r="I15" s="518">
        <f t="shared" si="1"/>
        <v>47897.732001245939</v>
      </c>
      <c r="J15" s="518">
        <f t="shared" si="1"/>
        <v>72921.687348733627</v>
      </c>
      <c r="K15" s="518">
        <f t="shared" si="1"/>
        <v>103855.20108654813</v>
      </c>
      <c r="L15" s="518">
        <f t="shared" si="1"/>
        <v>140857.21782769845</v>
      </c>
    </row>
    <row r="16" spans="1:12" ht="6" customHeight="1" x14ac:dyDescent="0.2">
      <c r="C16" s="515"/>
      <c r="D16" s="515"/>
      <c r="E16" s="515"/>
      <c r="F16" s="515"/>
      <c r="G16" s="515"/>
      <c r="H16" s="513"/>
      <c r="I16" s="513"/>
      <c r="J16" s="513"/>
      <c r="K16" s="513"/>
      <c r="L16" s="513"/>
    </row>
    <row r="17" spans="2:12" x14ac:dyDescent="0.2">
      <c r="B17" s="51" t="s">
        <v>59</v>
      </c>
      <c r="C17" s="518"/>
      <c r="D17" s="518"/>
      <c r="E17" s="518"/>
      <c r="F17" s="518"/>
      <c r="G17" s="518"/>
      <c r="H17" s="513"/>
      <c r="I17" s="513"/>
      <c r="J17" s="513"/>
      <c r="K17" s="513"/>
      <c r="L17" s="513"/>
    </row>
    <row r="18" spans="2:12" x14ac:dyDescent="0.2">
      <c r="B18" s="12" t="s">
        <v>60</v>
      </c>
      <c r="C18" s="525">
        <v>22003.942999999999</v>
      </c>
      <c r="D18" s="525">
        <v>22624.413</v>
      </c>
      <c r="E18" s="525">
        <v>23202.93</v>
      </c>
      <c r="F18" s="525">
        <v>22065.171999999999</v>
      </c>
      <c r="G18" s="525">
        <v>21422.215</v>
      </c>
      <c r="H18" s="620">
        <f>'Fixed Assets'!H21</f>
        <v>20877.058794999997</v>
      </c>
      <c r="I18" s="620">
        <f>'Fixed Assets'!I21</f>
        <v>20147.713391294994</v>
      </c>
      <c r="J18" s="620">
        <f>'Fixed Assets'!J21</f>
        <v>19206.566178004749</v>
      </c>
      <c r="K18" s="620">
        <f>'Fixed Assets'!K21</f>
        <v>18022.262733947253</v>
      </c>
      <c r="L18" s="620">
        <f>'Fixed Assets'!L21</f>
        <v>16572.431334520319</v>
      </c>
    </row>
    <row r="19" spans="2:12" x14ac:dyDescent="0.2">
      <c r="B19" s="12" t="s">
        <v>454</v>
      </c>
      <c r="C19" s="525">
        <v>0</v>
      </c>
      <c r="D19" s="525">
        <v>0</v>
      </c>
      <c r="E19" s="525">
        <v>0</v>
      </c>
      <c r="F19" s="525">
        <v>60.322000000000003</v>
      </c>
      <c r="G19" s="525">
        <v>89.334000000000003</v>
      </c>
      <c r="H19" s="620">
        <f>G19*1.2</f>
        <v>107.2008</v>
      </c>
      <c r="I19" s="620">
        <f t="shared" ref="I19:L19" si="2">H19*1.2</f>
        <v>128.64096000000001</v>
      </c>
      <c r="J19" s="620">
        <f t="shared" si="2"/>
        <v>154.36915200000001</v>
      </c>
      <c r="K19" s="620">
        <f t="shared" si="2"/>
        <v>185.24298240000002</v>
      </c>
      <c r="L19" s="620">
        <f t="shared" si="2"/>
        <v>222.29157888</v>
      </c>
    </row>
    <row r="20" spans="2:12" x14ac:dyDescent="0.2">
      <c r="B20" s="12" t="s">
        <v>55</v>
      </c>
      <c r="C20" s="525">
        <v>86.600999999999999</v>
      </c>
      <c r="D20" s="525">
        <v>86.600999999999999</v>
      </c>
      <c r="E20" s="525">
        <v>86.600999999999999</v>
      </c>
      <c r="F20" s="525">
        <v>0</v>
      </c>
      <c r="G20" s="525">
        <v>15.349</v>
      </c>
      <c r="H20" s="620">
        <v>15.349</v>
      </c>
      <c r="I20" s="620">
        <v>15.349</v>
      </c>
      <c r="J20" s="620">
        <v>15.349</v>
      </c>
      <c r="K20" s="620">
        <v>15.349</v>
      </c>
      <c r="L20" s="620">
        <v>15.349</v>
      </c>
    </row>
    <row r="21" spans="2:12" x14ac:dyDescent="0.2">
      <c r="B21" s="12" t="s">
        <v>61</v>
      </c>
      <c r="C21" s="525">
        <v>0</v>
      </c>
      <c r="D21" s="525">
        <v>0</v>
      </c>
      <c r="E21" s="525">
        <v>0</v>
      </c>
      <c r="F21" s="525">
        <v>12.5</v>
      </c>
      <c r="G21" s="525">
        <v>0</v>
      </c>
      <c r="H21" s="620">
        <v>0</v>
      </c>
      <c r="I21" s="620">
        <v>0</v>
      </c>
      <c r="J21" s="620">
        <v>0</v>
      </c>
      <c r="K21" s="620">
        <v>0</v>
      </c>
      <c r="L21" s="620">
        <v>0</v>
      </c>
    </row>
    <row r="22" spans="2:12" x14ac:dyDescent="0.2">
      <c r="B22" s="12" t="s">
        <v>18</v>
      </c>
      <c r="C22" s="528">
        <v>0</v>
      </c>
      <c r="D22" s="528">
        <v>0</v>
      </c>
      <c r="E22" s="528">
        <v>0</v>
      </c>
      <c r="F22" s="527">
        <v>86.600999999999999</v>
      </c>
      <c r="G22" s="527">
        <v>86.600999999999999</v>
      </c>
      <c r="H22" s="621">
        <v>86.600999999999999</v>
      </c>
      <c r="I22" s="621">
        <v>86.600999999999999</v>
      </c>
      <c r="J22" s="621">
        <v>86.600999999999999</v>
      </c>
      <c r="K22" s="621">
        <v>86.600999999999999</v>
      </c>
      <c r="L22" s="621">
        <v>86.600999999999999</v>
      </c>
    </row>
    <row r="23" spans="2:12" x14ac:dyDescent="0.2">
      <c r="B23" s="54" t="s">
        <v>62</v>
      </c>
      <c r="C23" s="520">
        <f>SUM(C18:C22)</f>
        <v>22090.543999999998</v>
      </c>
      <c r="D23" s="520">
        <f t="shared" ref="D23:L23" si="3">SUM(D18:D22)</f>
        <v>22711.013999999999</v>
      </c>
      <c r="E23" s="520">
        <f t="shared" si="3"/>
        <v>23289.530999999999</v>
      </c>
      <c r="F23" s="520">
        <f t="shared" si="3"/>
        <v>22224.594999999998</v>
      </c>
      <c r="G23" s="520">
        <f t="shared" si="3"/>
        <v>21613.498999999996</v>
      </c>
      <c r="H23" s="520">
        <f t="shared" si="3"/>
        <v>21086.209594999993</v>
      </c>
      <c r="I23" s="520">
        <f t="shared" si="3"/>
        <v>20378.304351294992</v>
      </c>
      <c r="J23" s="520">
        <f t="shared" si="3"/>
        <v>19462.885330004745</v>
      </c>
      <c r="K23" s="520">
        <f t="shared" si="3"/>
        <v>18309.455716347249</v>
      </c>
      <c r="L23" s="520">
        <f t="shared" si="3"/>
        <v>16896.672913400314</v>
      </c>
    </row>
    <row r="24" spans="2:12" ht="6" customHeight="1" x14ac:dyDescent="0.2">
      <c r="C24" s="521"/>
      <c r="D24" s="521"/>
      <c r="E24" s="521"/>
      <c r="F24" s="521"/>
      <c r="G24" s="521"/>
      <c r="H24" s="521"/>
      <c r="I24" s="521"/>
      <c r="J24" s="521"/>
      <c r="K24" s="521"/>
      <c r="L24" s="521"/>
    </row>
    <row r="25" spans="2:12" ht="12" thickBot="1" x14ac:dyDescent="0.25">
      <c r="B25" s="55" t="s">
        <v>63</v>
      </c>
      <c r="C25" s="522">
        <f>C23+C15</f>
        <v>27752.218999999997</v>
      </c>
      <c r="D25" s="522">
        <f t="shared" ref="D25:L25" si="4">D23+D15</f>
        <v>29049.446</v>
      </c>
      <c r="E25" s="522">
        <f t="shared" si="4"/>
        <v>28965.182000000001</v>
      </c>
      <c r="F25" s="522">
        <f t="shared" si="4"/>
        <v>29207.915999999997</v>
      </c>
      <c r="G25" s="522">
        <f t="shared" si="4"/>
        <v>34052.231</v>
      </c>
      <c r="H25" s="522">
        <f t="shared" si="4"/>
        <v>48698.736487735601</v>
      </c>
      <c r="I25" s="522">
        <f t="shared" si="4"/>
        <v>68276.036352540934</v>
      </c>
      <c r="J25" s="522">
        <f t="shared" si="4"/>
        <v>92384.572678738376</v>
      </c>
      <c r="K25" s="522">
        <f t="shared" si="4"/>
        <v>122164.65680289538</v>
      </c>
      <c r="L25" s="522">
        <f t="shared" si="4"/>
        <v>157753.89074109876</v>
      </c>
    </row>
    <row r="26" spans="2:12" ht="6" customHeight="1" thickTop="1" x14ac:dyDescent="0.2">
      <c r="C26" s="521"/>
      <c r="D26" s="521"/>
      <c r="E26" s="521"/>
      <c r="F26" s="521"/>
      <c r="G26" s="521"/>
      <c r="H26" s="513"/>
      <c r="I26" s="513"/>
      <c r="J26" s="513"/>
      <c r="K26" s="513"/>
      <c r="L26" s="513"/>
    </row>
    <row r="27" spans="2:12" x14ac:dyDescent="0.2">
      <c r="B27" s="28" t="s">
        <v>64</v>
      </c>
      <c r="C27" s="521"/>
      <c r="D27" s="521"/>
      <c r="E27" s="521"/>
      <c r="F27" s="521"/>
      <c r="G27" s="521"/>
      <c r="H27" s="513"/>
      <c r="I27" s="513"/>
      <c r="J27" s="513"/>
      <c r="K27" s="513"/>
      <c r="L27" s="513"/>
    </row>
    <row r="28" spans="2:12" x14ac:dyDescent="0.2">
      <c r="B28" s="51" t="s">
        <v>65</v>
      </c>
      <c r="C28" s="521"/>
      <c r="D28" s="521"/>
      <c r="E28" s="521"/>
      <c r="F28" s="521"/>
      <c r="G28" s="521"/>
      <c r="H28" s="513"/>
      <c r="I28" s="513"/>
      <c r="J28" s="513"/>
      <c r="K28" s="513"/>
      <c r="L28" s="513"/>
    </row>
    <row r="29" spans="2:12" x14ac:dyDescent="0.2">
      <c r="B29" s="12" t="s">
        <v>66</v>
      </c>
      <c r="C29" s="512">
        <v>595.67200000000003</v>
      </c>
      <c r="D29" s="512">
        <v>1024.758</v>
      </c>
      <c r="E29" s="512">
        <v>948.86400000000003</v>
      </c>
      <c r="F29" s="512">
        <v>1163.2460000000001</v>
      </c>
      <c r="G29" s="512">
        <v>1822.6420000000001</v>
      </c>
      <c r="H29" s="519">
        <f>'Drivers Sheet'!H155/365*IS!H19</f>
        <v>883.83152542628716</v>
      </c>
      <c r="I29" s="519">
        <f>'Drivers Sheet'!I155/365*IS!I19</f>
        <v>1055.4725185907848</v>
      </c>
      <c r="J29" s="519">
        <f>'Drivers Sheet'!J155/365*IS!J19</f>
        <v>1092.7712842231927</v>
      </c>
      <c r="K29" s="519">
        <f>'Drivers Sheet'!K155/365*IS!K19</f>
        <v>1101.0506176456677</v>
      </c>
      <c r="L29" s="519">
        <f>'Drivers Sheet'!L155*365/IS!L19</f>
        <v>0.37545380564395414</v>
      </c>
    </row>
    <row r="30" spans="2:12" x14ac:dyDescent="0.2">
      <c r="B30" s="12" t="s">
        <v>455</v>
      </c>
      <c r="C30" s="512">
        <v>539.08500000000004</v>
      </c>
      <c r="D30" s="512">
        <v>573.34699999999998</v>
      </c>
      <c r="E30" s="512">
        <v>834.81600000000003</v>
      </c>
      <c r="F30" s="512">
        <v>1122.2170000000001</v>
      </c>
      <c r="G30" s="512">
        <v>1554.895</v>
      </c>
      <c r="H30" s="512">
        <v>1554.895</v>
      </c>
      <c r="I30" s="512">
        <v>1554.895</v>
      </c>
      <c r="J30" s="512">
        <v>1554.895</v>
      </c>
      <c r="K30" s="512">
        <v>1554.895</v>
      </c>
      <c r="L30" s="512">
        <v>1554.895</v>
      </c>
    </row>
    <row r="31" spans="2:12" x14ac:dyDescent="0.2">
      <c r="B31" s="12" t="s">
        <v>456</v>
      </c>
      <c r="C31" s="512">
        <v>137.904</v>
      </c>
      <c r="D31" s="512">
        <v>176.339</v>
      </c>
      <c r="E31" s="512">
        <v>219.70400000000001</v>
      </c>
      <c r="F31" s="512">
        <v>253.94</v>
      </c>
      <c r="G31" s="512">
        <v>260.65199999999999</v>
      </c>
      <c r="H31" s="512">
        <v>260.65199999999999</v>
      </c>
      <c r="I31" s="512">
        <v>260.65199999999999</v>
      </c>
      <c r="J31" s="512">
        <v>260.65199999999999</v>
      </c>
      <c r="K31" s="512">
        <v>260.65199999999999</v>
      </c>
      <c r="L31" s="512">
        <v>260.65199999999999</v>
      </c>
    </row>
    <row r="32" spans="2:12" x14ac:dyDescent="0.2">
      <c r="B32" s="12" t="s">
        <v>457</v>
      </c>
      <c r="C32" s="512">
        <v>234.64400000000001</v>
      </c>
      <c r="D32" s="512">
        <v>245.13300000000001</v>
      </c>
      <c r="E32" s="512">
        <v>324.3</v>
      </c>
      <c r="F32" s="512">
        <v>367.952</v>
      </c>
      <c r="G32" s="512">
        <v>435.09699999999998</v>
      </c>
      <c r="H32" s="512">
        <v>435.09699999999998</v>
      </c>
      <c r="I32" s="512">
        <v>435.09699999999998</v>
      </c>
      <c r="J32" s="512">
        <v>435.09699999999998</v>
      </c>
      <c r="K32" s="512">
        <v>435.09699999999998</v>
      </c>
      <c r="L32" s="512">
        <v>435.09699999999998</v>
      </c>
    </row>
    <row r="33" spans="2:14" x14ac:dyDescent="0.2">
      <c r="B33" s="12" t="s">
        <v>458</v>
      </c>
      <c r="C33" s="512">
        <v>15.244</v>
      </c>
      <c r="D33" s="512">
        <v>17.106999999999999</v>
      </c>
      <c r="E33" s="512">
        <v>20.399000000000001</v>
      </c>
      <c r="F33" s="512">
        <v>24.707999999999998</v>
      </c>
      <c r="G33" s="512">
        <v>20.861999999999998</v>
      </c>
      <c r="H33" s="512">
        <v>20.861999999999998</v>
      </c>
      <c r="I33" s="512">
        <v>20.861999999999998</v>
      </c>
      <c r="J33" s="512">
        <v>20.861999999999998</v>
      </c>
      <c r="K33" s="512">
        <v>20.861999999999998</v>
      </c>
      <c r="L33" s="512">
        <v>20.861999999999998</v>
      </c>
    </row>
    <row r="34" spans="2:14" x14ac:dyDescent="0.2">
      <c r="B34" s="12" t="s">
        <v>459</v>
      </c>
      <c r="C34" s="512">
        <v>8.625</v>
      </c>
      <c r="D34" s="512">
        <v>9.5340000000000007</v>
      </c>
      <c r="E34" s="512">
        <v>11.832000000000001</v>
      </c>
      <c r="F34" s="512">
        <v>13.528</v>
      </c>
      <c r="G34" s="512">
        <v>10.714</v>
      </c>
      <c r="H34" s="512">
        <v>10.714</v>
      </c>
      <c r="I34" s="512">
        <v>10.714</v>
      </c>
      <c r="J34" s="512">
        <v>10.714</v>
      </c>
      <c r="K34" s="512">
        <v>10.714</v>
      </c>
      <c r="L34" s="512">
        <v>10.714</v>
      </c>
    </row>
    <row r="35" spans="2:14" x14ac:dyDescent="0.2">
      <c r="B35" s="12" t="s">
        <v>358</v>
      </c>
      <c r="C35" s="512">
        <v>312.44099999999997</v>
      </c>
      <c r="D35" s="512">
        <v>1638.886</v>
      </c>
      <c r="E35" s="512">
        <v>990.11199999999997</v>
      </c>
      <c r="F35" s="512">
        <v>1869.1669999999999</v>
      </c>
      <c r="G35" s="512">
        <v>1616.787</v>
      </c>
      <c r="H35" s="512">
        <v>1616.787</v>
      </c>
      <c r="I35" s="512">
        <v>1616.787</v>
      </c>
      <c r="J35" s="512">
        <v>1616.787</v>
      </c>
      <c r="K35" s="512">
        <v>1616.787</v>
      </c>
      <c r="L35" s="512">
        <v>1616.787</v>
      </c>
    </row>
    <row r="36" spans="2:14" x14ac:dyDescent="0.2">
      <c r="B36" s="12" t="s">
        <v>67</v>
      </c>
      <c r="C36" s="512">
        <v>426.17700000000002</v>
      </c>
      <c r="D36" s="512">
        <v>426.17700000000002</v>
      </c>
      <c r="E36" s="512">
        <v>319.03399999999999</v>
      </c>
      <c r="F36" s="512">
        <v>303.91199999999998</v>
      </c>
      <c r="G36" s="512">
        <v>361.52100000000002</v>
      </c>
      <c r="H36" s="519">
        <f>G43-H43</f>
        <v>49.150199999999984</v>
      </c>
      <c r="I36" s="519">
        <f t="shared" ref="I36:L36" si="5">H43-I43</f>
        <v>44.235180000000014</v>
      </c>
      <c r="J36" s="519">
        <f t="shared" si="5"/>
        <v>39.811662000000013</v>
      </c>
      <c r="K36" s="519">
        <f t="shared" si="5"/>
        <v>35.830495799999994</v>
      </c>
      <c r="L36" s="519">
        <f t="shared" si="5"/>
        <v>32.247446219999972</v>
      </c>
    </row>
    <row r="37" spans="2:14" x14ac:dyDescent="0.2">
      <c r="B37" s="12" t="s">
        <v>460</v>
      </c>
      <c r="C37" s="512">
        <v>43.991</v>
      </c>
      <c r="D37" s="512">
        <v>35.979999999999997</v>
      </c>
      <c r="E37" s="512">
        <v>39.021000000000001</v>
      </c>
      <c r="F37" s="512">
        <v>23.736999999999998</v>
      </c>
      <c r="G37" s="512">
        <v>24.686</v>
      </c>
      <c r="H37" s="512">
        <f>G37*0.85</f>
        <v>20.9831</v>
      </c>
      <c r="I37" s="512">
        <f t="shared" ref="I37:L37" si="6">H37*0.85</f>
        <v>17.835635</v>
      </c>
      <c r="J37" s="512">
        <f t="shared" si="6"/>
        <v>15.160289749999999</v>
      </c>
      <c r="K37" s="512">
        <f t="shared" si="6"/>
        <v>12.886246287499999</v>
      </c>
      <c r="L37" s="512">
        <f t="shared" si="6"/>
        <v>10.953309344374999</v>
      </c>
      <c r="N37" s="3" t="s">
        <v>491</v>
      </c>
    </row>
    <row r="38" spans="2:14" x14ac:dyDescent="0.2">
      <c r="B38" s="12" t="s">
        <v>466</v>
      </c>
      <c r="C38" s="512">
        <v>327.67200000000003</v>
      </c>
      <c r="D38" s="512">
        <v>0</v>
      </c>
      <c r="E38" s="512">
        <v>0</v>
      </c>
      <c r="F38" s="512">
        <v>0</v>
      </c>
      <c r="G38" s="512">
        <v>0</v>
      </c>
      <c r="H38" s="512">
        <v>0</v>
      </c>
      <c r="I38" s="512">
        <v>0</v>
      </c>
      <c r="J38" s="512">
        <v>0</v>
      </c>
      <c r="K38" s="512">
        <v>0</v>
      </c>
      <c r="L38" s="512">
        <v>0</v>
      </c>
    </row>
    <row r="39" spans="2:14" x14ac:dyDescent="0.2">
      <c r="B39" s="12" t="s">
        <v>357</v>
      </c>
      <c r="C39" s="516">
        <v>27.084</v>
      </c>
      <c r="D39" s="516">
        <v>111.56100000000001</v>
      </c>
      <c r="E39" s="516">
        <v>43.747</v>
      </c>
      <c r="F39" s="516">
        <v>40.051000000000002</v>
      </c>
      <c r="G39" s="516">
        <v>38.478999999999999</v>
      </c>
      <c r="H39" s="516">
        <v>38.478999999999999</v>
      </c>
      <c r="I39" s="516">
        <v>38.478999999999999</v>
      </c>
      <c r="J39" s="516">
        <v>38.478999999999999</v>
      </c>
      <c r="K39" s="516">
        <v>38.478999999999999</v>
      </c>
      <c r="L39" s="516">
        <v>38.478999999999999</v>
      </c>
    </row>
    <row r="40" spans="2:14" x14ac:dyDescent="0.2">
      <c r="B40" s="54" t="s">
        <v>68</v>
      </c>
      <c r="C40" s="520">
        <f t="shared" ref="C40:L40" si="7">SUM(C29:C39)</f>
        <v>2668.5389999999998</v>
      </c>
      <c r="D40" s="520">
        <f t="shared" si="7"/>
        <v>4258.8219999999992</v>
      </c>
      <c r="E40" s="520">
        <f t="shared" si="7"/>
        <v>3751.8290000000002</v>
      </c>
      <c r="F40" s="520">
        <f t="shared" si="7"/>
        <v>5182.4580000000005</v>
      </c>
      <c r="G40" s="520">
        <f t="shared" si="7"/>
        <v>6146.335</v>
      </c>
      <c r="H40" s="520">
        <f t="shared" si="7"/>
        <v>4891.4508254262882</v>
      </c>
      <c r="I40" s="520">
        <f t="shared" si="7"/>
        <v>5055.0293335907854</v>
      </c>
      <c r="J40" s="520">
        <f t="shared" si="7"/>
        <v>5085.2292359731928</v>
      </c>
      <c r="K40" s="520">
        <f t="shared" si="7"/>
        <v>5087.2533597331685</v>
      </c>
      <c r="L40" s="520">
        <f t="shared" si="7"/>
        <v>3981.062209370019</v>
      </c>
    </row>
    <row r="41" spans="2:14" x14ac:dyDescent="0.2">
      <c r="B41" s="12"/>
      <c r="C41" s="521"/>
      <c r="D41" s="521"/>
      <c r="E41" s="521"/>
      <c r="F41" s="521"/>
      <c r="G41" s="521"/>
      <c r="H41" s="513"/>
      <c r="I41" s="513"/>
      <c r="J41" s="513"/>
      <c r="K41" s="513"/>
      <c r="L41" s="513"/>
    </row>
    <row r="42" spans="2:14" x14ac:dyDescent="0.2">
      <c r="B42" s="51" t="s">
        <v>69</v>
      </c>
      <c r="C42" s="521"/>
      <c r="D42" s="521"/>
      <c r="E42" s="521"/>
      <c r="F42" s="521"/>
      <c r="G42" s="521"/>
      <c r="H42" s="513"/>
      <c r="I42" s="513"/>
      <c r="J42" s="513"/>
      <c r="K42" s="513"/>
      <c r="L42" s="513"/>
    </row>
    <row r="43" spans="2:14" x14ac:dyDescent="0.2">
      <c r="B43" s="12" t="s">
        <v>70</v>
      </c>
      <c r="C43" s="512">
        <v>1063.0450000000001</v>
      </c>
      <c r="D43" s="512">
        <v>636.86800000000005</v>
      </c>
      <c r="E43" s="512">
        <v>317.83499999999998</v>
      </c>
      <c r="F43" s="512">
        <v>447.327</v>
      </c>
      <c r="G43" s="512">
        <v>491.50200000000001</v>
      </c>
      <c r="H43" s="519">
        <f>G43*0.9</f>
        <v>442.35180000000003</v>
      </c>
      <c r="I43" s="519">
        <f t="shared" ref="I43:L43" si="8">H43*0.9</f>
        <v>398.11662000000001</v>
      </c>
      <c r="J43" s="519">
        <f t="shared" si="8"/>
        <v>358.304958</v>
      </c>
      <c r="K43" s="519">
        <f t="shared" si="8"/>
        <v>322.4744622</v>
      </c>
      <c r="L43" s="519">
        <f t="shared" si="8"/>
        <v>290.22701598000003</v>
      </c>
    </row>
    <row r="44" spans="2:14" x14ac:dyDescent="0.2">
      <c r="B44" s="12" t="s">
        <v>461</v>
      </c>
      <c r="C44" s="512">
        <v>58.014000000000003</v>
      </c>
      <c r="D44" s="512">
        <v>64.177999999999997</v>
      </c>
      <c r="E44" s="512">
        <v>71.215999999999994</v>
      </c>
      <c r="F44" s="512">
        <v>72.546999999999997</v>
      </c>
      <c r="G44" s="512">
        <v>82.38</v>
      </c>
      <c r="H44" s="512">
        <v>82.38</v>
      </c>
      <c r="I44" s="512">
        <v>82.38</v>
      </c>
      <c r="J44" s="512">
        <v>82.38</v>
      </c>
      <c r="K44" s="512">
        <v>82.38</v>
      </c>
      <c r="L44" s="512">
        <v>82.38</v>
      </c>
    </row>
    <row r="45" spans="2:14" x14ac:dyDescent="0.2">
      <c r="B45" s="3" t="s">
        <v>462</v>
      </c>
      <c r="C45" s="512">
        <v>0</v>
      </c>
      <c r="D45" s="512">
        <v>0</v>
      </c>
      <c r="E45" s="512">
        <v>0</v>
      </c>
      <c r="F45" s="512">
        <v>57.655999999999999</v>
      </c>
      <c r="G45" s="512">
        <v>73.593000000000004</v>
      </c>
      <c r="H45" s="512">
        <v>73.593000000000004</v>
      </c>
      <c r="I45" s="512">
        <v>73.593000000000004</v>
      </c>
      <c r="J45" s="512">
        <v>73.593000000000004</v>
      </c>
      <c r="K45" s="512">
        <v>73.593000000000004</v>
      </c>
      <c r="L45" s="512">
        <v>73.593000000000004</v>
      </c>
    </row>
    <row r="46" spans="2:14" x14ac:dyDescent="0.2">
      <c r="B46" s="12" t="s">
        <v>359</v>
      </c>
      <c r="C46" s="512">
        <v>0</v>
      </c>
      <c r="D46" s="512">
        <v>0</v>
      </c>
      <c r="E46" s="512">
        <v>0</v>
      </c>
      <c r="F46" s="512">
        <v>0</v>
      </c>
      <c r="G46" s="512">
        <v>22.260999999999999</v>
      </c>
      <c r="H46" s="512">
        <v>22.260999999999999</v>
      </c>
      <c r="I46" s="512">
        <v>22.260999999999999</v>
      </c>
      <c r="J46" s="512">
        <v>22.260999999999999</v>
      </c>
      <c r="K46" s="512">
        <v>22.260999999999999</v>
      </c>
      <c r="L46" s="512">
        <v>22.260999999999999</v>
      </c>
    </row>
    <row r="47" spans="2:14" x14ac:dyDescent="0.2">
      <c r="B47" s="12" t="s">
        <v>71</v>
      </c>
      <c r="C47" s="516">
        <v>4281.4960000000001</v>
      </c>
      <c r="D47" s="516">
        <v>3600.6379999999999</v>
      </c>
      <c r="E47" s="516">
        <v>3925.74</v>
      </c>
      <c r="F47" s="516">
        <v>3643.6080000000002</v>
      </c>
      <c r="G47" s="516">
        <v>3960.489</v>
      </c>
      <c r="H47" s="516">
        <v>3960.489</v>
      </c>
      <c r="I47" s="516">
        <v>3960.489</v>
      </c>
      <c r="J47" s="516">
        <v>3960.489</v>
      </c>
      <c r="K47" s="516">
        <v>3960.489</v>
      </c>
      <c r="L47" s="516">
        <v>3960.489</v>
      </c>
    </row>
    <row r="48" spans="2:14" x14ac:dyDescent="0.2">
      <c r="B48" s="54" t="s">
        <v>72</v>
      </c>
      <c r="C48" s="518">
        <f>SUM(C43:C47)</f>
        <v>5402.5550000000003</v>
      </c>
      <c r="D48" s="518">
        <f t="shared" ref="D48:L48" si="9">SUM(D43:D47)</f>
        <v>4301.6840000000002</v>
      </c>
      <c r="E48" s="518">
        <f t="shared" si="9"/>
        <v>4314.7910000000002</v>
      </c>
      <c r="F48" s="518">
        <f t="shared" si="9"/>
        <v>4221.1379999999999</v>
      </c>
      <c r="G48" s="518">
        <f t="shared" si="9"/>
        <v>4630.2250000000004</v>
      </c>
      <c r="H48" s="518">
        <f t="shared" si="9"/>
        <v>4581.0748000000003</v>
      </c>
      <c r="I48" s="518">
        <f t="shared" si="9"/>
        <v>4536.8396199999997</v>
      </c>
      <c r="J48" s="518">
        <f t="shared" si="9"/>
        <v>4497.0279579999997</v>
      </c>
      <c r="K48" s="518">
        <f t="shared" si="9"/>
        <v>4461.1974621999998</v>
      </c>
      <c r="L48" s="518">
        <f t="shared" si="9"/>
        <v>4428.95001598</v>
      </c>
    </row>
    <row r="49" spans="2:12" x14ac:dyDescent="0.2">
      <c r="C49" s="515"/>
      <c r="D49" s="515"/>
      <c r="E49" s="515"/>
      <c r="F49" s="515"/>
      <c r="G49" s="515"/>
      <c r="H49" s="513"/>
      <c r="I49" s="513"/>
      <c r="J49" s="513"/>
      <c r="K49" s="513"/>
      <c r="L49" s="513"/>
    </row>
    <row r="50" spans="2:12" x14ac:dyDescent="0.2">
      <c r="B50" s="28" t="s">
        <v>73</v>
      </c>
      <c r="C50" s="515"/>
      <c r="D50" s="515"/>
      <c r="E50" s="515"/>
      <c r="F50" s="515"/>
      <c r="G50" s="515"/>
      <c r="H50" s="513"/>
      <c r="I50" s="513"/>
      <c r="J50" s="513"/>
      <c r="K50" s="513"/>
      <c r="L50" s="513"/>
    </row>
    <row r="51" spans="2:12" x14ac:dyDescent="0.2">
      <c r="B51" s="3" t="s">
        <v>463</v>
      </c>
      <c r="C51" s="524">
        <v>12433.764999999999</v>
      </c>
      <c r="D51" s="524">
        <v>12433.764999999999</v>
      </c>
      <c r="E51" s="524">
        <v>12433.764999999999</v>
      </c>
      <c r="F51" s="524">
        <v>13798.15</v>
      </c>
      <c r="G51" s="524">
        <v>13798.15</v>
      </c>
      <c r="H51" s="524">
        <v>13798.15</v>
      </c>
      <c r="I51" s="524">
        <v>13798.15</v>
      </c>
      <c r="J51" s="524">
        <v>13798.15</v>
      </c>
      <c r="K51" s="524">
        <v>13798.15</v>
      </c>
      <c r="L51" s="524">
        <v>13798.15</v>
      </c>
    </row>
    <row r="52" spans="2:12" x14ac:dyDescent="0.2">
      <c r="B52" s="3" t="s">
        <v>464</v>
      </c>
      <c r="C52" s="525">
        <v>0</v>
      </c>
      <c r="D52" s="525">
        <v>0</v>
      </c>
      <c r="E52" s="525">
        <v>0</v>
      </c>
      <c r="F52" s="525">
        <v>-1364.385</v>
      </c>
      <c r="G52" s="525">
        <v>-1364.385</v>
      </c>
      <c r="H52" s="525">
        <v>-1364.385</v>
      </c>
      <c r="I52" s="525">
        <v>-1364.385</v>
      </c>
      <c r="J52" s="525">
        <v>-1364.385</v>
      </c>
      <c r="K52" s="525">
        <v>-1364.385</v>
      </c>
      <c r="L52" s="525">
        <v>-1364.385</v>
      </c>
    </row>
    <row r="53" spans="2:12" x14ac:dyDescent="0.2">
      <c r="B53" s="3" t="s">
        <v>492</v>
      </c>
      <c r="C53" s="525"/>
      <c r="D53" s="525"/>
      <c r="E53" s="525"/>
      <c r="F53" s="525"/>
      <c r="G53" s="525"/>
      <c r="H53" s="525">
        <f>G53+IS!H60-IS!H66</f>
        <v>11773.586641706885</v>
      </c>
      <c r="I53" s="525">
        <f>H53+IS!I60-IS!I66</f>
        <v>26137.381054658807</v>
      </c>
      <c r="J53" s="525">
        <f>I53+IS!J60-IS!J66</f>
        <v>43942.844416641652</v>
      </c>
      <c r="K53" s="525">
        <f>J53+IS!K60-IS!K66</f>
        <v>65954.697659236743</v>
      </c>
      <c r="L53" s="525"/>
    </row>
    <row r="54" spans="2:12" x14ac:dyDescent="0.2">
      <c r="B54" s="3" t="s">
        <v>465</v>
      </c>
      <c r="C54" s="527">
        <v>7247.36</v>
      </c>
      <c r="D54" s="527">
        <v>8055.1750000000002</v>
      </c>
      <c r="E54" s="527">
        <v>8464.7970000000005</v>
      </c>
      <c r="F54" s="527">
        <v>7370.5550000000003</v>
      </c>
      <c r="G54" s="527">
        <v>10841.906000000001</v>
      </c>
      <c r="H54" s="527">
        <v>10841.906000000001</v>
      </c>
      <c r="I54" s="527">
        <v>10841.906000000001</v>
      </c>
      <c r="J54" s="527">
        <v>10841.906000000001</v>
      </c>
      <c r="K54" s="527">
        <v>10841.906000000001</v>
      </c>
      <c r="L54" s="527">
        <v>10841.906000000001</v>
      </c>
    </row>
    <row r="55" spans="2:12" x14ac:dyDescent="0.2">
      <c r="B55" s="28" t="s">
        <v>74</v>
      </c>
      <c r="C55" s="518">
        <f t="shared" ref="C55:L55" si="10">SUM(C51:C54)</f>
        <v>19681.125</v>
      </c>
      <c r="D55" s="518">
        <f t="shared" si="10"/>
        <v>20488.939999999999</v>
      </c>
      <c r="E55" s="518">
        <f t="shared" si="10"/>
        <v>20898.561999999998</v>
      </c>
      <c r="F55" s="518">
        <f t="shared" si="10"/>
        <v>19804.32</v>
      </c>
      <c r="G55" s="518">
        <f t="shared" si="10"/>
        <v>23275.671000000002</v>
      </c>
      <c r="H55" s="518">
        <f t="shared" si="10"/>
        <v>35049.257641706885</v>
      </c>
      <c r="I55" s="518">
        <f t="shared" si="10"/>
        <v>49413.052054658809</v>
      </c>
      <c r="J55" s="518">
        <f t="shared" si="10"/>
        <v>67218.515416641647</v>
      </c>
      <c r="K55" s="518">
        <f t="shared" si="10"/>
        <v>89230.368659236745</v>
      </c>
      <c r="L55" s="518">
        <f t="shared" si="10"/>
        <v>23275.671000000002</v>
      </c>
    </row>
    <row r="56" spans="2:12" ht="6" customHeight="1" x14ac:dyDescent="0.2">
      <c r="B56" s="24"/>
      <c r="C56" s="517"/>
      <c r="D56" s="517"/>
      <c r="E56" s="517"/>
      <c r="F56" s="517"/>
      <c r="G56" s="517"/>
      <c r="H56" s="517"/>
      <c r="I56" s="517"/>
      <c r="J56" s="517"/>
      <c r="K56" s="517"/>
      <c r="L56" s="517"/>
    </row>
    <row r="57" spans="2:12" ht="12" thickBot="1" x14ac:dyDescent="0.25">
      <c r="B57" s="55" t="s">
        <v>75</v>
      </c>
      <c r="C57" s="522">
        <f t="shared" ref="C57:L57" si="11">C55+C48+C40</f>
        <v>27752.219000000001</v>
      </c>
      <c r="D57" s="522">
        <f t="shared" si="11"/>
        <v>29049.446</v>
      </c>
      <c r="E57" s="522">
        <f t="shared" si="11"/>
        <v>28965.182000000001</v>
      </c>
      <c r="F57" s="522">
        <f t="shared" si="11"/>
        <v>29207.915999999997</v>
      </c>
      <c r="G57" s="522">
        <f t="shared" si="11"/>
        <v>34052.231</v>
      </c>
      <c r="H57" s="522">
        <f t="shared" si="11"/>
        <v>44521.783267133178</v>
      </c>
      <c r="I57" s="522">
        <f t="shared" si="11"/>
        <v>59004.921008249592</v>
      </c>
      <c r="J57" s="522">
        <f t="shared" si="11"/>
        <v>76800.772610614848</v>
      </c>
      <c r="K57" s="522">
        <f t="shared" si="11"/>
        <v>98778.819481169907</v>
      </c>
      <c r="L57" s="522">
        <f t="shared" si="11"/>
        <v>31685.683225350022</v>
      </c>
    </row>
    <row r="58" spans="2:12" ht="12" thickTop="1" x14ac:dyDescent="0.2">
      <c r="B58" s="57" t="s">
        <v>76</v>
      </c>
      <c r="C58" s="523">
        <f t="shared" ref="C58:L58" si="12">C57-C25</f>
        <v>0</v>
      </c>
      <c r="D58" s="523">
        <f t="shared" si="12"/>
        <v>0</v>
      </c>
      <c r="E58" s="523">
        <f t="shared" si="12"/>
        <v>0</v>
      </c>
      <c r="F58" s="523">
        <f t="shared" si="12"/>
        <v>0</v>
      </c>
      <c r="G58" s="523">
        <f t="shared" si="12"/>
        <v>0</v>
      </c>
      <c r="H58" s="523">
        <f t="shared" si="12"/>
        <v>-4176.9532206024232</v>
      </c>
      <c r="I58" s="523">
        <f t="shared" si="12"/>
        <v>-9271.1153442913419</v>
      </c>
      <c r="J58" s="523">
        <f t="shared" si="12"/>
        <v>-15583.800068123528</v>
      </c>
      <c r="K58" s="523">
        <f t="shared" si="12"/>
        <v>-23385.83732172547</v>
      </c>
      <c r="L58" s="523">
        <f t="shared" si="12"/>
        <v>-126068.20751574874</v>
      </c>
    </row>
    <row r="59" spans="2:12" x14ac:dyDescent="0.2">
      <c r="B59" s="3" t="s">
        <v>77</v>
      </c>
      <c r="C59" s="515"/>
      <c r="D59" s="515"/>
      <c r="E59" s="515"/>
      <c r="F59" s="515"/>
      <c r="G59" s="515"/>
      <c r="H59" s="513"/>
      <c r="I59" s="513"/>
      <c r="J59" s="513"/>
      <c r="K59" s="513"/>
      <c r="L59" s="513"/>
    </row>
    <row r="60" spans="2:12" x14ac:dyDescent="0.2">
      <c r="C60" s="15"/>
      <c r="D60" s="15"/>
      <c r="E60" s="1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F101"/>
  <sheetViews>
    <sheetView showGridLines="0" zoomScale="150" zoomScaleNormal="150" workbookViewId="0">
      <pane xSplit="1" ySplit="5" topLeftCell="B81" activePane="bottomRight" state="frozen"/>
      <selection pane="topRight" activeCell="E1" sqref="E1"/>
      <selection pane="bottomLeft" activeCell="A6" sqref="A6"/>
      <selection pane="bottomRight" activeCell="A5" sqref="A5"/>
    </sheetView>
  </sheetViews>
  <sheetFormatPr defaultColWidth="9.140625" defaultRowHeight="11.25" outlineLevelRow="1" x14ac:dyDescent="0.2"/>
  <cols>
    <col min="1" max="1" width="19.7109375" style="3" bestFit="1" customWidth="1"/>
    <col min="2" max="3" width="6.5703125" style="3" bestFit="1" customWidth="1"/>
    <col min="4" max="5" width="5.5703125" style="3" bestFit="1" customWidth="1"/>
    <col min="6" max="6" width="7" style="3" bestFit="1" customWidth="1"/>
    <col min="7" max="16384" width="9.140625" style="3"/>
  </cols>
  <sheetData>
    <row r="1" spans="1:6" x14ac:dyDescent="0.2">
      <c r="A1" s="1" t="s">
        <v>301</v>
      </c>
      <c r="B1" s="2"/>
      <c r="C1" s="2"/>
      <c r="D1" s="2"/>
    </row>
    <row r="2" spans="1:6" x14ac:dyDescent="0.2">
      <c r="A2" s="4" t="s">
        <v>302</v>
      </c>
      <c r="B2" s="2"/>
      <c r="C2" s="627" t="s">
        <v>80</v>
      </c>
      <c r="D2" s="628"/>
    </row>
    <row r="3" spans="1:6" x14ac:dyDescent="0.2">
      <c r="A3" s="50" t="s">
        <v>1</v>
      </c>
      <c r="B3" s="2"/>
      <c r="C3" s="629"/>
      <c r="D3" s="630"/>
    </row>
    <row r="4" spans="1:6" x14ac:dyDescent="0.2">
      <c r="A4" s="2"/>
      <c r="B4" s="2"/>
      <c r="C4" s="2"/>
      <c r="D4" s="2"/>
    </row>
    <row r="5" spans="1:6" x14ac:dyDescent="0.2">
      <c r="A5" s="635" t="s">
        <v>50</v>
      </c>
      <c r="B5" s="59" t="s">
        <v>176</v>
      </c>
      <c r="C5" s="59" t="s">
        <v>177</v>
      </c>
      <c r="D5" s="225" t="s">
        <v>334</v>
      </c>
      <c r="E5" s="225" t="s">
        <v>356</v>
      </c>
      <c r="F5" s="225" t="s">
        <v>369</v>
      </c>
    </row>
    <row r="7" spans="1:6" x14ac:dyDescent="0.2">
      <c r="A7" s="28" t="s">
        <v>38</v>
      </c>
      <c r="B7" s="22">
        <f>IS!H57</f>
        <v>18468.371202677466</v>
      </c>
      <c r="C7" s="22">
        <f>IS!I57</f>
        <v>22531.442216395175</v>
      </c>
      <c r="D7" s="22">
        <f>IS!J57</f>
        <v>27930.13860703192</v>
      </c>
      <c r="E7" s="22">
        <f>IS!K57</f>
        <v>34528.397243286403</v>
      </c>
      <c r="F7" s="22">
        <f>IS!L57</f>
        <v>42537.61275520394</v>
      </c>
    </row>
    <row r="8" spans="1:6" x14ac:dyDescent="0.2">
      <c r="A8" s="3" t="s">
        <v>283</v>
      </c>
      <c r="B8" s="23">
        <f>'Fixed Assets'!H23</f>
        <v>2045.0111999999997</v>
      </c>
      <c r="C8" s="23">
        <f>'Fixed Assets'!I23</f>
        <v>2281.2099935999995</v>
      </c>
      <c r="D8" s="23">
        <f>'Fixed Assets'!J23</f>
        <v>2545.8303528575998</v>
      </c>
      <c r="E8" s="23">
        <f>'Fixed Assets'!K23</f>
        <v>2842.4195889655111</v>
      </c>
      <c r="F8" s="23">
        <f>'Fixed Assets'!L23</f>
        <v>3174.9826808744751</v>
      </c>
    </row>
    <row r="9" spans="1:6" x14ac:dyDescent="0.2">
      <c r="A9" s="28" t="s">
        <v>303</v>
      </c>
      <c r="B9" s="22">
        <f>SUM(B10:B13)</f>
        <v>1553.1808522354809</v>
      </c>
      <c r="C9" s="22">
        <f t="shared" ref="C9:F9" si="0">SUM(C10:C13)</f>
        <v>-567.00810978313757</v>
      </c>
      <c r="D9" s="22">
        <f t="shared" si="0"/>
        <v>-1076.6277848648936</v>
      </c>
      <c r="E9" s="22">
        <f t="shared" si="0"/>
        <v>-1130.2394986988397</v>
      </c>
      <c r="F9" s="22">
        <f t="shared" si="0"/>
        <v>-2440.124882482773</v>
      </c>
    </row>
    <row r="10" spans="1:6" outlineLevel="1" x14ac:dyDescent="0.2">
      <c r="A10" s="58" t="s">
        <v>304</v>
      </c>
      <c r="B10" s="23">
        <f>BS!G9-BS!H9</f>
        <v>557.88976755265207</v>
      </c>
      <c r="C10" s="23">
        <f>BS!H9-BS!I9</f>
        <v>-122.60070940321259</v>
      </c>
      <c r="D10" s="23">
        <f>BS!I9-BS!J9</f>
        <v>-156.7337950020999</v>
      </c>
      <c r="E10" s="23">
        <f>BS!J9-BS!K9</f>
        <v>-190.40788079300717</v>
      </c>
      <c r="F10" s="23">
        <f>BS!K9-BS!L9</f>
        <v>-230.6711347612154</v>
      </c>
    </row>
    <row r="11" spans="1:6" outlineLevel="1" x14ac:dyDescent="0.2">
      <c r="A11" s="58" t="s">
        <v>305</v>
      </c>
      <c r="B11" s="23">
        <f>(BS!G10-BS!H10)</f>
        <v>-170.20445042247525</v>
      </c>
      <c r="C11" s="23">
        <f>(BS!H10-BS!I10)</f>
        <v>-349.98776994361197</v>
      </c>
      <c r="D11" s="23">
        <f>(BS!I10-BS!J10)</f>
        <v>-455.64461148848181</v>
      </c>
      <c r="E11" s="23">
        <f>(BS!J10-BS!K10)</f>
        <v>-559.01585631981834</v>
      </c>
      <c r="F11" s="23">
        <f>(BS!K10-BS!L10)</f>
        <v>-683.109530079264</v>
      </c>
    </row>
    <row r="12" spans="1:6" outlineLevel="1" x14ac:dyDescent="0.2">
      <c r="A12" s="58" t="s">
        <v>306</v>
      </c>
      <c r="B12" s="23">
        <f>BS!H29-BS!G29</f>
        <v>-938.8104745737129</v>
      </c>
      <c r="C12" s="23">
        <f>BS!I29-BS!H29</f>
        <v>171.64099316449767</v>
      </c>
      <c r="D12" s="23">
        <f>BS!J29-BS!I29</f>
        <v>37.298765632407822</v>
      </c>
      <c r="E12" s="23">
        <f>BS!K29-BS!J29</f>
        <v>8.2793334224750197</v>
      </c>
      <c r="F12" s="23">
        <f>BS!L29-BS!K29</f>
        <v>-1100.6751638400237</v>
      </c>
    </row>
    <row r="13" spans="1:6" outlineLevel="1" x14ac:dyDescent="0.2">
      <c r="A13" s="58" t="s">
        <v>307</v>
      </c>
      <c r="B13" s="23">
        <f>BS!G8-BS!H8</f>
        <v>2104.3060096790168</v>
      </c>
      <c r="C13" s="23">
        <f>BS!H8-BS!I8</f>
        <v>-266.06062360081069</v>
      </c>
      <c r="D13" s="23">
        <f>BS!I8-BS!J8</f>
        <v>-501.54814400671967</v>
      </c>
      <c r="E13" s="23">
        <f>BS!J8-BS!K8</f>
        <v>-389.09509500848935</v>
      </c>
      <c r="F13" s="23">
        <f>BS!K8-BS!L8</f>
        <v>-425.6690538022699</v>
      </c>
    </row>
    <row r="14" spans="1:6" outlineLevel="1" x14ac:dyDescent="0.2">
      <c r="B14" s="20"/>
      <c r="C14" s="20"/>
      <c r="D14" s="20"/>
      <c r="E14" s="20"/>
    </row>
    <row r="15" spans="1:6" x14ac:dyDescent="0.2">
      <c r="A15" s="3" t="s">
        <v>308</v>
      </c>
      <c r="B15" s="32">
        <f>IS!H59</f>
        <v>-4617.0928006693666</v>
      </c>
      <c r="C15" s="32">
        <f>IS!I59</f>
        <v>-5632.8605540987937</v>
      </c>
      <c r="D15" s="32">
        <f>IS!J59</f>
        <v>-6982.5346517579801</v>
      </c>
      <c r="E15" s="32">
        <f>IS!K59</f>
        <v>-8632.0993108216007</v>
      </c>
      <c r="F15" s="32">
        <f>IS!L59</f>
        <v>-10634.403188800985</v>
      </c>
    </row>
    <row r="16" spans="1:6" x14ac:dyDescent="0.2">
      <c r="A16" s="28" t="s">
        <v>309</v>
      </c>
      <c r="B16" s="22">
        <f>B7+B8+B9+B15</f>
        <v>17449.470454243579</v>
      </c>
      <c r="C16" s="22">
        <f t="shared" ref="C16:F16" si="1">C7+C8+C9+C15</f>
        <v>18612.783546113242</v>
      </c>
      <c r="D16" s="22">
        <f t="shared" si="1"/>
        <v>22416.806523266649</v>
      </c>
      <c r="E16" s="22">
        <f t="shared" si="1"/>
        <v>27608.478022731477</v>
      </c>
      <c r="F16" s="22">
        <f t="shared" si="1"/>
        <v>32638.067364794661</v>
      </c>
    </row>
    <row r="17" spans="1:6" x14ac:dyDescent="0.2">
      <c r="B17" s="20"/>
      <c r="C17" s="20"/>
    </row>
    <row r="18" spans="1:6" x14ac:dyDescent="0.2">
      <c r="A18" s="226" t="s">
        <v>310</v>
      </c>
      <c r="B18" s="22">
        <f>SUM(B19)</f>
        <v>-1499.8549949999967</v>
      </c>
      <c r="C18" s="22">
        <f t="shared" ref="C18:F18" si="2">SUM(C19)</f>
        <v>-1551.8645898949962</v>
      </c>
      <c r="D18" s="22">
        <f t="shared" si="2"/>
        <v>-1604.6831395673544</v>
      </c>
      <c r="E18" s="22">
        <f t="shared" si="2"/>
        <v>-1658.1161449080155</v>
      </c>
      <c r="F18" s="22">
        <f t="shared" si="2"/>
        <v>-1725.1512814475414</v>
      </c>
    </row>
    <row r="19" spans="1:6" x14ac:dyDescent="0.2">
      <c r="A19" s="12" t="s">
        <v>311</v>
      </c>
      <c r="B19" s="23">
        <f>(BS!G18-BS!H18)-B8</f>
        <v>-1499.8549949999967</v>
      </c>
      <c r="C19" s="23">
        <f>(BS!H18-BS!I18)-C8</f>
        <v>-1551.8645898949962</v>
      </c>
      <c r="D19" s="23">
        <f>(BS!I18-BS!J18)-D8</f>
        <v>-1604.6831395673544</v>
      </c>
      <c r="E19" s="23">
        <f>(BS!J18-BS!K18)-E8</f>
        <v>-1658.1161449080155</v>
      </c>
      <c r="F19" s="23">
        <f>(BS!K18-BS!L18)-F8</f>
        <v>-1725.1512814475414</v>
      </c>
    </row>
    <row r="20" spans="1:6" x14ac:dyDescent="0.2">
      <c r="A20" s="12"/>
      <c r="B20" s="22"/>
      <c r="C20" s="22"/>
    </row>
    <row r="21" spans="1:6" x14ac:dyDescent="0.2">
      <c r="A21" s="226" t="s">
        <v>312</v>
      </c>
      <c r="B21" s="22">
        <f>SUM(B22:B24)</f>
        <v>1716.1707603012155</v>
      </c>
      <c r="C21" s="22">
        <f t="shared" ref="C21:F21" si="3">SUM(C22:C24)</f>
        <v>2485.637049344457</v>
      </c>
      <c r="D21" s="22">
        <f t="shared" si="3"/>
        <v>3097.905413291091</v>
      </c>
      <c r="E21" s="22">
        <f t="shared" si="3"/>
        <v>3844.6330278697205</v>
      </c>
      <c r="F21" s="22">
        <f t="shared" si="3"/>
        <v>4749.6509391604432</v>
      </c>
    </row>
    <row r="22" spans="1:6" x14ac:dyDescent="0.2">
      <c r="A22" s="12" t="s">
        <v>313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</row>
    <row r="23" spans="1:6" x14ac:dyDescent="0.2">
      <c r="A23" s="12" t="s">
        <v>314</v>
      </c>
      <c r="B23" s="227">
        <f>(BS!H35+BS!H36+BS!H43)-(BS!G35+BS!G36+BS!G43)</f>
        <v>-361.52099999999973</v>
      </c>
      <c r="C23" s="227">
        <f>(BS!I35+BS!I36+BS!I43)-(BS!H35+BS!H36+BS!H43)</f>
        <v>-49.150200000000495</v>
      </c>
      <c r="D23" s="227">
        <f>(BS!J35+BS!J36+BS!J43)-(BS!I35+BS!I36+BS!I43)</f>
        <v>-44.235179999999673</v>
      </c>
      <c r="E23" s="227">
        <f>(BS!K35+BS!K36+BS!K43)-(BS!J35+BS!J36+BS!J43)</f>
        <v>-39.811661999999842</v>
      </c>
      <c r="F23" s="227">
        <f>(BS!L35+BS!L36+BS!L43)-(BS!K35+BS!K36+BS!K43)</f>
        <v>-35.830495800000108</v>
      </c>
    </row>
    <row r="24" spans="1:6" x14ac:dyDescent="0.2">
      <c r="A24" s="12" t="s">
        <v>315</v>
      </c>
      <c r="B24" s="23">
        <f>IS!H66</f>
        <v>2077.6917603012153</v>
      </c>
      <c r="C24" s="23">
        <f>IS!I66</f>
        <v>2534.7872493444575</v>
      </c>
      <c r="D24" s="23">
        <f>IS!J66</f>
        <v>3142.1405932910907</v>
      </c>
      <c r="E24" s="23">
        <f>IS!K66</f>
        <v>3884.4446898697206</v>
      </c>
      <c r="F24" s="23">
        <f>IS!L66</f>
        <v>4785.481434960443</v>
      </c>
    </row>
    <row r="25" spans="1:6" x14ac:dyDescent="0.2">
      <c r="A25" s="12"/>
      <c r="B25" s="25"/>
      <c r="C25" s="25"/>
      <c r="D25" s="25"/>
      <c r="E25" s="25"/>
      <c r="F25" s="25"/>
    </row>
    <row r="26" spans="1:6" x14ac:dyDescent="0.2">
      <c r="A26" s="3" t="s">
        <v>316</v>
      </c>
      <c r="B26" s="22">
        <f>B16+B18+B21</f>
        <v>17665.7862195448</v>
      </c>
      <c r="C26" s="22">
        <f t="shared" ref="C26:F26" si="4">C16+C18+C21</f>
        <v>19546.556005562699</v>
      </c>
      <c r="D26" s="22">
        <f t="shared" si="4"/>
        <v>23910.028796990384</v>
      </c>
      <c r="E26" s="22">
        <f t="shared" si="4"/>
        <v>29794.99490569318</v>
      </c>
      <c r="F26" s="22">
        <f t="shared" si="4"/>
        <v>35662.567022507559</v>
      </c>
    </row>
    <row r="27" spans="1:6" x14ac:dyDescent="0.2">
      <c r="A27" s="3" t="s">
        <v>317</v>
      </c>
      <c r="B27" s="23">
        <f>BS!G14</f>
        <v>900.77800000000002</v>
      </c>
      <c r="C27" s="23">
        <f>BS!H14</f>
        <v>18566.564219544798</v>
      </c>
      <c r="D27" s="23">
        <f>BS!I14</f>
        <v>38113.120225107501</v>
      </c>
      <c r="E27" s="23">
        <f>BS!J14</f>
        <v>62023.149022097889</v>
      </c>
      <c r="F27" s="23">
        <f>BS!K14</f>
        <v>91818.143927791069</v>
      </c>
    </row>
    <row r="28" spans="1:6" ht="12" thickBot="1" x14ac:dyDescent="0.25">
      <c r="A28" s="55" t="s">
        <v>318</v>
      </c>
      <c r="B28" s="56">
        <f>B26+B27</f>
        <v>18566.564219544798</v>
      </c>
      <c r="C28" s="56">
        <f t="shared" ref="C28:F28" si="5">C26+C27</f>
        <v>38113.120225107501</v>
      </c>
      <c r="D28" s="56">
        <f t="shared" si="5"/>
        <v>62023.149022097889</v>
      </c>
      <c r="E28" s="56">
        <f t="shared" si="5"/>
        <v>91818.143927791069</v>
      </c>
      <c r="F28" s="56">
        <f t="shared" si="5"/>
        <v>127480.71095029863</v>
      </c>
    </row>
    <row r="29" spans="1:6" ht="12" thickTop="1" x14ac:dyDescent="0.2">
      <c r="A29" s="51"/>
      <c r="B29" s="20"/>
      <c r="C29" s="20"/>
    </row>
    <row r="30" spans="1:6" x14ac:dyDescent="0.2">
      <c r="A30" s="12" t="s">
        <v>287</v>
      </c>
      <c r="B30" s="20"/>
      <c r="C30" s="20"/>
      <c r="D30" s="20"/>
      <c r="E30" s="20"/>
      <c r="F30" s="20"/>
    </row>
    <row r="31" spans="1:6" x14ac:dyDescent="0.2">
      <c r="A31" s="12" t="s">
        <v>319</v>
      </c>
      <c r="B31" s="20"/>
      <c r="C31" s="20"/>
      <c r="D31" s="20"/>
      <c r="E31" s="20"/>
      <c r="F31" s="20"/>
    </row>
    <row r="32" spans="1:6" x14ac:dyDescent="0.2">
      <c r="A32" s="12"/>
      <c r="B32" s="20"/>
      <c r="C32" s="20"/>
    </row>
    <row r="33" spans="1:3" x14ac:dyDescent="0.2">
      <c r="A33" s="12"/>
      <c r="B33" s="20"/>
      <c r="C33" s="20"/>
    </row>
    <row r="34" spans="1:3" x14ac:dyDescent="0.2">
      <c r="B34" s="20"/>
      <c r="C34" s="20"/>
    </row>
    <row r="35" spans="1:3" x14ac:dyDescent="0.2">
      <c r="B35" s="20"/>
      <c r="C35" s="20"/>
    </row>
    <row r="36" spans="1:3" x14ac:dyDescent="0.2">
      <c r="B36" s="20"/>
      <c r="C36" s="20"/>
    </row>
    <row r="37" spans="1:3" x14ac:dyDescent="0.2">
      <c r="B37" s="20"/>
      <c r="C37" s="20"/>
    </row>
    <row r="38" spans="1:3" x14ac:dyDescent="0.2">
      <c r="B38" s="20"/>
      <c r="C38" s="20"/>
    </row>
    <row r="39" spans="1:3" x14ac:dyDescent="0.2">
      <c r="B39" s="20"/>
      <c r="C39" s="20"/>
    </row>
    <row r="40" spans="1:3" x14ac:dyDescent="0.2">
      <c r="B40" s="20"/>
      <c r="C40" s="20"/>
    </row>
    <row r="41" spans="1:3" x14ac:dyDescent="0.2">
      <c r="B41" s="20"/>
      <c r="C41" s="20"/>
    </row>
    <row r="42" spans="1:3" x14ac:dyDescent="0.2">
      <c r="B42" s="20"/>
      <c r="C42" s="20"/>
    </row>
    <row r="43" spans="1:3" x14ac:dyDescent="0.2">
      <c r="B43" s="20"/>
      <c r="C43" s="20"/>
    </row>
    <row r="44" spans="1:3" x14ac:dyDescent="0.2">
      <c r="B44" s="20"/>
      <c r="C44" s="20"/>
    </row>
    <row r="45" spans="1:3" x14ac:dyDescent="0.2">
      <c r="B45" s="20"/>
      <c r="C45" s="20"/>
    </row>
    <row r="46" spans="1:3" x14ac:dyDescent="0.2">
      <c r="B46" s="20"/>
      <c r="C46" s="20"/>
    </row>
    <row r="47" spans="1:3" x14ac:dyDescent="0.2">
      <c r="B47" s="20"/>
      <c r="C47" s="20"/>
    </row>
    <row r="48" spans="1:3" x14ac:dyDescent="0.2">
      <c r="B48" s="20"/>
      <c r="C48" s="20"/>
    </row>
    <row r="49" spans="2:3" x14ac:dyDescent="0.2">
      <c r="B49" s="20"/>
      <c r="C49" s="20"/>
    </row>
    <row r="50" spans="2:3" x14ac:dyDescent="0.2">
      <c r="B50" s="20"/>
      <c r="C50" s="20"/>
    </row>
    <row r="51" spans="2:3" x14ac:dyDescent="0.2">
      <c r="B51" s="20"/>
      <c r="C51" s="20"/>
    </row>
    <row r="52" spans="2:3" x14ac:dyDescent="0.2">
      <c r="B52" s="20"/>
      <c r="C52" s="20"/>
    </row>
    <row r="53" spans="2:3" x14ac:dyDescent="0.2">
      <c r="B53" s="20"/>
      <c r="C53" s="20"/>
    </row>
    <row r="54" spans="2:3" x14ac:dyDescent="0.2">
      <c r="B54" s="20"/>
      <c r="C54" s="20"/>
    </row>
    <row r="55" spans="2:3" x14ac:dyDescent="0.2">
      <c r="B55" s="20"/>
      <c r="C55" s="20"/>
    </row>
    <row r="56" spans="2:3" x14ac:dyDescent="0.2">
      <c r="B56" s="20"/>
      <c r="C56" s="20"/>
    </row>
    <row r="57" spans="2:3" x14ac:dyDescent="0.2">
      <c r="B57" s="20"/>
      <c r="C57" s="20"/>
    </row>
    <row r="58" spans="2:3" x14ac:dyDescent="0.2">
      <c r="B58" s="20"/>
      <c r="C58" s="20"/>
    </row>
    <row r="59" spans="2:3" x14ac:dyDescent="0.2">
      <c r="B59" s="20"/>
      <c r="C59" s="20"/>
    </row>
    <row r="60" spans="2:3" x14ac:dyDescent="0.2">
      <c r="B60" s="20"/>
      <c r="C60" s="20"/>
    </row>
    <row r="61" spans="2:3" x14ac:dyDescent="0.2">
      <c r="B61" s="20"/>
      <c r="C61" s="20"/>
    </row>
    <row r="62" spans="2:3" x14ac:dyDescent="0.2">
      <c r="B62" s="20"/>
      <c r="C62" s="20"/>
    </row>
    <row r="63" spans="2:3" x14ac:dyDescent="0.2">
      <c r="B63" s="20"/>
      <c r="C63" s="20"/>
    </row>
    <row r="64" spans="2:3" x14ac:dyDescent="0.2">
      <c r="B64" s="20"/>
      <c r="C64" s="20"/>
    </row>
    <row r="65" spans="2:3" x14ac:dyDescent="0.2">
      <c r="B65" s="15"/>
      <c r="C65" s="15"/>
    </row>
    <row r="66" spans="2:3" x14ac:dyDescent="0.2">
      <c r="B66" s="15"/>
      <c r="C66" s="15"/>
    </row>
    <row r="67" spans="2:3" x14ac:dyDescent="0.2">
      <c r="B67" s="15"/>
      <c r="C67" s="15"/>
    </row>
    <row r="68" spans="2:3" x14ac:dyDescent="0.2">
      <c r="B68" s="15"/>
      <c r="C68" s="15"/>
    </row>
    <row r="69" spans="2:3" x14ac:dyDescent="0.2">
      <c r="B69" s="15"/>
      <c r="C69" s="15"/>
    </row>
    <row r="70" spans="2:3" x14ac:dyDescent="0.2">
      <c r="B70" s="15"/>
      <c r="C70" s="15"/>
    </row>
    <row r="71" spans="2:3" x14ac:dyDescent="0.2">
      <c r="B71" s="15"/>
      <c r="C71" s="15"/>
    </row>
    <row r="72" spans="2:3" x14ac:dyDescent="0.2">
      <c r="B72" s="15"/>
      <c r="C72" s="15"/>
    </row>
    <row r="73" spans="2:3" x14ac:dyDescent="0.2">
      <c r="B73" s="15"/>
      <c r="C73" s="15"/>
    </row>
    <row r="74" spans="2:3" x14ac:dyDescent="0.2">
      <c r="B74" s="15"/>
      <c r="C74" s="15"/>
    </row>
    <row r="75" spans="2:3" x14ac:dyDescent="0.2">
      <c r="B75" s="15"/>
      <c r="C75" s="15"/>
    </row>
    <row r="76" spans="2:3" x14ac:dyDescent="0.2">
      <c r="B76" s="15"/>
      <c r="C76" s="15"/>
    </row>
    <row r="77" spans="2:3" x14ac:dyDescent="0.2">
      <c r="B77" s="15"/>
      <c r="C77" s="15"/>
    </row>
    <row r="78" spans="2:3" x14ac:dyDescent="0.2">
      <c r="B78" s="15"/>
      <c r="C78" s="15"/>
    </row>
    <row r="79" spans="2:3" x14ac:dyDescent="0.2">
      <c r="B79" s="15"/>
      <c r="C79" s="15"/>
    </row>
    <row r="80" spans="2:3" x14ac:dyDescent="0.2">
      <c r="B80" s="15"/>
      <c r="C80" s="15"/>
    </row>
    <row r="81" spans="2:3" x14ac:dyDescent="0.2">
      <c r="B81" s="15"/>
      <c r="C81" s="15"/>
    </row>
    <row r="82" spans="2:3" x14ac:dyDescent="0.2">
      <c r="B82" s="15"/>
      <c r="C82" s="15"/>
    </row>
    <row r="83" spans="2:3" x14ac:dyDescent="0.2">
      <c r="B83" s="15"/>
      <c r="C83" s="15"/>
    </row>
    <row r="84" spans="2:3" x14ac:dyDescent="0.2">
      <c r="B84" s="15"/>
      <c r="C84" s="15"/>
    </row>
    <row r="85" spans="2:3" x14ac:dyDescent="0.2">
      <c r="B85" s="15"/>
      <c r="C85" s="15"/>
    </row>
    <row r="86" spans="2:3" x14ac:dyDescent="0.2">
      <c r="B86" s="15"/>
      <c r="C86" s="15"/>
    </row>
    <row r="87" spans="2:3" x14ac:dyDescent="0.2">
      <c r="B87" s="15"/>
      <c r="C87" s="15"/>
    </row>
    <row r="88" spans="2:3" x14ac:dyDescent="0.2">
      <c r="B88" s="15"/>
      <c r="C88" s="15"/>
    </row>
    <row r="89" spans="2:3" x14ac:dyDescent="0.2">
      <c r="B89" s="15"/>
      <c r="C89" s="15"/>
    </row>
    <row r="90" spans="2:3" x14ac:dyDescent="0.2">
      <c r="B90" s="15"/>
      <c r="C90" s="15"/>
    </row>
    <row r="91" spans="2:3" x14ac:dyDescent="0.2">
      <c r="B91" s="15"/>
      <c r="C91" s="15"/>
    </row>
    <row r="92" spans="2:3" x14ac:dyDescent="0.2">
      <c r="B92" s="15"/>
      <c r="C92" s="15"/>
    </row>
    <row r="93" spans="2:3" x14ac:dyDescent="0.2">
      <c r="B93" s="15"/>
      <c r="C93" s="15"/>
    </row>
    <row r="94" spans="2:3" x14ac:dyDescent="0.2">
      <c r="B94" s="15"/>
      <c r="C94" s="15"/>
    </row>
    <row r="95" spans="2:3" x14ac:dyDescent="0.2">
      <c r="B95" s="15"/>
      <c r="C95" s="15"/>
    </row>
    <row r="96" spans="2:3" x14ac:dyDescent="0.2">
      <c r="B96" s="15"/>
      <c r="C96" s="15"/>
    </row>
    <row r="97" spans="2:3" x14ac:dyDescent="0.2">
      <c r="B97" s="15"/>
      <c r="C97" s="15"/>
    </row>
    <row r="98" spans="2:3" x14ac:dyDescent="0.2">
      <c r="B98" s="15"/>
      <c r="C98" s="15"/>
    </row>
    <row r="99" spans="2:3" x14ac:dyDescent="0.2">
      <c r="B99" s="15"/>
      <c r="C99" s="15"/>
    </row>
    <row r="100" spans="2:3" x14ac:dyDescent="0.2">
      <c r="B100" s="15"/>
      <c r="C100" s="15"/>
    </row>
    <row r="101" spans="2:3" x14ac:dyDescent="0.2">
      <c r="B101" s="15"/>
      <c r="C101" s="15"/>
    </row>
  </sheetData>
  <mergeCells count="1">
    <mergeCell ref="C2:D3"/>
  </mergeCells>
  <hyperlinks>
    <hyperlink ref="C2:D3" location="'Cover Page'!A1" display="TAB" xr:uid="{00000000-0004-0000-0500-000000000000}"/>
  </hyperlink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0"/>
  <sheetViews>
    <sheetView showGridLines="0" topLeftCell="I1" zoomScale="170" zoomScaleNormal="170" workbookViewId="0">
      <selection activeCell="R7" sqref="R7"/>
    </sheetView>
  </sheetViews>
  <sheetFormatPr defaultColWidth="9.140625" defaultRowHeight="11.25" x14ac:dyDescent="0.2"/>
  <cols>
    <col min="1" max="1" width="27.5703125" style="193" bestFit="1" customWidth="1"/>
    <col min="2" max="2" width="7.42578125" style="194" bestFit="1" customWidth="1"/>
    <col min="3" max="4" width="6.5703125" style="170" bestFit="1" customWidth="1"/>
    <col min="5" max="8" width="7" style="170" bestFit="1" customWidth="1"/>
    <col min="9" max="9" width="7.28515625" style="170" bestFit="1" customWidth="1"/>
    <col min="10" max="10" width="7.85546875" style="170" bestFit="1" customWidth="1"/>
    <col min="11" max="11" width="28" style="170" bestFit="1" customWidth="1"/>
    <col min="12" max="12" width="6" style="170" bestFit="1" customWidth="1"/>
    <col min="13" max="16" width="5.42578125" style="170" bestFit="1" customWidth="1"/>
    <col min="17" max="17" width="7.140625" style="170" bestFit="1" customWidth="1"/>
    <col min="18" max="18" width="19.7109375" style="170" bestFit="1" customWidth="1"/>
    <col min="19" max="19" width="5.7109375" style="170" bestFit="1" customWidth="1"/>
    <col min="20" max="23" width="5.5703125" style="170" bestFit="1" customWidth="1"/>
    <col min="24" max="43" width="6.28515625" style="170" customWidth="1"/>
    <col min="44" max="50" width="10.28515625" style="170" customWidth="1"/>
    <col min="51" max="16384" width="9.140625" style="170"/>
  </cols>
  <sheetData>
    <row r="1" spans="1:23" s="70" customFormat="1" x14ac:dyDescent="0.2">
      <c r="A1" s="1" t="str">
        <f>[8]CF!A1</f>
        <v>D.G Khan Cement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125"/>
      <c r="S1" s="125"/>
      <c r="T1" s="125"/>
    </row>
    <row r="2" spans="1:23" s="127" customFormat="1" x14ac:dyDescent="0.2">
      <c r="A2" s="4" t="s">
        <v>277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126"/>
      <c r="S2" s="126"/>
      <c r="T2" s="126"/>
    </row>
    <row r="3" spans="1:23" s="128" customFormat="1" x14ac:dyDescent="0.2">
      <c r="A3" s="50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23" s="128" customFormat="1" x14ac:dyDescent="0.2">
      <c r="A4" s="50"/>
      <c r="B4" s="3"/>
      <c r="C4" s="129" t="s">
        <v>324</v>
      </c>
      <c r="D4" s="129">
        <v>0</v>
      </c>
      <c r="E4" s="129">
        <v>1</v>
      </c>
      <c r="F4" s="129">
        <v>2</v>
      </c>
      <c r="G4" s="129">
        <f t="shared" ref="G4:H5" si="0">+F4+1</f>
        <v>3</v>
      </c>
      <c r="H4" s="129">
        <f t="shared" si="0"/>
        <v>4</v>
      </c>
      <c r="I4" s="129">
        <v>4</v>
      </c>
      <c r="J4" s="130"/>
      <c r="K4" s="131"/>
      <c r="L4" s="132"/>
      <c r="M4" s="132"/>
      <c r="N4" s="133"/>
      <c r="O4" s="133"/>
      <c r="P4" s="133"/>
      <c r="Q4" s="133"/>
    </row>
    <row r="5" spans="1:23" s="128" customFormat="1" x14ac:dyDescent="0.2">
      <c r="A5" s="48" t="s">
        <v>278</v>
      </c>
      <c r="B5" s="46"/>
      <c r="C5" s="648"/>
      <c r="D5" s="648">
        <v>2022</v>
      </c>
      <c r="E5" s="648">
        <f>+D5+1</f>
        <v>2023</v>
      </c>
      <c r="F5" s="648">
        <f>+E5+1</f>
        <v>2024</v>
      </c>
      <c r="G5" s="648">
        <f t="shared" si="0"/>
        <v>2025</v>
      </c>
      <c r="H5" s="648">
        <f t="shared" si="0"/>
        <v>2026</v>
      </c>
      <c r="I5" s="648" t="s">
        <v>279</v>
      </c>
      <c r="J5" s="134"/>
      <c r="K5" s="48" t="s">
        <v>280</v>
      </c>
      <c r="L5" s="648">
        <v>2022</v>
      </c>
      <c r="M5" s="648">
        <f>+L5+1</f>
        <v>2023</v>
      </c>
      <c r="N5" s="648">
        <f>+M5+1</f>
        <v>2024</v>
      </c>
      <c r="O5" s="648">
        <f>+N5+1</f>
        <v>2025</v>
      </c>
      <c r="P5" s="648">
        <f>+O5+1</f>
        <v>2026</v>
      </c>
      <c r="Q5" s="648" t="s">
        <v>279</v>
      </c>
    </row>
    <row r="6" spans="1:23" s="128" customFormat="1" x14ac:dyDescent="0.2">
      <c r="A6" s="50"/>
      <c r="B6" s="3"/>
      <c r="C6" s="3"/>
      <c r="D6" s="3"/>
      <c r="E6" s="3"/>
      <c r="F6" s="3"/>
      <c r="G6" s="3"/>
      <c r="H6" s="3"/>
      <c r="I6" s="135"/>
      <c r="J6" s="135"/>
      <c r="K6" s="136"/>
      <c r="L6" s="137"/>
      <c r="M6" s="138"/>
      <c r="N6" s="138"/>
      <c r="O6" s="138"/>
      <c r="P6" s="138"/>
      <c r="Q6" s="138"/>
    </row>
    <row r="7" spans="1:23" s="128" customFormat="1" x14ac:dyDescent="0.2">
      <c r="A7" s="6" t="s">
        <v>281</v>
      </c>
      <c r="B7" s="3"/>
      <c r="C7" s="15"/>
      <c r="D7" s="15">
        <f>IS!H57</f>
        <v>18468.371202677466</v>
      </c>
      <c r="E7" s="15">
        <f>IS!I57</f>
        <v>22531.442216395175</v>
      </c>
      <c r="F7" s="15">
        <f>IS!J57</f>
        <v>27930.13860703192</v>
      </c>
      <c r="G7" s="15">
        <f>IS!K57</f>
        <v>34528.397243286403</v>
      </c>
      <c r="H7" s="15">
        <f>IS!L57</f>
        <v>42537.61275520394</v>
      </c>
      <c r="I7" s="15">
        <f>H7</f>
        <v>42537.61275520394</v>
      </c>
      <c r="J7" s="135"/>
      <c r="K7" s="140" t="s">
        <v>321</v>
      </c>
      <c r="L7" s="141">
        <v>0.125</v>
      </c>
      <c r="M7" s="141">
        <v>0.13</v>
      </c>
      <c r="N7" s="141">
        <v>0.12</v>
      </c>
      <c r="O7" s="141">
        <v>0.115</v>
      </c>
      <c r="P7" s="141">
        <v>0.11</v>
      </c>
      <c r="Q7" s="141">
        <f>P7</f>
        <v>0.11</v>
      </c>
    </row>
    <row r="8" spans="1:23" s="128" customFormat="1" x14ac:dyDescent="0.2">
      <c r="A8" s="6" t="s">
        <v>282</v>
      </c>
      <c r="B8" s="142"/>
      <c r="C8" s="15"/>
      <c r="D8" s="15">
        <f>IS!H59</f>
        <v>-4617.0928006693666</v>
      </c>
      <c r="E8" s="15">
        <f>IS!I59</f>
        <v>-5632.8605540987937</v>
      </c>
      <c r="F8" s="15">
        <f>IS!J59</f>
        <v>-6982.5346517579801</v>
      </c>
      <c r="G8" s="15">
        <f>IS!K59</f>
        <v>-8632.0993108216007</v>
      </c>
      <c r="H8" s="15">
        <f>IS!L59</f>
        <v>-10634.403188800985</v>
      </c>
      <c r="I8" s="15">
        <f t="shared" ref="I8:I12" si="1">H8</f>
        <v>-10634.403188800985</v>
      </c>
      <c r="J8" s="135"/>
      <c r="K8" s="140" t="s">
        <v>320</v>
      </c>
      <c r="L8" s="141">
        <v>0.06</v>
      </c>
      <c r="M8" s="141">
        <v>0.06</v>
      </c>
      <c r="N8" s="141">
        <v>0.06</v>
      </c>
      <c r="O8" s="141">
        <v>0.06</v>
      </c>
      <c r="P8" s="141">
        <v>0.06</v>
      </c>
      <c r="Q8" s="141">
        <f t="shared" ref="Q8:Q14" si="2">P8</f>
        <v>0.06</v>
      </c>
      <c r="R8" s="144"/>
    </row>
    <row r="9" spans="1:23" s="128" customFormat="1" x14ac:dyDescent="0.2">
      <c r="A9" s="6" t="s">
        <v>283</v>
      </c>
      <c r="B9" s="3"/>
      <c r="C9" s="15"/>
      <c r="D9" s="15">
        <f>'Fixed Assets'!H23</f>
        <v>2045.0111999999997</v>
      </c>
      <c r="E9" s="15">
        <f>'Fixed Assets'!I23</f>
        <v>2281.2099935999995</v>
      </c>
      <c r="F9" s="15">
        <f>'Fixed Assets'!J23</f>
        <v>2545.8303528575998</v>
      </c>
      <c r="G9" s="15">
        <f>'Fixed Assets'!K23</f>
        <v>2842.4195889655111</v>
      </c>
      <c r="H9" s="15">
        <f>'Fixed Assets'!L23</f>
        <v>3174.9826808744751</v>
      </c>
      <c r="I9" s="15">
        <f t="shared" si="1"/>
        <v>3174.9826808744751</v>
      </c>
      <c r="J9" s="135"/>
      <c r="K9" s="140" t="s">
        <v>323</v>
      </c>
      <c r="L9" s="141">
        <f>L8+L7</f>
        <v>0.185</v>
      </c>
      <c r="M9" s="141">
        <f t="shared" ref="M9:P9" si="3">M8+M7</f>
        <v>0.19</v>
      </c>
      <c r="N9" s="141">
        <f t="shared" si="3"/>
        <v>0.18</v>
      </c>
      <c r="O9" s="141">
        <f t="shared" si="3"/>
        <v>0.17499999999999999</v>
      </c>
      <c r="P9" s="141">
        <f t="shared" si="3"/>
        <v>0.16999999999999998</v>
      </c>
      <c r="Q9" s="141">
        <f t="shared" si="2"/>
        <v>0.16999999999999998</v>
      </c>
      <c r="R9" s="146"/>
    </row>
    <row r="10" spans="1:23" s="128" customFormat="1" x14ac:dyDescent="0.2">
      <c r="A10" s="6" t="s">
        <v>284</v>
      </c>
      <c r="B10" s="3"/>
      <c r="C10" s="15"/>
      <c r="D10" s="15">
        <f>CF!B9</f>
        <v>1553.1808522354809</v>
      </c>
      <c r="E10" s="15">
        <f>CF!C9</f>
        <v>-567.00810978313757</v>
      </c>
      <c r="F10" s="15">
        <f>CF!D9</f>
        <v>-1076.6277848648936</v>
      </c>
      <c r="G10" s="15">
        <f>CF!E9</f>
        <v>-1130.2394986988397</v>
      </c>
      <c r="H10" s="15">
        <f>CF!F9</f>
        <v>-2440.124882482773</v>
      </c>
      <c r="I10" s="15">
        <f t="shared" si="1"/>
        <v>-2440.124882482773</v>
      </c>
      <c r="J10" s="139"/>
      <c r="K10" s="2" t="s">
        <v>322</v>
      </c>
      <c r="L10" s="145">
        <f>'Drivers Sheet'!H10+0.02</f>
        <v>0.13</v>
      </c>
      <c r="M10" s="145">
        <f>'Drivers Sheet'!I10+0.02</f>
        <v>0.15</v>
      </c>
      <c r="N10" s="145">
        <f>'Drivers Sheet'!J10+0.02</f>
        <v>0.13999999999999999</v>
      </c>
      <c r="O10" s="145">
        <f>'Drivers Sheet'!K10+0.02</f>
        <v>0.13</v>
      </c>
      <c r="P10" s="145">
        <f>'Drivers Sheet'!L10+0.02</f>
        <v>0.12000000000000001</v>
      </c>
      <c r="Q10" s="141">
        <f t="shared" si="2"/>
        <v>0.12000000000000001</v>
      </c>
      <c r="R10" s="146"/>
    </row>
    <row r="11" spans="1:23" s="128" customFormat="1" x14ac:dyDescent="0.2">
      <c r="A11" s="148" t="s">
        <v>286</v>
      </c>
      <c r="B11" s="24"/>
      <c r="C11" s="25"/>
      <c r="D11" s="25">
        <f>CF!B18</f>
        <v>-1499.8549949999967</v>
      </c>
      <c r="E11" s="25">
        <f>CF!C18</f>
        <v>-1551.8645898949962</v>
      </c>
      <c r="F11" s="25">
        <f>CF!D18</f>
        <v>-1604.6831395673544</v>
      </c>
      <c r="G11" s="25">
        <f>CF!E18</f>
        <v>-1658.1161449080155</v>
      </c>
      <c r="H11" s="25">
        <f>CF!F18</f>
        <v>-1725.1512814475414</v>
      </c>
      <c r="I11" s="15">
        <f t="shared" si="1"/>
        <v>-1725.1512814475414</v>
      </c>
      <c r="J11" s="149"/>
      <c r="K11" s="2" t="s">
        <v>285</v>
      </c>
      <c r="L11" s="147">
        <f>-IS!H64</f>
        <v>0.25</v>
      </c>
      <c r="M11" s="147">
        <f>-IS!I64</f>
        <v>0.25</v>
      </c>
      <c r="N11" s="147">
        <f>-IS!J64</f>
        <v>0.25</v>
      </c>
      <c r="O11" s="147">
        <f>-IS!K64</f>
        <v>0.25</v>
      </c>
      <c r="P11" s="147">
        <f>-IS!L64</f>
        <v>0.25</v>
      </c>
      <c r="Q11" s="141">
        <f t="shared" si="2"/>
        <v>0.25</v>
      </c>
      <c r="R11" s="151"/>
    </row>
    <row r="12" spans="1:23" s="128" customFormat="1" x14ac:dyDescent="0.2">
      <c r="A12" s="43" t="s">
        <v>287</v>
      </c>
      <c r="B12" s="3"/>
      <c r="C12" s="11"/>
      <c r="D12" s="11">
        <f>SUM(D7:D11)</f>
        <v>15949.615459243583</v>
      </c>
      <c r="E12" s="11">
        <f t="shared" ref="E12:H12" si="4">SUM(E7:E11)</f>
        <v>17060.918956218251</v>
      </c>
      <c r="F12" s="11">
        <f t="shared" si="4"/>
        <v>20812.123383699291</v>
      </c>
      <c r="G12" s="11">
        <f t="shared" si="4"/>
        <v>25950.36187782346</v>
      </c>
      <c r="H12" s="11">
        <f t="shared" si="4"/>
        <v>30912.916083347114</v>
      </c>
      <c r="I12" s="15">
        <f t="shared" si="1"/>
        <v>30912.916083347114</v>
      </c>
      <c r="J12" s="153"/>
      <c r="K12" s="140" t="s">
        <v>325</v>
      </c>
      <c r="L12" s="150">
        <f>(BS!H35+BS!H36+BS!H43)/(BS!H35+BS!H36+BS!H43+BS!H55)</f>
        <v>5.6739187340037828E-2</v>
      </c>
      <c r="M12" s="150">
        <f>(BS!I35+BS!I36+BS!I43)/(BS!I35+BS!I36+BS!I43+BS!I55)</f>
        <v>4.0004879641015408E-2</v>
      </c>
      <c r="N12" s="150">
        <f>(BS!J35+BS!J36+BS!J43)/(BS!J35+BS!J36+BS!J43+BS!J55)</f>
        <v>2.9103049481546135E-2</v>
      </c>
      <c r="O12" s="150">
        <f>(BS!K35+BS!K36+BS!K43)/(BS!K35+BS!K36+BS!K43+BS!K55)</f>
        <v>2.1655413443816666E-2</v>
      </c>
      <c r="P12" s="150">
        <f>(BS!L35+BS!L36+BS!L43)/(BS!L35+BS!L36+BS!L43+BS!L55)</f>
        <v>7.6909246737312087E-2</v>
      </c>
      <c r="Q12" s="141">
        <f t="shared" si="2"/>
        <v>7.6909246737312087E-2</v>
      </c>
      <c r="R12" s="151"/>
    </row>
    <row r="13" spans="1:23" s="128" customFormat="1" x14ac:dyDescent="0.2">
      <c r="A13" s="43" t="s">
        <v>288</v>
      </c>
      <c r="B13" s="3"/>
      <c r="C13" s="40"/>
      <c r="D13" s="40">
        <f>D12/(1+L14)^D4</f>
        <v>15949.615459243583</v>
      </c>
      <c r="E13" s="40">
        <f t="shared" ref="E13:H13" si="5">E12/(1+M14)^E4</f>
        <v>14374.357058050531</v>
      </c>
      <c r="F13" s="40">
        <f t="shared" si="5"/>
        <v>15002.393589523941</v>
      </c>
      <c r="G13" s="40">
        <f t="shared" si="5"/>
        <v>16065.420745076848</v>
      </c>
      <c r="H13" s="40">
        <f t="shared" si="5"/>
        <v>16848.297427650989</v>
      </c>
      <c r="I13" s="230">
        <f>I12/(Q14-Q15)</f>
        <v>783602.52618577355</v>
      </c>
      <c r="J13" s="157"/>
      <c r="K13" s="154" t="s">
        <v>326</v>
      </c>
      <c r="L13" s="155">
        <f>100%-L12</f>
        <v>0.9432608126599622</v>
      </c>
      <c r="M13" s="155">
        <f t="shared" ref="M13:P13" si="6">100%-M12</f>
        <v>0.9599951203589846</v>
      </c>
      <c r="N13" s="155">
        <f t="shared" si="6"/>
        <v>0.97089695051845382</v>
      </c>
      <c r="O13" s="155">
        <f t="shared" si="6"/>
        <v>0.97834458655618328</v>
      </c>
      <c r="P13" s="155">
        <f t="shared" si="6"/>
        <v>0.92309075326268797</v>
      </c>
      <c r="Q13" s="141">
        <f t="shared" si="2"/>
        <v>0.92309075326268797</v>
      </c>
      <c r="R13" s="74"/>
      <c r="S13" s="160"/>
      <c r="T13" s="160"/>
      <c r="U13" s="160"/>
      <c r="V13" s="160"/>
      <c r="W13" s="160"/>
    </row>
    <row r="14" spans="1:23" s="128" customFormat="1" x14ac:dyDescent="0.2">
      <c r="A14" s="3"/>
      <c r="B14" s="3"/>
      <c r="C14" s="3"/>
      <c r="D14" s="3"/>
      <c r="E14" s="3"/>
      <c r="F14" s="3"/>
      <c r="G14" s="3"/>
      <c r="H14" s="3"/>
      <c r="I14" s="229"/>
      <c r="J14" s="152"/>
      <c r="K14" s="158" t="s">
        <v>280</v>
      </c>
      <c r="L14" s="159">
        <f>(L12*L10*(1-L11))+(L13*L9)</f>
        <v>0.18003532110774667</v>
      </c>
      <c r="M14" s="159">
        <f t="shared" ref="M14:P14" si="7">(M12*M10*(1-M11))+(M13*M9)</f>
        <v>0.18689962182782133</v>
      </c>
      <c r="N14" s="159">
        <f t="shared" si="7"/>
        <v>0.177817271288884</v>
      </c>
      <c r="O14" s="159">
        <f t="shared" si="7"/>
        <v>0.17332170545810419</v>
      </c>
      <c r="P14" s="159">
        <f t="shared" si="7"/>
        <v>0.16384726026101504</v>
      </c>
      <c r="Q14" s="141">
        <f t="shared" si="2"/>
        <v>0.16384726026101504</v>
      </c>
      <c r="R14" s="70"/>
      <c r="S14" s="163"/>
      <c r="T14" s="163"/>
      <c r="U14" s="163"/>
      <c r="V14" s="163"/>
      <c r="W14" s="163"/>
    </row>
    <row r="15" spans="1:23" s="128" customFormat="1" x14ac:dyDescent="0.2">
      <c r="A15" s="6" t="s">
        <v>290</v>
      </c>
      <c r="B15" s="39">
        <f>SUM(D13:H13)</f>
        <v>78240.084279545888</v>
      </c>
      <c r="C15" s="3"/>
      <c r="D15" s="3"/>
      <c r="E15" s="3"/>
      <c r="F15" s="3"/>
      <c r="G15" s="3"/>
      <c r="H15" s="3"/>
      <c r="I15" s="164"/>
      <c r="J15" s="156"/>
      <c r="K15" s="161" t="s">
        <v>289</v>
      </c>
      <c r="L15" s="143"/>
      <c r="M15" s="162"/>
      <c r="N15" s="162"/>
      <c r="O15" s="162"/>
      <c r="P15" s="162"/>
      <c r="Q15" s="228">
        <f>Q18</f>
        <v>0.12439752005430928</v>
      </c>
      <c r="R15" s="70"/>
      <c r="S15" s="167"/>
      <c r="T15" s="167"/>
      <c r="U15" s="167"/>
      <c r="V15" s="167"/>
      <c r="W15" s="167"/>
    </row>
    <row r="16" spans="1:23" s="128" customFormat="1" x14ac:dyDescent="0.2">
      <c r="A16" s="6" t="s">
        <v>291</v>
      </c>
      <c r="B16" s="38">
        <f>I13/(1+Q14)^I4</f>
        <v>427082.59520520433</v>
      </c>
      <c r="C16" s="3"/>
      <c r="D16" s="3"/>
      <c r="E16" s="3"/>
      <c r="F16" s="3"/>
      <c r="G16" s="3"/>
      <c r="H16" s="3"/>
      <c r="I16" s="168"/>
      <c r="J16" s="169"/>
      <c r="K16" s="165"/>
      <c r="L16" s="166"/>
      <c r="M16" s="166"/>
      <c r="N16" s="166"/>
      <c r="O16" s="166"/>
      <c r="P16" s="166" t="s">
        <v>249</v>
      </c>
      <c r="Q16" s="166">
        <f>IS!G60/BS!G55</f>
        <v>0.14635002359330504</v>
      </c>
      <c r="R16" s="70"/>
      <c r="S16" s="163"/>
      <c r="T16" s="163"/>
      <c r="U16" s="163"/>
      <c r="V16" s="163"/>
      <c r="W16" s="163"/>
    </row>
    <row r="17" spans="1:17" s="128" customFormat="1" x14ac:dyDescent="0.2">
      <c r="A17" s="43" t="s">
        <v>292</v>
      </c>
      <c r="B17" s="11">
        <f>B16+B15</f>
        <v>505322.6794847502</v>
      </c>
      <c r="C17" s="44"/>
      <c r="D17" s="3"/>
      <c r="E17" s="3"/>
      <c r="F17" s="3"/>
      <c r="G17" s="3"/>
      <c r="H17" s="3"/>
      <c r="I17" s="168"/>
      <c r="J17" s="169"/>
      <c r="K17" s="167"/>
      <c r="L17" s="171"/>
      <c r="M17" s="171"/>
      <c r="N17" s="171"/>
      <c r="O17" s="171"/>
      <c r="P17" s="128" t="s">
        <v>327</v>
      </c>
      <c r="Q17" s="232">
        <f>1-IS!H68</f>
        <v>0.85</v>
      </c>
    </row>
    <row r="18" spans="1:17" s="128" customFormat="1" x14ac:dyDescent="0.2">
      <c r="A18" s="6" t="s">
        <v>293</v>
      </c>
      <c r="B18" s="172">
        <f>C18*Investments!G2</f>
        <v>118.94531249999999</v>
      </c>
      <c r="C18" s="173">
        <v>0.7</v>
      </c>
      <c r="D18" s="15"/>
      <c r="E18" s="3"/>
      <c r="F18" s="3"/>
      <c r="G18" s="3"/>
      <c r="H18" s="3"/>
      <c r="I18" s="168"/>
      <c r="J18" s="174"/>
      <c r="K18" s="163"/>
      <c r="L18" s="171"/>
      <c r="M18" s="171"/>
      <c r="N18" s="171"/>
      <c r="O18" s="171"/>
      <c r="P18" s="128" t="s">
        <v>328</v>
      </c>
      <c r="Q18" s="232">
        <f>Q17*Q16</f>
        <v>0.12439752005430928</v>
      </c>
    </row>
    <row r="19" spans="1:17" s="128" customFormat="1" x14ac:dyDescent="0.2">
      <c r="A19" s="6" t="s">
        <v>294</v>
      </c>
      <c r="B19" s="172">
        <f>BS!G14*C19</f>
        <v>270.23340000000002</v>
      </c>
      <c r="C19" s="173">
        <v>0.3</v>
      </c>
      <c r="D19" s="175"/>
      <c r="E19" s="176"/>
      <c r="F19" s="176"/>
      <c r="G19" s="176"/>
      <c r="H19" s="176"/>
      <c r="I19" s="177"/>
      <c r="J19" s="178"/>
      <c r="K19" s="163"/>
      <c r="L19" s="171"/>
      <c r="M19" s="171"/>
      <c r="N19" s="171"/>
      <c r="O19" s="171"/>
    </row>
    <row r="20" spans="1:17" s="128" customFormat="1" x14ac:dyDescent="0.2">
      <c r="A20" s="2" t="s">
        <v>295</v>
      </c>
      <c r="B20" s="25">
        <f>(BS!G35+BS!G36+BS!G43)</f>
        <v>2469.81</v>
      </c>
      <c r="C20" s="179"/>
      <c r="D20" s="2"/>
      <c r="E20" s="3"/>
      <c r="F20" s="3"/>
      <c r="G20" s="3"/>
      <c r="H20" s="3"/>
      <c r="I20" s="177"/>
      <c r="J20" s="178"/>
      <c r="K20" s="163"/>
      <c r="L20" s="171"/>
      <c r="M20" s="171"/>
      <c r="N20" s="171"/>
      <c r="O20" s="171"/>
    </row>
    <row r="21" spans="1:17" s="128" customFormat="1" x14ac:dyDescent="0.2">
      <c r="A21" s="43" t="s">
        <v>296</v>
      </c>
      <c r="B21" s="11">
        <f>B17+B18+B19-B20</f>
        <v>503242.04819725023</v>
      </c>
      <c r="C21" s="3"/>
      <c r="D21" s="3"/>
      <c r="E21" s="3"/>
      <c r="F21" s="3"/>
      <c r="G21" s="39"/>
      <c r="H21" s="3"/>
      <c r="J21" s="178"/>
      <c r="K21" s="163"/>
      <c r="L21" s="171"/>
      <c r="M21" s="171"/>
      <c r="N21" s="171"/>
      <c r="O21" s="171"/>
    </row>
    <row r="22" spans="1:17" s="128" customFormat="1" x14ac:dyDescent="0.2">
      <c r="A22" s="180" t="s">
        <v>297</v>
      </c>
      <c r="B22" s="181">
        <f>B21/B25</f>
        <v>364.71703748641977</v>
      </c>
      <c r="C22" s="3"/>
      <c r="D22" s="3"/>
      <c r="E22" s="3"/>
      <c r="F22" s="3"/>
      <c r="G22" s="3"/>
      <c r="H22" s="3"/>
      <c r="I22" s="182"/>
      <c r="K22" s="163"/>
      <c r="L22" s="171"/>
      <c r="M22" s="171"/>
      <c r="N22" s="171"/>
      <c r="O22" s="171"/>
    </row>
    <row r="23" spans="1:17" s="128" customFormat="1" x14ac:dyDescent="0.2">
      <c r="A23" s="3"/>
      <c r="B23" s="184"/>
      <c r="E23" s="183"/>
      <c r="F23" s="185"/>
      <c r="G23" s="185"/>
      <c r="H23" s="185"/>
      <c r="I23" s="185"/>
      <c r="J23" s="178"/>
      <c r="K23" s="186"/>
      <c r="L23" s="171"/>
      <c r="M23" s="171"/>
      <c r="N23" s="171"/>
      <c r="O23" s="171"/>
    </row>
    <row r="24" spans="1:17" x14ac:dyDescent="0.2">
      <c r="A24" s="168"/>
      <c r="B24" s="189"/>
      <c r="C24" s="188"/>
      <c r="D24" s="187"/>
      <c r="E24" s="190"/>
      <c r="F24" s="190"/>
      <c r="G24" s="190"/>
      <c r="H24" s="190"/>
      <c r="I24" s="191"/>
      <c r="J24" s="192"/>
    </row>
    <row r="25" spans="1:17" x14ac:dyDescent="0.2">
      <c r="A25" s="70" t="s">
        <v>299</v>
      </c>
      <c r="B25" s="231">
        <f>IS!H65</f>
        <v>1379.8150250000001</v>
      </c>
    </row>
    <row r="26" spans="1:17" x14ac:dyDescent="0.2">
      <c r="C26" s="195"/>
    </row>
    <row r="27" spans="1:17" x14ac:dyDescent="0.2">
      <c r="A27" s="649" t="s">
        <v>300</v>
      </c>
      <c r="B27" s="39">
        <f>B17-B20</f>
        <v>502852.8694847502</v>
      </c>
    </row>
    <row r="28" spans="1:17" x14ac:dyDescent="0.2">
      <c r="A28" s="649" t="s">
        <v>298</v>
      </c>
      <c r="B28" s="39">
        <f>(B18+B19)/B25</f>
        <v>0.28205136590681784</v>
      </c>
      <c r="C28" s="196"/>
      <c r="D28" s="196"/>
      <c r="E28" s="196"/>
      <c r="F28" s="197"/>
      <c r="G28" s="197"/>
      <c r="H28" s="197"/>
    </row>
    <row r="29" spans="1:17" x14ac:dyDescent="0.2">
      <c r="A29" s="650" t="s">
        <v>494</v>
      </c>
      <c r="B29" s="39">
        <f>B28+B27</f>
        <v>502853.15153611609</v>
      </c>
      <c r="C29" s="198"/>
      <c r="D29" s="198"/>
      <c r="E29" s="198"/>
      <c r="F29" s="198"/>
      <c r="G29" s="198"/>
      <c r="H29" s="198"/>
    </row>
    <row r="30" spans="1:17" x14ac:dyDescent="0.2">
      <c r="A30" s="70"/>
      <c r="B30" s="70"/>
      <c r="C30" s="70"/>
      <c r="D30" s="70"/>
      <c r="E30" s="70"/>
      <c r="F30" s="70"/>
      <c r="G30" s="70"/>
      <c r="H30" s="70"/>
    </row>
    <row r="31" spans="1:17" x14ac:dyDescent="0.2">
      <c r="A31" s="199"/>
      <c r="B31" s="200"/>
      <c r="C31" s="200"/>
      <c r="D31" s="200"/>
      <c r="E31" s="200"/>
      <c r="F31" s="200"/>
      <c r="G31" s="200"/>
      <c r="H31" s="200"/>
    </row>
    <row r="32" spans="1:17" x14ac:dyDescent="0.2">
      <c r="A32" s="70"/>
      <c r="B32" s="201"/>
      <c r="C32" s="201"/>
      <c r="D32" s="201"/>
      <c r="E32" s="201"/>
      <c r="F32" s="201"/>
      <c r="G32" s="201"/>
      <c r="H32" s="201"/>
    </row>
    <row r="33" spans="1:8" x14ac:dyDescent="0.2">
      <c r="A33" s="70"/>
      <c r="B33" s="202"/>
      <c r="C33" s="202"/>
      <c r="D33" s="202"/>
      <c r="E33" s="202"/>
      <c r="F33" s="202"/>
      <c r="G33" s="202"/>
      <c r="H33" s="202"/>
    </row>
    <row r="34" spans="1:8" x14ac:dyDescent="0.2">
      <c r="A34" s="70"/>
      <c r="B34" s="203"/>
      <c r="C34" s="203"/>
      <c r="D34" s="203"/>
      <c r="E34" s="203"/>
      <c r="F34" s="203"/>
      <c r="G34" s="203"/>
      <c r="H34" s="203"/>
    </row>
    <row r="35" spans="1:8" x14ac:dyDescent="0.2">
      <c r="A35" s="70"/>
      <c r="B35" s="204"/>
      <c r="C35" s="70"/>
      <c r="D35" s="70"/>
      <c r="E35" s="70"/>
      <c r="F35" s="70"/>
      <c r="G35" s="70"/>
      <c r="H35" s="70"/>
    </row>
    <row r="36" spans="1:8" x14ac:dyDescent="0.2">
      <c r="A36" s="70"/>
      <c r="B36" s="205"/>
      <c r="C36" s="70"/>
      <c r="D36" s="70"/>
      <c r="E36" s="70"/>
      <c r="F36" s="201"/>
      <c r="G36" s="201"/>
      <c r="H36" s="201"/>
    </row>
    <row r="37" spans="1:8" x14ac:dyDescent="0.2">
      <c r="A37" s="70"/>
      <c r="B37" s="205"/>
      <c r="C37" s="70"/>
      <c r="D37" s="70"/>
      <c r="E37" s="70"/>
      <c r="F37" s="70"/>
      <c r="G37" s="70"/>
      <c r="H37" s="70"/>
    </row>
    <row r="38" spans="1:8" x14ac:dyDescent="0.2">
      <c r="A38" s="70"/>
      <c r="B38" s="205"/>
      <c r="C38" s="70"/>
      <c r="D38" s="70"/>
      <c r="E38" s="70"/>
      <c r="F38" s="70"/>
      <c r="G38" s="70"/>
      <c r="H38" s="70"/>
    </row>
    <row r="39" spans="1:8" x14ac:dyDescent="0.2">
      <c r="A39" s="199"/>
      <c r="B39" s="206"/>
      <c r="C39" s="70"/>
      <c r="D39" s="70"/>
      <c r="E39" s="70"/>
      <c r="F39" s="70"/>
      <c r="G39" s="70"/>
      <c r="H39" s="70"/>
    </row>
    <row r="40" spans="1:8" x14ac:dyDescent="0.2">
      <c r="A40" s="199"/>
      <c r="B40" s="206"/>
      <c r="C40" s="70"/>
      <c r="D40" s="70"/>
      <c r="E40" s="70"/>
      <c r="F40" s="70"/>
      <c r="G40" s="70"/>
      <c r="H40" s="70"/>
    </row>
    <row r="41" spans="1:8" x14ac:dyDescent="0.2">
      <c r="A41" s="199"/>
      <c r="B41" s="206"/>
      <c r="C41" s="70"/>
      <c r="D41" s="70"/>
      <c r="E41" s="70"/>
      <c r="F41" s="70"/>
      <c r="G41" s="70"/>
      <c r="H41" s="70"/>
    </row>
    <row r="42" spans="1:8" x14ac:dyDescent="0.2">
      <c r="A42" s="199"/>
      <c r="B42" s="207"/>
      <c r="C42" s="70"/>
      <c r="D42" s="70"/>
      <c r="E42" s="70"/>
      <c r="F42" s="70"/>
      <c r="G42" s="70"/>
      <c r="H42" s="70"/>
    </row>
    <row r="43" spans="1:8" x14ac:dyDescent="0.2">
      <c r="A43" s="70"/>
      <c r="B43" s="70"/>
      <c r="C43" s="70"/>
      <c r="D43" s="70"/>
      <c r="E43" s="70"/>
      <c r="F43" s="70"/>
      <c r="G43" s="70"/>
      <c r="H43" s="70"/>
    </row>
    <row r="44" spans="1:8" x14ac:dyDescent="0.2">
      <c r="A44" s="208"/>
      <c r="B44" s="209"/>
      <c r="C44" s="209"/>
      <c r="D44" s="209"/>
      <c r="E44" s="209"/>
      <c r="F44" s="209"/>
      <c r="G44" s="209"/>
      <c r="H44" s="209"/>
    </row>
    <row r="45" spans="1:8" x14ac:dyDescent="0.2">
      <c r="A45" s="70"/>
      <c r="B45" s="201"/>
      <c r="C45" s="201"/>
      <c r="D45" s="201"/>
      <c r="E45" s="201"/>
      <c r="F45" s="201"/>
      <c r="G45" s="201"/>
      <c r="H45" s="201"/>
    </row>
    <row r="46" spans="1:8" x14ac:dyDescent="0.2">
      <c r="A46" s="70"/>
      <c r="B46" s="210"/>
      <c r="C46" s="210"/>
      <c r="D46" s="210"/>
      <c r="E46" s="210"/>
      <c r="F46" s="210"/>
      <c r="G46" s="210"/>
      <c r="H46" s="210"/>
    </row>
    <row r="47" spans="1:8" x14ac:dyDescent="0.2">
      <c r="A47" s="70"/>
      <c r="B47" s="203"/>
      <c r="C47" s="203"/>
      <c r="D47" s="203"/>
      <c r="E47" s="203"/>
      <c r="F47" s="203"/>
      <c r="G47" s="203"/>
      <c r="H47" s="203"/>
    </row>
    <row r="48" spans="1:8" x14ac:dyDescent="0.2">
      <c r="A48" s="70"/>
      <c r="B48" s="204"/>
      <c r="C48" s="70"/>
      <c r="D48" s="70"/>
      <c r="E48" s="70"/>
      <c r="F48" s="70"/>
      <c r="G48" s="70"/>
      <c r="H48" s="70"/>
    </row>
    <row r="49" spans="1:8" x14ac:dyDescent="0.2">
      <c r="A49" s="70"/>
      <c r="B49" s="205"/>
      <c r="C49" s="70"/>
      <c r="D49" s="70"/>
      <c r="E49" s="70"/>
      <c r="F49" s="70"/>
      <c r="G49" s="70"/>
      <c r="H49" s="70"/>
    </row>
    <row r="50" spans="1:8" x14ac:dyDescent="0.2">
      <c r="A50" s="70"/>
      <c r="B50" s="205"/>
      <c r="C50" s="70"/>
      <c r="D50" s="70"/>
      <c r="E50" s="70"/>
      <c r="F50" s="70"/>
      <c r="G50" s="70"/>
      <c r="H50" s="70"/>
    </row>
    <row r="51" spans="1:8" x14ac:dyDescent="0.2">
      <c r="A51" s="70"/>
      <c r="B51" s="205"/>
      <c r="C51" s="70"/>
      <c r="D51" s="70"/>
      <c r="E51" s="70"/>
      <c r="F51" s="70"/>
      <c r="G51" s="70"/>
      <c r="H51" s="70"/>
    </row>
    <row r="52" spans="1:8" x14ac:dyDescent="0.2">
      <c r="A52" s="208"/>
      <c r="B52" s="211"/>
      <c r="C52" s="70"/>
      <c r="D52" s="70"/>
      <c r="E52" s="70"/>
      <c r="F52" s="70"/>
      <c r="G52" s="70"/>
      <c r="H52" s="70"/>
    </row>
    <row r="53" spans="1:8" x14ac:dyDescent="0.2">
      <c r="A53" s="208"/>
      <c r="B53" s="211"/>
      <c r="C53" s="70"/>
      <c r="D53" s="70"/>
      <c r="E53" s="70"/>
      <c r="F53" s="70"/>
      <c r="G53" s="70"/>
      <c r="H53" s="70"/>
    </row>
    <row r="54" spans="1:8" x14ac:dyDescent="0.2">
      <c r="A54" s="208"/>
      <c r="B54" s="211"/>
      <c r="C54" s="70"/>
      <c r="D54" s="70"/>
      <c r="E54" s="70"/>
      <c r="F54" s="70"/>
      <c r="G54" s="70"/>
      <c r="H54" s="70"/>
    </row>
    <row r="55" spans="1:8" x14ac:dyDescent="0.2">
      <c r="A55" s="208"/>
      <c r="B55" s="212"/>
      <c r="C55" s="70"/>
      <c r="D55" s="70"/>
      <c r="E55" s="70"/>
      <c r="F55" s="70"/>
      <c r="G55" s="70"/>
      <c r="H55" s="70"/>
    </row>
    <row r="56" spans="1:8" x14ac:dyDescent="0.2">
      <c r="A56" s="70"/>
      <c r="B56" s="70"/>
      <c r="C56" s="70"/>
      <c r="D56" s="70"/>
      <c r="E56" s="70"/>
      <c r="F56" s="70"/>
      <c r="G56" s="70"/>
      <c r="H56" s="70"/>
    </row>
    <row r="57" spans="1:8" x14ac:dyDescent="0.2">
      <c r="A57" s="199"/>
      <c r="B57" s="213"/>
      <c r="C57" s="213"/>
      <c r="D57" s="213"/>
      <c r="E57" s="213"/>
      <c r="F57" s="213"/>
      <c r="G57" s="213"/>
      <c r="H57" s="213"/>
    </row>
    <row r="58" spans="1:8" x14ac:dyDescent="0.2">
      <c r="A58" s="70"/>
      <c r="B58" s="201"/>
      <c r="C58" s="201"/>
      <c r="D58" s="201"/>
      <c r="E58" s="201"/>
      <c r="F58" s="201"/>
      <c r="G58" s="201"/>
      <c r="H58" s="201"/>
    </row>
    <row r="59" spans="1:8" x14ac:dyDescent="0.2">
      <c r="A59" s="70"/>
      <c r="B59" s="210"/>
      <c r="C59" s="210"/>
      <c r="D59" s="210"/>
      <c r="E59" s="210"/>
      <c r="F59" s="210"/>
      <c r="G59" s="210"/>
      <c r="H59" s="210"/>
    </row>
    <row r="60" spans="1:8" x14ac:dyDescent="0.2">
      <c r="A60" s="70"/>
      <c r="B60" s="203"/>
      <c r="C60" s="203"/>
      <c r="D60" s="203"/>
      <c r="E60" s="203"/>
      <c r="F60" s="203"/>
      <c r="G60" s="203"/>
      <c r="H60" s="203"/>
    </row>
    <row r="61" spans="1:8" x14ac:dyDescent="0.2">
      <c r="A61" s="70"/>
      <c r="B61" s="204"/>
      <c r="C61" s="70"/>
      <c r="D61" s="70"/>
      <c r="E61" s="70"/>
      <c r="F61" s="70"/>
      <c r="G61" s="70"/>
      <c r="H61" s="70"/>
    </row>
    <row r="62" spans="1:8" x14ac:dyDescent="0.2">
      <c r="A62" s="70"/>
      <c r="B62" s="205"/>
      <c r="C62" s="70"/>
      <c r="D62" s="70"/>
      <c r="E62" s="70"/>
      <c r="F62" s="70"/>
      <c r="G62" s="70"/>
      <c r="H62" s="70"/>
    </row>
    <row r="63" spans="1:8" x14ac:dyDescent="0.2">
      <c r="A63" s="70"/>
      <c r="B63" s="205"/>
      <c r="C63" s="70"/>
      <c r="D63" s="70"/>
      <c r="E63" s="70"/>
      <c r="F63" s="70"/>
      <c r="G63" s="70"/>
      <c r="H63" s="70"/>
    </row>
    <row r="64" spans="1:8" x14ac:dyDescent="0.2">
      <c r="A64" s="70"/>
      <c r="B64" s="205"/>
      <c r="C64" s="70"/>
      <c r="D64" s="70"/>
      <c r="E64" s="70"/>
      <c r="F64" s="70"/>
      <c r="G64" s="70"/>
      <c r="H64" s="70"/>
    </row>
    <row r="65" spans="1:8" x14ac:dyDescent="0.2">
      <c r="A65" s="199"/>
      <c r="B65" s="206"/>
      <c r="C65" s="70"/>
      <c r="D65" s="70"/>
      <c r="E65" s="70"/>
      <c r="F65" s="70"/>
      <c r="G65" s="70"/>
      <c r="H65" s="70"/>
    </row>
    <row r="66" spans="1:8" x14ac:dyDescent="0.2">
      <c r="A66" s="199"/>
      <c r="B66" s="206"/>
      <c r="C66" s="70"/>
      <c r="D66" s="70"/>
      <c r="E66" s="70"/>
      <c r="F66" s="70"/>
      <c r="G66" s="70"/>
      <c r="H66" s="70"/>
    </row>
    <row r="67" spans="1:8" x14ac:dyDescent="0.2">
      <c r="A67" s="199"/>
      <c r="B67" s="206"/>
      <c r="C67" s="70"/>
      <c r="D67" s="70"/>
      <c r="E67" s="70"/>
      <c r="F67" s="70"/>
      <c r="G67" s="70"/>
      <c r="H67" s="70"/>
    </row>
    <row r="68" spans="1:8" x14ac:dyDescent="0.2">
      <c r="A68" s="199"/>
      <c r="B68" s="207"/>
      <c r="C68" s="70"/>
      <c r="D68" s="70"/>
      <c r="E68" s="70"/>
      <c r="F68" s="70"/>
      <c r="G68" s="70"/>
      <c r="H68" s="70"/>
    </row>
    <row r="69" spans="1:8" x14ac:dyDescent="0.2">
      <c r="A69" s="70"/>
      <c r="B69" s="70"/>
      <c r="C69" s="70"/>
      <c r="D69" s="70"/>
      <c r="E69" s="70"/>
      <c r="F69" s="70"/>
      <c r="G69" s="70"/>
      <c r="H69" s="70"/>
    </row>
    <row r="70" spans="1:8" x14ac:dyDescent="0.2">
      <c r="A70" s="208"/>
      <c r="B70" s="209"/>
      <c r="C70" s="209"/>
      <c r="D70" s="209"/>
      <c r="E70" s="209"/>
      <c r="F70" s="209"/>
      <c r="G70" s="209"/>
      <c r="H70" s="209"/>
    </row>
    <row r="71" spans="1:8" x14ac:dyDescent="0.2">
      <c r="A71" s="70"/>
      <c r="B71" s="201"/>
      <c r="C71" s="201"/>
      <c r="D71" s="201"/>
      <c r="E71" s="201"/>
      <c r="F71" s="201"/>
      <c r="G71" s="201"/>
      <c r="H71" s="201"/>
    </row>
    <row r="72" spans="1:8" x14ac:dyDescent="0.2">
      <c r="A72" s="70"/>
      <c r="B72" s="210"/>
      <c r="C72" s="210"/>
      <c r="D72" s="210"/>
      <c r="E72" s="210"/>
      <c r="F72" s="210"/>
      <c r="G72" s="210"/>
      <c r="H72" s="210"/>
    </row>
    <row r="73" spans="1:8" x14ac:dyDescent="0.2">
      <c r="A73" s="70"/>
      <c r="B73" s="203"/>
      <c r="C73" s="203"/>
      <c r="D73" s="203"/>
      <c r="E73" s="203"/>
      <c r="F73" s="203"/>
      <c r="G73" s="203"/>
      <c r="H73" s="203"/>
    </row>
    <row r="74" spans="1:8" x14ac:dyDescent="0.2">
      <c r="A74" s="70"/>
      <c r="B74" s="204"/>
      <c r="C74" s="70"/>
      <c r="D74" s="70"/>
      <c r="E74" s="70"/>
      <c r="F74" s="70"/>
      <c r="G74" s="70"/>
      <c r="H74" s="70"/>
    </row>
    <row r="75" spans="1:8" x14ac:dyDescent="0.2">
      <c r="A75" s="70"/>
      <c r="B75" s="205"/>
      <c r="C75" s="70"/>
      <c r="D75" s="70"/>
      <c r="E75" s="70"/>
      <c r="F75" s="70"/>
      <c r="G75" s="70"/>
      <c r="H75" s="70"/>
    </row>
    <row r="76" spans="1:8" x14ac:dyDescent="0.2">
      <c r="A76" s="70"/>
      <c r="B76" s="205"/>
      <c r="C76" s="70"/>
      <c r="D76" s="70"/>
      <c r="E76" s="70"/>
      <c r="F76" s="70"/>
      <c r="G76" s="70"/>
      <c r="H76" s="70"/>
    </row>
    <row r="77" spans="1:8" x14ac:dyDescent="0.2">
      <c r="A77" s="70"/>
      <c r="B77" s="205"/>
      <c r="C77" s="70"/>
      <c r="D77" s="70"/>
      <c r="E77" s="70"/>
      <c r="F77" s="70"/>
      <c r="G77" s="70"/>
      <c r="H77" s="70"/>
    </row>
    <row r="78" spans="1:8" x14ac:dyDescent="0.2">
      <c r="A78" s="208"/>
      <c r="B78" s="211"/>
      <c r="C78" s="70"/>
      <c r="D78" s="70"/>
      <c r="E78" s="70"/>
      <c r="F78" s="70"/>
      <c r="G78" s="70"/>
      <c r="H78" s="70"/>
    </row>
    <row r="79" spans="1:8" x14ac:dyDescent="0.2">
      <c r="A79" s="208"/>
      <c r="B79" s="211"/>
      <c r="C79" s="70"/>
      <c r="D79" s="70"/>
      <c r="E79" s="70"/>
      <c r="F79" s="70"/>
      <c r="G79" s="70"/>
      <c r="H79" s="70"/>
    </row>
    <row r="80" spans="1:8" x14ac:dyDescent="0.2">
      <c r="A80" s="208"/>
      <c r="B80" s="211"/>
      <c r="C80" s="70"/>
      <c r="D80" s="70"/>
      <c r="E80" s="70"/>
      <c r="F80" s="70"/>
      <c r="G80" s="70"/>
      <c r="H80" s="70"/>
    </row>
    <row r="81" spans="1:17" x14ac:dyDescent="0.2">
      <c r="A81" s="208"/>
      <c r="B81" s="212"/>
      <c r="C81" s="70"/>
      <c r="D81" s="70"/>
      <c r="E81" s="70"/>
      <c r="F81" s="70"/>
      <c r="G81" s="70"/>
      <c r="H81" s="70"/>
    </row>
    <row r="84" spans="1:17" x14ac:dyDescent="0.2">
      <c r="A84" s="214"/>
      <c r="B84" s="215"/>
      <c r="C84" s="215"/>
      <c r="D84" s="215"/>
      <c r="E84" s="215"/>
    </row>
    <row r="85" spans="1:17" x14ac:dyDescent="0.2">
      <c r="A85" s="216"/>
      <c r="B85" s="217"/>
      <c r="C85" s="217"/>
      <c r="D85" s="216"/>
      <c r="E85" s="218"/>
    </row>
    <row r="86" spans="1:17" x14ac:dyDescent="0.2">
      <c r="A86" s="216"/>
      <c r="B86" s="217"/>
      <c r="C86" s="217"/>
      <c r="D86" s="216"/>
      <c r="E86" s="218"/>
      <c r="K86" s="194"/>
    </row>
    <row r="87" spans="1:17" x14ac:dyDescent="0.2">
      <c r="A87" s="216"/>
      <c r="B87" s="217"/>
      <c r="C87" s="217"/>
      <c r="D87" s="216"/>
      <c r="E87" s="218"/>
      <c r="K87" s="194"/>
    </row>
    <row r="88" spans="1:17" x14ac:dyDescent="0.2">
      <c r="A88" s="216"/>
      <c r="B88" s="217"/>
      <c r="C88" s="217"/>
      <c r="D88" s="216"/>
      <c r="E88" s="218"/>
      <c r="L88" s="194"/>
      <c r="M88" s="194"/>
      <c r="N88" s="194"/>
      <c r="O88" s="194"/>
      <c r="P88" s="194"/>
      <c r="Q88" s="194"/>
    </row>
    <row r="89" spans="1:17" x14ac:dyDescent="0.2">
      <c r="A89" s="219"/>
      <c r="B89" s="219"/>
      <c r="C89" s="219"/>
      <c r="D89" s="219"/>
      <c r="E89" s="220"/>
      <c r="L89" s="194"/>
      <c r="M89" s="194"/>
      <c r="N89" s="194"/>
      <c r="O89" s="194"/>
      <c r="P89" s="194"/>
      <c r="Q89" s="194"/>
    </row>
    <row r="100" spans="2:10" x14ac:dyDescent="0.2">
      <c r="C100" s="194"/>
      <c r="D100" s="194"/>
      <c r="E100" s="194"/>
      <c r="F100" s="194"/>
      <c r="G100" s="194"/>
      <c r="H100" s="194"/>
      <c r="I100" s="194"/>
      <c r="J100" s="194"/>
    </row>
    <row r="101" spans="2:10" x14ac:dyDescent="0.2">
      <c r="C101" s="194"/>
      <c r="D101" s="194"/>
      <c r="E101" s="194"/>
      <c r="F101" s="194"/>
      <c r="G101" s="194"/>
      <c r="H101" s="194"/>
      <c r="I101" s="194"/>
      <c r="J101" s="194"/>
    </row>
    <row r="107" spans="2:10" x14ac:dyDescent="0.2">
      <c r="B107" s="72"/>
      <c r="C107" s="221"/>
      <c r="D107" s="222"/>
      <c r="E107" s="222"/>
    </row>
    <row r="108" spans="2:10" x14ac:dyDescent="0.2">
      <c r="B108" s="72"/>
      <c r="C108" s="223"/>
      <c r="D108" s="72"/>
      <c r="E108" s="72"/>
    </row>
    <row r="109" spans="2:10" x14ac:dyDescent="0.2">
      <c r="B109" s="72"/>
      <c r="C109" s="224"/>
      <c r="D109" s="72"/>
      <c r="E109" s="72"/>
    </row>
    <row r="110" spans="2:10" x14ac:dyDescent="0.2">
      <c r="B110" s="71"/>
      <c r="C110" s="223"/>
      <c r="D110" s="72"/>
      <c r="E110" s="72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M39"/>
  <sheetViews>
    <sheetView showGridLines="0" zoomScale="140" zoomScaleNormal="140" workbookViewId="0">
      <pane xSplit="2" ySplit="5" topLeftCell="E12" activePane="bottomRight" state="frozen"/>
      <selection pane="topRight" activeCell="D1" sqref="D1"/>
      <selection pane="bottomLeft" activeCell="A6" sqref="A6"/>
      <selection pane="bottomRight" activeCell="E8" sqref="E8"/>
    </sheetView>
  </sheetViews>
  <sheetFormatPr defaultColWidth="9.140625" defaultRowHeight="11.25" outlineLevelRow="1" x14ac:dyDescent="0.2"/>
  <cols>
    <col min="1" max="1" width="18.140625" style="3" bestFit="1" customWidth="1"/>
    <col min="2" max="2" width="3" style="3" bestFit="1" customWidth="1"/>
    <col min="3" max="3" width="12.140625" style="3" bestFit="1" customWidth="1"/>
    <col min="4" max="4" width="12.5703125" style="3" bestFit="1" customWidth="1"/>
    <col min="5" max="12" width="12.140625" style="3" bestFit="1" customWidth="1"/>
    <col min="13" max="16384" width="9.140625" style="3"/>
  </cols>
  <sheetData>
    <row r="1" spans="1:13" x14ac:dyDescent="0.2">
      <c r="A1" s="1" t="s">
        <v>447</v>
      </c>
    </row>
    <row r="2" spans="1:13" x14ac:dyDescent="0.2">
      <c r="A2" s="4" t="s">
        <v>155</v>
      </c>
    </row>
    <row r="3" spans="1:13" x14ac:dyDescent="0.2">
      <c r="A3" s="50" t="s">
        <v>156</v>
      </c>
    </row>
    <row r="5" spans="1:13" x14ac:dyDescent="0.2">
      <c r="A5" s="635" t="s">
        <v>157</v>
      </c>
      <c r="B5" s="636"/>
      <c r="C5" s="637">
        <v>2017</v>
      </c>
      <c r="D5" s="637">
        <v>2018</v>
      </c>
      <c r="E5" s="637">
        <v>2019</v>
      </c>
      <c r="F5" s="637">
        <v>2020</v>
      </c>
      <c r="G5" s="637">
        <v>2021</v>
      </c>
      <c r="H5" s="59" t="s">
        <v>176</v>
      </c>
      <c r="I5" s="59" t="s">
        <v>177</v>
      </c>
      <c r="J5" s="59" t="s">
        <v>334</v>
      </c>
      <c r="K5" s="59" t="s">
        <v>356</v>
      </c>
      <c r="L5" s="59" t="s">
        <v>369</v>
      </c>
    </row>
    <row r="7" spans="1:13" x14ac:dyDescent="0.2">
      <c r="A7" s="60" t="s">
        <v>158</v>
      </c>
      <c r="B7" s="61"/>
      <c r="H7" s="572"/>
      <c r="I7" s="572"/>
      <c r="J7" s="572"/>
      <c r="K7" s="572"/>
      <c r="L7" s="572"/>
    </row>
    <row r="8" spans="1:13" outlineLevel="1" x14ac:dyDescent="0.2">
      <c r="A8" s="3" t="s">
        <v>159</v>
      </c>
      <c r="C8" s="15">
        <v>31502.21</v>
      </c>
      <c r="D8" s="15">
        <f>C11</f>
        <v>33088.351999999999</v>
      </c>
      <c r="E8" s="15">
        <f t="shared" ref="E8:L8" si="0">D11</f>
        <v>35089.298999999999</v>
      </c>
      <c r="F8" s="15">
        <f t="shared" si="0"/>
        <v>37152.567999999999</v>
      </c>
      <c r="G8" s="15">
        <f t="shared" si="0"/>
        <v>37607.298999999999</v>
      </c>
      <c r="H8" s="578">
        <f t="shared" si="0"/>
        <v>38463.974999999999</v>
      </c>
      <c r="I8" s="578">
        <f t="shared" si="0"/>
        <v>39887.142074999996</v>
      </c>
      <c r="J8" s="578">
        <f t="shared" si="0"/>
        <v>41362.966331774995</v>
      </c>
      <c r="K8" s="578">
        <f t="shared" si="0"/>
        <v>42893.39608605067</v>
      </c>
      <c r="L8" s="578">
        <f t="shared" si="0"/>
        <v>44480.451741234545</v>
      </c>
    </row>
    <row r="9" spans="1:13" outlineLevel="1" x14ac:dyDescent="0.2">
      <c r="A9" s="3" t="s">
        <v>160</v>
      </c>
      <c r="C9" s="20">
        <v>1621.2809999999999</v>
      </c>
      <c r="D9" s="20">
        <v>2038.1949999999999</v>
      </c>
      <c r="E9" s="20">
        <v>2104.6210000000001</v>
      </c>
      <c r="F9" s="20">
        <v>586.40899999999999</v>
      </c>
      <c r="G9" s="20">
        <v>1007.205</v>
      </c>
      <c r="H9" s="580">
        <f>H8*H12</f>
        <v>1538.559</v>
      </c>
      <c r="I9" s="580">
        <f t="shared" ref="I9:L9" si="1">I8*I12</f>
        <v>1595.4856829999999</v>
      </c>
      <c r="J9" s="580">
        <f t="shared" si="1"/>
        <v>1654.5186532709997</v>
      </c>
      <c r="K9" s="580">
        <f t="shared" si="1"/>
        <v>1715.7358434420269</v>
      </c>
      <c r="L9" s="580">
        <f t="shared" si="1"/>
        <v>1779.2180696493817</v>
      </c>
      <c r="M9" s="3" t="s">
        <v>432</v>
      </c>
    </row>
    <row r="10" spans="1:13" outlineLevel="1" x14ac:dyDescent="0.2">
      <c r="A10" s="3" t="s">
        <v>482</v>
      </c>
      <c r="C10" s="20">
        <v>-35.139000000000003</v>
      </c>
      <c r="D10" s="20">
        <v>-37.247999999999998</v>
      </c>
      <c r="E10" s="20">
        <v>-41.351999999999997</v>
      </c>
      <c r="F10" s="20">
        <f>-11.566-120.112</f>
        <v>-131.678</v>
      </c>
      <c r="G10" s="20">
        <f>-108.977-41.552</f>
        <v>-150.529</v>
      </c>
      <c r="H10" s="580">
        <f>-H8*H13</f>
        <v>-115.391925</v>
      </c>
      <c r="I10" s="580">
        <f t="shared" ref="I10:L10" si="2">-I8*I13</f>
        <v>-119.66142622499999</v>
      </c>
      <c r="J10" s="580">
        <f t="shared" si="2"/>
        <v>-124.08889899532498</v>
      </c>
      <c r="K10" s="580">
        <f t="shared" si="2"/>
        <v>-128.68018825815201</v>
      </c>
      <c r="L10" s="580">
        <f t="shared" si="2"/>
        <v>-133.44135522370362</v>
      </c>
    </row>
    <row r="11" spans="1:13" outlineLevel="1" x14ac:dyDescent="0.2">
      <c r="A11" s="28" t="s">
        <v>161</v>
      </c>
      <c r="C11" s="11">
        <f>SUM(C8:C10)</f>
        <v>33088.351999999999</v>
      </c>
      <c r="D11" s="11">
        <f t="shared" ref="D11:L11" si="3">SUM(D8:D10)</f>
        <v>35089.298999999999</v>
      </c>
      <c r="E11" s="11">
        <f t="shared" si="3"/>
        <v>37152.567999999999</v>
      </c>
      <c r="F11" s="11">
        <f t="shared" si="3"/>
        <v>37607.298999999999</v>
      </c>
      <c r="G11" s="11">
        <f t="shared" si="3"/>
        <v>38463.974999999999</v>
      </c>
      <c r="H11" s="581">
        <f t="shared" si="3"/>
        <v>39887.142074999996</v>
      </c>
      <c r="I11" s="581">
        <f t="shared" si="3"/>
        <v>41362.966331774995</v>
      </c>
      <c r="J11" s="581">
        <f t="shared" si="3"/>
        <v>42893.39608605067</v>
      </c>
      <c r="K11" s="581">
        <f t="shared" si="3"/>
        <v>44480.451741234545</v>
      </c>
      <c r="L11" s="581">
        <f t="shared" si="3"/>
        <v>46126.228455660224</v>
      </c>
    </row>
    <row r="12" spans="1:13" outlineLevel="1" x14ac:dyDescent="0.2">
      <c r="A12" s="62" t="s">
        <v>162</v>
      </c>
      <c r="C12" s="570">
        <f>C9/C8</f>
        <v>5.1465627332177646E-2</v>
      </c>
      <c r="D12" s="570">
        <f t="shared" ref="D12:G12" si="4">D9/D8</f>
        <v>6.1598564957239331E-2</v>
      </c>
      <c r="E12" s="570">
        <f t="shared" si="4"/>
        <v>5.9978998155534542E-2</v>
      </c>
      <c r="F12" s="570">
        <f t="shared" si="4"/>
        <v>1.5783807999490102E-2</v>
      </c>
      <c r="G12" s="570">
        <f t="shared" si="4"/>
        <v>2.6782168004141963E-2</v>
      </c>
      <c r="H12" s="573">
        <v>0.04</v>
      </c>
      <c r="I12" s="573">
        <v>0.04</v>
      </c>
      <c r="J12" s="573">
        <v>0.04</v>
      </c>
      <c r="K12" s="573">
        <v>0.04</v>
      </c>
      <c r="L12" s="573">
        <v>0.04</v>
      </c>
    </row>
    <row r="13" spans="1:13" outlineLevel="1" x14ac:dyDescent="0.2">
      <c r="A13" s="62" t="s">
        <v>483</v>
      </c>
      <c r="C13" s="571">
        <f>-C10/C8</f>
        <v>1.1154455512803706E-3</v>
      </c>
      <c r="D13" s="571">
        <f t="shared" ref="D13:G13" si="5">-D10/D8</f>
        <v>1.1257133628172233E-3</v>
      </c>
      <c r="E13" s="571">
        <f t="shared" si="5"/>
        <v>1.1784789431102628E-3</v>
      </c>
      <c r="F13" s="571">
        <f t="shared" si="5"/>
        <v>3.5442502924696887E-3</v>
      </c>
      <c r="G13" s="571">
        <f t="shared" si="5"/>
        <v>4.002653846531228E-3</v>
      </c>
      <c r="H13" s="574">
        <v>3.0000000000000001E-3</v>
      </c>
      <c r="I13" s="574">
        <v>3.0000000000000001E-3</v>
      </c>
      <c r="J13" s="574">
        <v>3.0000000000000001E-3</v>
      </c>
      <c r="K13" s="574">
        <v>3.0000000000000001E-3</v>
      </c>
      <c r="L13" s="574">
        <v>3.0000000000000001E-3</v>
      </c>
    </row>
    <row r="14" spans="1:13" outlineLevel="1" x14ac:dyDescent="0.2">
      <c r="C14" s="513"/>
      <c r="D14" s="513"/>
      <c r="E14" s="513"/>
      <c r="F14" s="513"/>
      <c r="G14" s="513"/>
      <c r="H14" s="513"/>
      <c r="I14" s="513"/>
      <c r="J14" s="513"/>
      <c r="K14" s="513"/>
      <c r="L14" s="513"/>
    </row>
    <row r="15" spans="1:13" outlineLevel="1" x14ac:dyDescent="0.2">
      <c r="A15" s="3" t="s">
        <v>163</v>
      </c>
      <c r="C15" s="14">
        <v>9800.9599999999991</v>
      </c>
      <c r="D15" s="14">
        <f>C20</f>
        <v>11084.408999999998</v>
      </c>
      <c r="E15" s="14">
        <f t="shared" ref="E15:L15" si="6">D20</f>
        <v>12464.885999999999</v>
      </c>
      <c r="F15" s="14">
        <f t="shared" si="6"/>
        <v>13949.637999999999</v>
      </c>
      <c r="G15" s="14">
        <f t="shared" si="6"/>
        <v>15542.127</v>
      </c>
      <c r="H15" s="576">
        <f t="shared" si="6"/>
        <v>17041.759999999998</v>
      </c>
      <c r="I15" s="576">
        <f t="shared" si="6"/>
        <v>19010.083279999999</v>
      </c>
      <c r="J15" s="576">
        <f t="shared" si="6"/>
        <v>21215.252940480001</v>
      </c>
      <c r="K15" s="576">
        <f t="shared" si="6"/>
        <v>23686.829908045922</v>
      </c>
      <c r="L15" s="576">
        <f t="shared" si="6"/>
        <v>26458.189007287292</v>
      </c>
    </row>
    <row r="16" spans="1:13" outlineLevel="1" x14ac:dyDescent="0.2">
      <c r="A16" s="63" t="s">
        <v>164</v>
      </c>
      <c r="C16" s="570">
        <f>C17/C15</f>
        <v>0.13427225496277917</v>
      </c>
      <c r="D16" s="570">
        <f t="shared" ref="D16:G16" si="7">D17/D15</f>
        <v>0.12786193652724293</v>
      </c>
      <c r="E16" s="570">
        <f t="shared" si="7"/>
        <v>0.12197921425033492</v>
      </c>
      <c r="F16" s="570">
        <f t="shared" si="7"/>
        <v>0.12285171844602708</v>
      </c>
      <c r="G16" s="570">
        <f t="shared" si="7"/>
        <v>0.10127519869062966</v>
      </c>
      <c r="H16" s="573">
        <v>0.12</v>
      </c>
      <c r="I16" s="573">
        <v>0.12</v>
      </c>
      <c r="J16" s="573">
        <v>0.12</v>
      </c>
      <c r="K16" s="573">
        <v>0.12</v>
      </c>
      <c r="L16" s="573">
        <v>0.12</v>
      </c>
    </row>
    <row r="17" spans="1:13" outlineLevel="1" x14ac:dyDescent="0.2">
      <c r="A17" s="3" t="s">
        <v>165</v>
      </c>
      <c r="C17" s="15">
        <v>1315.9970000000001</v>
      </c>
      <c r="D17" s="15">
        <v>1417.2739999999999</v>
      </c>
      <c r="E17" s="15">
        <v>1520.4570000000001</v>
      </c>
      <c r="F17" s="15">
        <v>1713.7370000000001</v>
      </c>
      <c r="G17" s="15">
        <v>1574.0319999999999</v>
      </c>
      <c r="H17" s="578">
        <f>H16*H15</f>
        <v>2045.0111999999997</v>
      </c>
      <c r="I17" s="578">
        <f t="shared" ref="I17:L17" si="8">I16*I15</f>
        <v>2281.2099936</v>
      </c>
      <c r="J17" s="578">
        <f t="shared" si="8"/>
        <v>2545.8303528575998</v>
      </c>
      <c r="K17" s="578">
        <f t="shared" si="8"/>
        <v>2842.4195889655107</v>
      </c>
      <c r="L17" s="578">
        <f t="shared" si="8"/>
        <v>3174.9826808744751</v>
      </c>
      <c r="M17" s="3" t="s">
        <v>431</v>
      </c>
    </row>
    <row r="18" spans="1:13" outlineLevel="1" x14ac:dyDescent="0.2">
      <c r="A18" s="3" t="s">
        <v>481</v>
      </c>
      <c r="C18" s="15">
        <v>-32.548000000000002</v>
      </c>
      <c r="D18" s="15">
        <v>-36.796999999999997</v>
      </c>
      <c r="E18" s="15">
        <v>-35.704999999999998</v>
      </c>
      <c r="F18" s="15">
        <f>-10.448-110.8</f>
        <v>-121.24799999999999</v>
      </c>
      <c r="G18" s="15">
        <f>-59.163-15.236</f>
        <v>-74.399000000000001</v>
      </c>
      <c r="H18" s="578">
        <f>-H15*H19</f>
        <v>-76.687919999999991</v>
      </c>
      <c r="I18" s="578">
        <f t="shared" ref="I18:L18" si="9">-I15*I19</f>
        <v>-76.04033312</v>
      </c>
      <c r="J18" s="578">
        <f t="shared" si="9"/>
        <v>-74.253385291680004</v>
      </c>
      <c r="K18" s="578">
        <f t="shared" si="9"/>
        <v>-71.060489724137767</v>
      </c>
      <c r="L18" s="578">
        <f t="shared" si="9"/>
        <v>-79.374567021861878</v>
      </c>
    </row>
    <row r="19" spans="1:13" outlineLevel="1" x14ac:dyDescent="0.2">
      <c r="A19" s="3" t="s">
        <v>483</v>
      </c>
      <c r="C19" s="575">
        <f>-C18/C15</f>
        <v>3.3208991772234559E-3</v>
      </c>
      <c r="D19" s="575">
        <f t="shared" ref="D19:G19" si="10">-D18/D15</f>
        <v>3.3197078888012889E-3</v>
      </c>
      <c r="E19" s="575">
        <f t="shared" si="10"/>
        <v>2.8644465741604055E-3</v>
      </c>
      <c r="F19" s="575">
        <f t="shared" si="10"/>
        <v>8.691838454876033E-3</v>
      </c>
      <c r="G19" s="575">
        <f t="shared" si="10"/>
        <v>4.7869252387398456E-3</v>
      </c>
      <c r="H19" s="574">
        <v>4.4999999999999997E-3</v>
      </c>
      <c r="I19" s="574">
        <v>4.0000000000000001E-3</v>
      </c>
      <c r="J19" s="574">
        <v>3.5000000000000001E-3</v>
      </c>
      <c r="K19" s="574">
        <v>3.0000000000000001E-3</v>
      </c>
      <c r="L19" s="574">
        <v>3.0000000000000001E-3</v>
      </c>
    </row>
    <row r="20" spans="1:13" outlineLevel="1" x14ac:dyDescent="0.2">
      <c r="A20" s="3" t="s">
        <v>166</v>
      </c>
      <c r="C20" s="120">
        <f>C15+C17+C18</f>
        <v>11084.408999999998</v>
      </c>
      <c r="D20" s="120">
        <f>SUM(D17:D18,D15)</f>
        <v>12464.885999999999</v>
      </c>
      <c r="E20" s="120">
        <f t="shared" ref="E20:L20" si="11">E15+E17+E18</f>
        <v>13949.637999999999</v>
      </c>
      <c r="F20" s="120">
        <f t="shared" si="11"/>
        <v>15542.127</v>
      </c>
      <c r="G20" s="120">
        <f t="shared" si="11"/>
        <v>17041.759999999998</v>
      </c>
      <c r="H20" s="579">
        <f t="shared" si="11"/>
        <v>19010.083279999999</v>
      </c>
      <c r="I20" s="579">
        <f t="shared" si="11"/>
        <v>21215.252940480001</v>
      </c>
      <c r="J20" s="579">
        <f t="shared" si="11"/>
        <v>23686.829908045922</v>
      </c>
      <c r="K20" s="579">
        <f t="shared" si="11"/>
        <v>26458.189007287292</v>
      </c>
      <c r="L20" s="579">
        <f t="shared" si="11"/>
        <v>29553.797121139905</v>
      </c>
    </row>
    <row r="21" spans="1:13" outlineLevel="1" x14ac:dyDescent="0.2">
      <c r="A21" s="28" t="s">
        <v>167</v>
      </c>
      <c r="B21" s="28"/>
      <c r="C21" s="11">
        <f>C11-C20</f>
        <v>22003.942999999999</v>
      </c>
      <c r="D21" s="11">
        <f t="shared" ref="D21:L21" si="12">D11-D20</f>
        <v>22624.413</v>
      </c>
      <c r="E21" s="11">
        <f t="shared" si="12"/>
        <v>23202.93</v>
      </c>
      <c r="F21" s="11">
        <f t="shared" si="12"/>
        <v>22065.171999999999</v>
      </c>
      <c r="G21" s="11">
        <f t="shared" si="12"/>
        <v>21422.215</v>
      </c>
      <c r="H21" s="11">
        <f t="shared" si="12"/>
        <v>20877.058794999997</v>
      </c>
      <c r="I21" s="11">
        <f t="shared" si="12"/>
        <v>20147.713391294994</v>
      </c>
      <c r="J21" s="11">
        <f t="shared" si="12"/>
        <v>19206.566178004749</v>
      </c>
      <c r="K21" s="11">
        <f t="shared" si="12"/>
        <v>18022.262733947253</v>
      </c>
      <c r="L21" s="11">
        <f t="shared" si="12"/>
        <v>16572.431334520319</v>
      </c>
      <c r="M21" s="3" t="s">
        <v>433</v>
      </c>
    </row>
    <row r="22" spans="1:13" x14ac:dyDescent="0.2">
      <c r="C22" s="513"/>
      <c r="D22" s="513"/>
      <c r="E22" s="513"/>
      <c r="F22" s="513"/>
      <c r="G22" s="513"/>
      <c r="H22" s="513"/>
      <c r="I22" s="513"/>
      <c r="J22" s="513"/>
      <c r="K22" s="513"/>
      <c r="L22" s="513"/>
    </row>
    <row r="23" spans="1:13" x14ac:dyDescent="0.2">
      <c r="A23" s="60" t="s">
        <v>168</v>
      </c>
      <c r="B23" s="61"/>
      <c r="C23" s="11">
        <f>SUM(C24:C26)</f>
        <v>1315.9970000000001</v>
      </c>
      <c r="D23" s="11">
        <f t="shared" ref="D23:H23" si="13">SUM(D24:D26)</f>
        <v>1417.2739999999999</v>
      </c>
      <c r="E23" s="11">
        <f t="shared" si="13"/>
        <v>1520.4569999999999</v>
      </c>
      <c r="F23" s="11">
        <f t="shared" si="13"/>
        <v>1728.817</v>
      </c>
      <c r="G23" s="11">
        <f t="shared" si="13"/>
        <v>1599.5509999999999</v>
      </c>
      <c r="H23" s="581">
        <f t="shared" si="13"/>
        <v>2045.0111999999997</v>
      </c>
      <c r="I23" s="581">
        <f t="shared" ref="I23" si="14">SUM(I24:I26)</f>
        <v>2281.2099935999995</v>
      </c>
      <c r="J23" s="581">
        <f t="shared" ref="J23" si="15">SUM(J24:J26)</f>
        <v>2545.8303528575998</v>
      </c>
      <c r="K23" s="581">
        <f t="shared" ref="K23" si="16">SUM(K24:K26)</f>
        <v>2842.4195889655111</v>
      </c>
      <c r="L23" s="581">
        <f t="shared" ref="L23" si="17">SUM(L24:L26)</f>
        <v>3174.9826808744751</v>
      </c>
    </row>
    <row r="24" spans="1:13" x14ac:dyDescent="0.2">
      <c r="A24" s="9" t="s">
        <v>434</v>
      </c>
      <c r="C24" s="39">
        <f>IS!C26</f>
        <v>1296.0550000000001</v>
      </c>
      <c r="D24" s="39">
        <f>IS!D26</f>
        <v>1395.569</v>
      </c>
      <c r="E24" s="39">
        <f>IS!E26</f>
        <v>1498.617</v>
      </c>
      <c r="F24" s="39">
        <f>IS!F26</f>
        <v>1693.5250000000001</v>
      </c>
      <c r="G24" s="39">
        <f>IS!G26</f>
        <v>1555.5</v>
      </c>
      <c r="H24" s="584">
        <f>H29*H17</f>
        <v>2004.1109759999997</v>
      </c>
      <c r="I24" s="584">
        <f t="shared" ref="I24:L24" si="18">I29*I17</f>
        <v>2235.5857937279998</v>
      </c>
      <c r="J24" s="584">
        <f t="shared" si="18"/>
        <v>2494.9137458004479</v>
      </c>
      <c r="K24" s="584">
        <f t="shared" si="18"/>
        <v>2785.5711971862006</v>
      </c>
      <c r="L24" s="584">
        <f t="shared" si="18"/>
        <v>3111.4830272569857</v>
      </c>
    </row>
    <row r="25" spans="1:13" x14ac:dyDescent="0.2">
      <c r="A25" s="29" t="s">
        <v>170</v>
      </c>
      <c r="C25" s="39">
        <f>IS!C35</f>
        <v>15.256</v>
      </c>
      <c r="D25" s="39">
        <f>IS!D35</f>
        <v>17.042999999999999</v>
      </c>
      <c r="E25" s="39">
        <f>IS!E35</f>
        <v>16.096</v>
      </c>
      <c r="F25" s="39">
        <f>IS!F35</f>
        <v>29.414999999999999</v>
      </c>
      <c r="G25" s="39">
        <f>IS!G35</f>
        <v>34.430999999999997</v>
      </c>
      <c r="H25" s="584">
        <f>H30*H17</f>
        <v>30.675167999999996</v>
      </c>
      <c r="I25" s="584">
        <f t="shared" ref="I25:L25" si="19">I30*I17</f>
        <v>34.218149904000001</v>
      </c>
      <c r="J25" s="584">
        <f t="shared" si="19"/>
        <v>38.187455292863994</v>
      </c>
      <c r="K25" s="584">
        <f t="shared" si="19"/>
        <v>42.636293834482657</v>
      </c>
      <c r="L25" s="584">
        <f t="shared" si="19"/>
        <v>47.624740213117128</v>
      </c>
    </row>
    <row r="26" spans="1:13" x14ac:dyDescent="0.2">
      <c r="A26" s="29" t="s">
        <v>171</v>
      </c>
      <c r="C26" s="39">
        <f>IS!C44</f>
        <v>4.6859999999999999</v>
      </c>
      <c r="D26" s="39">
        <f>IS!D44</f>
        <v>4.6619999999999999</v>
      </c>
      <c r="E26" s="39">
        <f>IS!E44</f>
        <v>5.7439999999999998</v>
      </c>
      <c r="F26" s="39">
        <f>IS!F44</f>
        <v>5.8769999999999998</v>
      </c>
      <c r="G26" s="39">
        <f>IS!G44</f>
        <v>9.6199999999999992</v>
      </c>
      <c r="H26" s="584">
        <f>H31*H17</f>
        <v>10.225055999999999</v>
      </c>
      <c r="I26" s="584">
        <f t="shared" ref="I26:L26" si="20">I31*I17</f>
        <v>11.406049968</v>
      </c>
      <c r="J26" s="584">
        <f t="shared" si="20"/>
        <v>12.729151764288</v>
      </c>
      <c r="K26" s="584">
        <f t="shared" si="20"/>
        <v>14.212097944827553</v>
      </c>
      <c r="L26" s="584">
        <f t="shared" si="20"/>
        <v>15.874913404372377</v>
      </c>
    </row>
    <row r="27" spans="1:13" x14ac:dyDescent="0.2">
      <c r="A27" s="28"/>
      <c r="C27" s="569"/>
      <c r="D27" s="569"/>
      <c r="E27" s="569"/>
      <c r="F27" s="513"/>
      <c r="G27" s="513"/>
      <c r="H27" s="513"/>
      <c r="I27" s="513"/>
      <c r="J27" s="513"/>
      <c r="K27" s="513"/>
      <c r="L27" s="513"/>
    </row>
    <row r="28" spans="1:13" x14ac:dyDescent="0.2">
      <c r="A28" s="28" t="s">
        <v>226</v>
      </c>
      <c r="C28" s="513"/>
      <c r="D28" s="513"/>
      <c r="E28" s="513"/>
      <c r="F28" s="513"/>
      <c r="G28" s="513"/>
      <c r="H28" s="583"/>
      <c r="I28" s="583"/>
      <c r="J28" s="583"/>
      <c r="K28" s="583"/>
      <c r="L28" s="583"/>
    </row>
    <row r="29" spans="1:13" x14ac:dyDescent="0.2">
      <c r="A29" s="9" t="s">
        <v>169</v>
      </c>
      <c r="C29" s="582">
        <f>C24/C23</f>
        <v>0.98484647001474923</v>
      </c>
      <c r="D29" s="582">
        <f t="shared" ref="D29:G29" si="21">D24/D23</f>
        <v>0.98468538899323632</v>
      </c>
      <c r="E29" s="582">
        <f t="shared" si="21"/>
        <v>0.98563589762814741</v>
      </c>
      <c r="F29" s="582">
        <f t="shared" si="21"/>
        <v>0.97958604062778198</v>
      </c>
      <c r="G29" s="582">
        <f t="shared" si="21"/>
        <v>0.97246039669882367</v>
      </c>
      <c r="H29" s="586">
        <v>0.98</v>
      </c>
      <c r="I29" s="586">
        <v>0.98</v>
      </c>
      <c r="J29" s="586">
        <v>0.98</v>
      </c>
      <c r="K29" s="586">
        <v>0.98</v>
      </c>
      <c r="L29" s="586">
        <v>0.98</v>
      </c>
    </row>
    <row r="30" spans="1:13" x14ac:dyDescent="0.2">
      <c r="A30" s="29" t="s">
        <v>170</v>
      </c>
      <c r="C30" s="585">
        <f>C25/C23</f>
        <v>1.1592731594372935E-2</v>
      </c>
      <c r="D30" s="585">
        <f t="shared" ref="D30:G30" si="22">D25/D23</f>
        <v>1.2025197668199657E-2</v>
      </c>
      <c r="E30" s="585">
        <f t="shared" si="22"/>
        <v>1.0586290832295817E-2</v>
      </c>
      <c r="F30" s="585">
        <f t="shared" si="22"/>
        <v>1.7014524961288555E-2</v>
      </c>
      <c r="G30" s="585">
        <f t="shared" si="22"/>
        <v>2.1525415569744258E-2</v>
      </c>
      <c r="H30" s="587">
        <v>1.4999999999999999E-2</v>
      </c>
      <c r="I30" s="587">
        <v>1.4999999999999999E-2</v>
      </c>
      <c r="J30" s="587">
        <v>1.4999999999999999E-2</v>
      </c>
      <c r="K30" s="587">
        <v>1.4999999999999999E-2</v>
      </c>
      <c r="L30" s="587">
        <v>1.4999999999999999E-2</v>
      </c>
    </row>
    <row r="31" spans="1:13" x14ac:dyDescent="0.2">
      <c r="A31" s="29" t="s">
        <v>171</v>
      </c>
      <c r="C31" s="585">
        <f>C26/C23</f>
        <v>3.5607983908777906E-3</v>
      </c>
      <c r="D31" s="585">
        <f t="shared" ref="D31:G31" si="23">D26/D23</f>
        <v>3.2894133385640324E-3</v>
      </c>
      <c r="E31" s="585">
        <f t="shared" si="23"/>
        <v>3.7778115395568569E-3</v>
      </c>
      <c r="F31" s="585">
        <f t="shared" si="23"/>
        <v>3.3994344109295545E-3</v>
      </c>
      <c r="G31" s="585">
        <f t="shared" si="23"/>
        <v>6.0141877314321326E-3</v>
      </c>
      <c r="H31" s="587">
        <v>5.0000000000000001E-3</v>
      </c>
      <c r="I31" s="587">
        <v>5.0000000000000001E-3</v>
      </c>
      <c r="J31" s="587">
        <v>5.0000000000000001E-3</v>
      </c>
      <c r="K31" s="587">
        <v>5.0000000000000001E-3</v>
      </c>
      <c r="L31" s="587">
        <v>5.0000000000000001E-3</v>
      </c>
    </row>
    <row r="32" spans="1:13" x14ac:dyDescent="0.2">
      <c r="C32" s="513"/>
      <c r="D32" s="513"/>
      <c r="E32" s="513"/>
      <c r="F32" s="513"/>
      <c r="G32" s="513"/>
      <c r="H32" s="513"/>
      <c r="I32" s="513"/>
      <c r="J32" s="513"/>
      <c r="K32" s="513"/>
      <c r="L32" s="513"/>
    </row>
    <row r="33" spans="3:12" x14ac:dyDescent="0.2">
      <c r="C33" s="513"/>
      <c r="D33" s="513"/>
      <c r="E33" s="513"/>
      <c r="F33" s="513"/>
      <c r="G33" s="513"/>
      <c r="H33" s="513"/>
      <c r="I33" s="513"/>
      <c r="J33" s="513"/>
      <c r="K33" s="513"/>
      <c r="L33" s="513"/>
    </row>
    <row r="34" spans="3:12" x14ac:dyDescent="0.2">
      <c r="C34" s="513"/>
      <c r="D34" s="513"/>
      <c r="E34" s="513"/>
      <c r="F34" s="513"/>
      <c r="G34" s="513"/>
      <c r="H34" s="513"/>
      <c r="I34" s="513"/>
      <c r="J34" s="513"/>
      <c r="K34" s="513"/>
      <c r="L34" s="513"/>
    </row>
    <row r="35" spans="3:12" x14ac:dyDescent="0.2">
      <c r="C35" s="513"/>
      <c r="D35" s="513"/>
      <c r="E35" s="513"/>
      <c r="F35" s="513"/>
      <c r="G35" s="513"/>
      <c r="H35" s="513"/>
      <c r="I35" s="513"/>
      <c r="J35" s="513"/>
      <c r="K35" s="513"/>
      <c r="L35" s="513"/>
    </row>
    <row r="36" spans="3:12" x14ac:dyDescent="0.2">
      <c r="C36" s="513"/>
      <c r="D36" s="513"/>
      <c r="E36" s="513"/>
      <c r="F36" s="513"/>
      <c r="G36" s="513"/>
      <c r="H36" s="513"/>
      <c r="I36" s="513"/>
      <c r="J36" s="513"/>
      <c r="K36" s="513"/>
      <c r="L36" s="513"/>
    </row>
    <row r="37" spans="3:12" x14ac:dyDescent="0.2">
      <c r="C37" s="513"/>
      <c r="D37" s="513"/>
      <c r="E37" s="513"/>
      <c r="F37" s="513"/>
      <c r="G37" s="513"/>
      <c r="H37" s="513"/>
      <c r="I37" s="513"/>
      <c r="J37" s="513"/>
      <c r="K37" s="513"/>
      <c r="L37" s="513"/>
    </row>
    <row r="38" spans="3:12" x14ac:dyDescent="0.2">
      <c r="C38" s="513"/>
      <c r="D38" s="513"/>
      <c r="E38" s="513"/>
      <c r="F38" s="513"/>
      <c r="G38" s="513"/>
      <c r="H38" s="513"/>
      <c r="I38" s="513"/>
      <c r="J38" s="513"/>
      <c r="K38" s="513"/>
      <c r="L38" s="513"/>
    </row>
    <row r="39" spans="3:12" x14ac:dyDescent="0.2">
      <c r="C39" s="513"/>
      <c r="D39" s="513"/>
      <c r="E39" s="513"/>
      <c r="F39" s="513"/>
      <c r="G39" s="513"/>
      <c r="H39" s="513"/>
      <c r="I39" s="513"/>
      <c r="J39" s="513"/>
      <c r="K39" s="513"/>
      <c r="L39" s="513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4"/>
  <sheetViews>
    <sheetView showGridLines="0" zoomScale="140" zoomScaleNormal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0" sqref="L10"/>
    </sheetView>
  </sheetViews>
  <sheetFormatPr defaultColWidth="9.140625" defaultRowHeight="11.25" x14ac:dyDescent="0.2"/>
  <cols>
    <col min="1" max="1" width="24.28515625" style="3" bestFit="1" customWidth="1"/>
    <col min="2" max="2" width="11" style="3" customWidth="1"/>
    <col min="3" max="5" width="8.7109375" style="3" bestFit="1" customWidth="1"/>
    <col min="6" max="6" width="9.28515625" style="3" bestFit="1" customWidth="1"/>
    <col min="7" max="11" width="10.85546875" style="3" bestFit="1" customWidth="1"/>
    <col min="12" max="16384" width="9.140625" style="3"/>
  </cols>
  <sheetData>
    <row r="1" spans="1:11" x14ac:dyDescent="0.2">
      <c r="A1" s="635" t="s">
        <v>189</v>
      </c>
      <c r="B1" s="637">
        <v>2017</v>
      </c>
      <c r="C1" s="637" t="s">
        <v>3</v>
      </c>
      <c r="D1" s="637">
        <v>2019</v>
      </c>
      <c r="E1" s="637">
        <v>2020</v>
      </c>
      <c r="F1" s="637">
        <v>2021</v>
      </c>
      <c r="G1" s="7" t="s">
        <v>176</v>
      </c>
      <c r="H1" s="7" t="s">
        <v>177</v>
      </c>
      <c r="I1" s="7" t="s">
        <v>334</v>
      </c>
      <c r="J1" s="7" t="s">
        <v>356</v>
      </c>
      <c r="K1" s="7" t="s">
        <v>369</v>
      </c>
    </row>
    <row r="2" spans="1:11" x14ac:dyDescent="0.2">
      <c r="A2" s="67" t="s">
        <v>190</v>
      </c>
      <c r="B2" s="463">
        <f>SUM(B4:B5)</f>
        <v>811.78399999999999</v>
      </c>
      <c r="C2" s="463">
        <f t="shared" ref="C2:F2" si="0">SUM(C4:C5)</f>
        <v>1386.404</v>
      </c>
      <c r="D2" s="463">
        <f t="shared" si="0"/>
        <v>1327.1220000000001</v>
      </c>
      <c r="E2" s="463">
        <f t="shared" si="0"/>
        <v>542.30799999999999</v>
      </c>
      <c r="F2" s="463">
        <f t="shared" si="0"/>
        <v>180.14599999999999</v>
      </c>
      <c r="G2" s="601">
        <f>G4+G5</f>
        <v>169.921875</v>
      </c>
      <c r="H2" s="601">
        <f t="shared" ref="H2:K2" si="1">H4+H5</f>
        <v>169.921875</v>
      </c>
      <c r="I2" s="601">
        <f t="shared" si="1"/>
        <v>210.9375</v>
      </c>
      <c r="J2" s="601">
        <f t="shared" si="1"/>
        <v>257.8125</v>
      </c>
      <c r="K2" s="601">
        <f t="shared" si="1"/>
        <v>269.53125</v>
      </c>
    </row>
    <row r="3" spans="1:11" x14ac:dyDescent="0.2">
      <c r="A3" s="67" t="s">
        <v>484</v>
      </c>
      <c r="B3" s="593">
        <f>B5/B4</f>
        <v>0.20282115869017636</v>
      </c>
      <c r="C3" s="593">
        <f t="shared" ref="C3:F3" si="2">C5/C4</f>
        <v>8.1176938493811954E-2</v>
      </c>
      <c r="D3" s="593">
        <f t="shared" si="2"/>
        <v>0.1255619871509446</v>
      </c>
      <c r="E3" s="593">
        <f t="shared" si="2"/>
        <v>7.1386519260175349E-2</v>
      </c>
      <c r="F3" s="593">
        <f t="shared" si="2"/>
        <v>0.83008249014588154</v>
      </c>
      <c r="G3" s="607">
        <v>0.25</v>
      </c>
      <c r="H3" s="607">
        <v>0.25</v>
      </c>
      <c r="I3" s="607">
        <v>0.25</v>
      </c>
      <c r="J3" s="607">
        <v>0.25</v>
      </c>
      <c r="K3" s="607">
        <v>0.25</v>
      </c>
    </row>
    <row r="4" spans="1:11" x14ac:dyDescent="0.2">
      <c r="A4" s="67" t="s">
        <v>191</v>
      </c>
      <c r="B4" s="464">
        <f t="shared" ref="B4:G4" si="3">B20</f>
        <v>674.9</v>
      </c>
      <c r="C4" s="464">
        <f t="shared" si="3"/>
        <v>1282.31</v>
      </c>
      <c r="D4" s="464">
        <f t="shared" si="3"/>
        <v>1179.075</v>
      </c>
      <c r="E4" s="464">
        <f t="shared" si="3"/>
        <v>506.17400000000004</v>
      </c>
      <c r="F4" s="464">
        <f t="shared" si="3"/>
        <v>98.435999999999993</v>
      </c>
      <c r="G4" s="608">
        <f t="shared" si="3"/>
        <v>135.9375</v>
      </c>
      <c r="H4" s="608">
        <f t="shared" ref="H4:K4" si="4">H20</f>
        <v>135.9375</v>
      </c>
      <c r="I4" s="608">
        <f t="shared" si="4"/>
        <v>168.75</v>
      </c>
      <c r="J4" s="608">
        <f t="shared" si="4"/>
        <v>206.25</v>
      </c>
      <c r="K4" s="608">
        <f t="shared" si="4"/>
        <v>215.625</v>
      </c>
    </row>
    <row r="5" spans="1:11" x14ac:dyDescent="0.2">
      <c r="A5" s="69" t="s">
        <v>192</v>
      </c>
      <c r="B5" s="320">
        <f>SUM(B6:B8)</f>
        <v>136.88400000000001</v>
      </c>
      <c r="C5" s="320">
        <f t="shared" ref="C5:F5" si="5">SUM(C6:C8)</f>
        <v>104.09399999999999</v>
      </c>
      <c r="D5" s="320">
        <f t="shared" si="5"/>
        <v>148.04700000000003</v>
      </c>
      <c r="E5" s="320">
        <f t="shared" si="5"/>
        <v>36.134</v>
      </c>
      <c r="F5" s="320">
        <f t="shared" si="5"/>
        <v>81.709999999999994</v>
      </c>
      <c r="G5" s="609">
        <f>G4*G3</f>
        <v>33.984375</v>
      </c>
      <c r="H5" s="609">
        <f t="shared" ref="H5:K5" si="6">H4*H3</f>
        <v>33.984375</v>
      </c>
      <c r="I5" s="609">
        <f t="shared" si="6"/>
        <v>42.1875</v>
      </c>
      <c r="J5" s="609">
        <f t="shared" si="6"/>
        <v>51.5625</v>
      </c>
      <c r="K5" s="609">
        <f t="shared" si="6"/>
        <v>53.90625</v>
      </c>
    </row>
    <row r="6" spans="1:11" x14ac:dyDescent="0.2">
      <c r="A6" s="70" t="s">
        <v>193</v>
      </c>
      <c r="B6" s="594">
        <v>10.34</v>
      </c>
      <c r="C6" s="595">
        <v>23.225000000000001</v>
      </c>
      <c r="D6" s="595">
        <v>17.170000000000002</v>
      </c>
      <c r="E6" s="596">
        <f>-5.486</f>
        <v>-5.4859999999999998</v>
      </c>
      <c r="F6" s="595">
        <v>27.113</v>
      </c>
      <c r="G6" s="602"/>
      <c r="H6" s="602"/>
      <c r="I6" s="602"/>
      <c r="J6" s="602"/>
      <c r="K6" s="602"/>
    </row>
    <row r="7" spans="1:11" x14ac:dyDescent="0.2">
      <c r="A7" s="70" t="s">
        <v>194</v>
      </c>
      <c r="B7" s="597">
        <v>64.512</v>
      </c>
      <c r="C7" s="595">
        <v>14.512</v>
      </c>
      <c r="D7" s="595">
        <v>55.1</v>
      </c>
      <c r="E7" s="596">
        <v>0</v>
      </c>
      <c r="F7" s="595">
        <v>29.591999999999999</v>
      </c>
      <c r="G7" s="602"/>
      <c r="H7" s="602"/>
      <c r="I7" s="602"/>
      <c r="J7" s="602"/>
      <c r="K7" s="602"/>
    </row>
    <row r="8" spans="1:11" x14ac:dyDescent="0.2">
      <c r="A8" s="73" t="s">
        <v>195</v>
      </c>
      <c r="B8" s="598">
        <v>62.031999999999996</v>
      </c>
      <c r="C8" s="599">
        <v>66.356999999999999</v>
      </c>
      <c r="D8" s="599">
        <v>75.777000000000001</v>
      </c>
      <c r="E8" s="599">
        <v>41.62</v>
      </c>
      <c r="F8" s="599">
        <v>25.004999999999999</v>
      </c>
      <c r="G8" s="602"/>
      <c r="H8" s="602"/>
      <c r="I8" s="602"/>
      <c r="J8" s="602"/>
      <c r="K8" s="602"/>
    </row>
    <row r="9" spans="1:11" x14ac:dyDescent="0.2">
      <c r="A9" s="73"/>
      <c r="B9" s="598"/>
      <c r="C9" s="599"/>
      <c r="D9" s="599"/>
      <c r="E9" s="599"/>
      <c r="F9" s="599"/>
      <c r="G9" s="124"/>
      <c r="H9" s="124"/>
      <c r="I9" s="124"/>
      <c r="J9" s="124"/>
      <c r="K9" s="124"/>
    </row>
    <row r="10" spans="1:11" x14ac:dyDescent="0.2">
      <c r="A10" s="651"/>
      <c r="B10" s="652"/>
      <c r="C10" s="652"/>
      <c r="D10" s="652"/>
      <c r="E10" s="652"/>
      <c r="F10" s="652"/>
      <c r="G10" s="652"/>
      <c r="H10" s="652"/>
      <c r="I10" s="652"/>
      <c r="J10" s="652"/>
      <c r="K10" s="652"/>
    </row>
    <row r="11" spans="1:11" x14ac:dyDescent="0.2">
      <c r="A11" s="67" t="s">
        <v>435</v>
      </c>
      <c r="B11" s="75"/>
      <c r="C11" s="75"/>
      <c r="D11" s="75"/>
      <c r="E11" s="75"/>
      <c r="G11" s="603"/>
      <c r="H11" s="603"/>
      <c r="I11" s="603"/>
      <c r="J11" s="603"/>
      <c r="K11" s="603"/>
    </row>
    <row r="12" spans="1:11" x14ac:dyDescent="0.2">
      <c r="A12" s="73" t="s">
        <v>485</v>
      </c>
      <c r="B12" s="2">
        <v>543.65</v>
      </c>
      <c r="C12" s="122">
        <v>1032.9349999999999</v>
      </c>
      <c r="D12" s="122">
        <v>951.38800000000003</v>
      </c>
      <c r="E12" s="122">
        <v>407.738</v>
      </c>
      <c r="F12" s="122">
        <v>0</v>
      </c>
      <c r="G12" s="604">
        <f>G23*G30</f>
        <v>0</v>
      </c>
      <c r="H12" s="604">
        <f t="shared" ref="H12:K12" si="7">H23*H30</f>
        <v>0</v>
      </c>
      <c r="I12" s="604">
        <f t="shared" si="7"/>
        <v>0</v>
      </c>
      <c r="J12" s="604">
        <f t="shared" si="7"/>
        <v>0</v>
      </c>
      <c r="K12" s="604">
        <f t="shared" si="7"/>
        <v>0</v>
      </c>
    </row>
    <row r="13" spans="1:11" x14ac:dyDescent="0.2">
      <c r="A13" s="73" t="s">
        <v>486</v>
      </c>
      <c r="B13" s="2">
        <v>18.75</v>
      </c>
      <c r="C13" s="122">
        <v>35.625</v>
      </c>
      <c r="D13" s="122">
        <v>32.811999999999998</v>
      </c>
      <c r="E13" s="121">
        <v>14.061999999999999</v>
      </c>
      <c r="F13" s="121">
        <v>14.061999999999999</v>
      </c>
      <c r="G13" s="604">
        <f>G24*G31</f>
        <v>18.75</v>
      </c>
      <c r="H13" s="604">
        <f t="shared" ref="H13:K13" si="8">H24*H31</f>
        <v>18.75</v>
      </c>
      <c r="I13" s="604">
        <f t="shared" si="8"/>
        <v>28.125</v>
      </c>
      <c r="J13" s="604">
        <f t="shared" si="8"/>
        <v>37.5</v>
      </c>
      <c r="K13" s="604">
        <f t="shared" si="8"/>
        <v>37.5</v>
      </c>
    </row>
    <row r="14" spans="1:11" x14ac:dyDescent="0.2">
      <c r="A14" s="73" t="s">
        <v>487</v>
      </c>
      <c r="B14" s="2">
        <v>18.75</v>
      </c>
      <c r="C14" s="122">
        <v>35.625</v>
      </c>
      <c r="D14" s="122">
        <v>32.811999999999998</v>
      </c>
      <c r="E14" s="122">
        <v>14.061999999999999</v>
      </c>
      <c r="F14" s="122">
        <v>14.061999999999999</v>
      </c>
      <c r="G14" s="604">
        <f>G25*G32</f>
        <v>23.4375</v>
      </c>
      <c r="H14" s="604">
        <f t="shared" ref="H14:K14" si="9">H25*H32</f>
        <v>23.4375</v>
      </c>
      <c r="I14" s="604">
        <f t="shared" si="9"/>
        <v>23.4375</v>
      </c>
      <c r="J14" s="604">
        <f t="shared" si="9"/>
        <v>28.125</v>
      </c>
      <c r="K14" s="604">
        <f t="shared" si="9"/>
        <v>37.5</v>
      </c>
    </row>
    <row r="15" spans="1:11" x14ac:dyDescent="0.2">
      <c r="A15" s="73" t="s">
        <v>488</v>
      </c>
      <c r="B15" s="462">
        <v>93.75</v>
      </c>
      <c r="C15" s="122">
        <v>178.125</v>
      </c>
      <c r="D15" s="122">
        <v>162.06299999999999</v>
      </c>
      <c r="E15" s="122">
        <v>70.311999999999998</v>
      </c>
      <c r="F15" s="122">
        <v>70.311999999999998</v>
      </c>
      <c r="G15" s="604">
        <f>G26*G33</f>
        <v>93.75</v>
      </c>
      <c r="H15" s="604">
        <f t="shared" ref="H15:K15" si="10">H26*H33</f>
        <v>93.75</v>
      </c>
      <c r="I15" s="604">
        <f t="shared" si="10"/>
        <v>117.1875</v>
      </c>
      <c r="J15" s="604">
        <f t="shared" si="10"/>
        <v>140.625</v>
      </c>
      <c r="K15" s="604">
        <f t="shared" si="10"/>
        <v>140.625</v>
      </c>
    </row>
    <row r="16" spans="1:11" x14ac:dyDescent="0.2">
      <c r="A16" s="3" t="s">
        <v>489</v>
      </c>
      <c r="B16" s="122"/>
      <c r="C16" s="122"/>
      <c r="D16" s="122"/>
      <c r="E16" s="122"/>
      <c r="F16" s="122"/>
      <c r="G16" s="604"/>
      <c r="H16" s="604"/>
      <c r="I16" s="604"/>
      <c r="J16" s="604"/>
      <c r="K16" s="604"/>
    </row>
    <row r="17" spans="1:11" x14ac:dyDescent="0.2">
      <c r="B17" s="122"/>
      <c r="C17" s="122"/>
      <c r="D17" s="122"/>
      <c r="E17" s="122"/>
      <c r="F17" s="122"/>
      <c r="G17" s="122"/>
      <c r="H17" s="122"/>
      <c r="I17" s="122"/>
      <c r="J17" s="122"/>
      <c r="K17" s="122"/>
    </row>
    <row r="18" spans="1:11" x14ac:dyDescent="0.2">
      <c r="A18" s="67" t="s">
        <v>196</v>
      </c>
      <c r="B18" s="123">
        <f>SUM(B12:B15)</f>
        <v>674.9</v>
      </c>
      <c r="C18" s="123">
        <f t="shared" ref="C18:K18" si="11">SUM(C12:C15)</f>
        <v>1282.31</v>
      </c>
      <c r="D18" s="123">
        <f t="shared" si="11"/>
        <v>1179.075</v>
      </c>
      <c r="E18" s="123">
        <f t="shared" si="11"/>
        <v>506.17400000000004</v>
      </c>
      <c r="F18" s="123">
        <f t="shared" si="11"/>
        <v>98.435999999999993</v>
      </c>
      <c r="G18" s="123">
        <f t="shared" si="11"/>
        <v>135.9375</v>
      </c>
      <c r="H18" s="123">
        <f t="shared" si="11"/>
        <v>135.9375</v>
      </c>
      <c r="I18" s="123">
        <f t="shared" si="11"/>
        <v>168.75</v>
      </c>
      <c r="J18" s="123">
        <f t="shared" si="11"/>
        <v>206.25</v>
      </c>
      <c r="K18" s="123">
        <f t="shared" si="11"/>
        <v>215.625</v>
      </c>
    </row>
    <row r="19" spans="1:11" x14ac:dyDescent="0.2">
      <c r="A19" s="73" t="s">
        <v>197</v>
      </c>
      <c r="B19" s="2">
        <f>B16</f>
        <v>0</v>
      </c>
      <c r="C19" s="2">
        <f>C16</f>
        <v>0</v>
      </c>
      <c r="D19" s="2">
        <f>D16</f>
        <v>0</v>
      </c>
      <c r="E19" s="2">
        <f>E16</f>
        <v>0</v>
      </c>
      <c r="F19" s="2">
        <f>F16</f>
        <v>0</v>
      </c>
      <c r="G19" s="2">
        <f t="shared" ref="G19:K19" si="12">G16</f>
        <v>0</v>
      </c>
      <c r="H19" s="2">
        <f t="shared" si="12"/>
        <v>0</v>
      </c>
      <c r="I19" s="2">
        <f t="shared" si="12"/>
        <v>0</v>
      </c>
      <c r="J19" s="2">
        <f t="shared" si="12"/>
        <v>0</v>
      </c>
      <c r="K19" s="2">
        <f t="shared" si="12"/>
        <v>0</v>
      </c>
    </row>
    <row r="20" spans="1:11" x14ac:dyDescent="0.2">
      <c r="A20" s="68" t="s">
        <v>198</v>
      </c>
      <c r="B20" s="79">
        <f>B18+B19</f>
        <v>674.9</v>
      </c>
      <c r="C20" s="79">
        <f t="shared" ref="C20:K20" si="13">C18+C19</f>
        <v>1282.31</v>
      </c>
      <c r="D20" s="79">
        <f t="shared" si="13"/>
        <v>1179.075</v>
      </c>
      <c r="E20" s="79">
        <f t="shared" si="13"/>
        <v>506.17400000000004</v>
      </c>
      <c r="F20" s="79">
        <f t="shared" si="13"/>
        <v>98.435999999999993</v>
      </c>
      <c r="G20" s="79">
        <f t="shared" si="13"/>
        <v>135.9375</v>
      </c>
      <c r="H20" s="79">
        <f t="shared" si="13"/>
        <v>135.9375</v>
      </c>
      <c r="I20" s="79">
        <f t="shared" si="13"/>
        <v>168.75</v>
      </c>
      <c r="J20" s="79">
        <f t="shared" si="13"/>
        <v>206.25</v>
      </c>
      <c r="K20" s="79">
        <f t="shared" si="13"/>
        <v>215.625</v>
      </c>
    </row>
    <row r="21" spans="1:11" x14ac:dyDescent="0.2">
      <c r="A21" s="73"/>
      <c r="B21" s="76"/>
      <c r="C21" s="76"/>
      <c r="D21" s="76"/>
      <c r="E21" s="76"/>
      <c r="F21" s="76"/>
      <c r="G21" s="76"/>
      <c r="H21" s="76"/>
      <c r="I21" s="76"/>
      <c r="J21" s="76"/>
      <c r="K21" s="76"/>
    </row>
    <row r="22" spans="1:11" x14ac:dyDescent="0.2">
      <c r="A22" s="74" t="s">
        <v>199</v>
      </c>
      <c r="B22" s="606">
        <f>SUM(B23:B27)</f>
        <v>250.449026</v>
      </c>
      <c r="C22" s="606">
        <f t="shared" ref="C22:K22" si="14">SUM(C23:C27)</f>
        <v>250.449026</v>
      </c>
      <c r="D22" s="606">
        <f t="shared" si="14"/>
        <v>250.449026</v>
      </c>
      <c r="E22" s="606">
        <f t="shared" si="14"/>
        <v>250.449026</v>
      </c>
      <c r="F22" s="606">
        <f t="shared" si="14"/>
        <v>250.449026</v>
      </c>
      <c r="G22" s="606">
        <f t="shared" si="14"/>
        <v>250.449026</v>
      </c>
      <c r="H22" s="606">
        <f t="shared" si="14"/>
        <v>250.449026</v>
      </c>
      <c r="I22" s="606">
        <f t="shared" si="14"/>
        <v>250.449026</v>
      </c>
      <c r="J22" s="606">
        <f t="shared" si="14"/>
        <v>250.449026</v>
      </c>
      <c r="K22" s="606">
        <f t="shared" si="14"/>
        <v>250.449026</v>
      </c>
    </row>
    <row r="23" spans="1:11" x14ac:dyDescent="0.2">
      <c r="A23" s="73" t="s">
        <v>485</v>
      </c>
      <c r="B23" s="600">
        <v>48.699187000000002</v>
      </c>
      <c r="C23" s="600">
        <v>48.699187000000002</v>
      </c>
      <c r="D23" s="600">
        <v>48.699187000000002</v>
      </c>
      <c r="E23" s="600">
        <v>48.699187000000002</v>
      </c>
      <c r="F23" s="600">
        <v>48.699187000000002</v>
      </c>
      <c r="G23" s="600">
        <v>48.699187000000002</v>
      </c>
      <c r="H23" s="600">
        <v>48.699187000000002</v>
      </c>
      <c r="I23" s="600">
        <v>48.699187000000002</v>
      </c>
      <c r="J23" s="600">
        <v>48.699187000000002</v>
      </c>
      <c r="K23" s="600">
        <v>48.699187000000002</v>
      </c>
    </row>
    <row r="24" spans="1:11" x14ac:dyDescent="0.2">
      <c r="A24" s="73" t="s">
        <v>486</v>
      </c>
      <c r="B24" s="600">
        <v>18.75</v>
      </c>
      <c r="C24" s="600">
        <v>18.75</v>
      </c>
      <c r="D24" s="600">
        <v>18.75</v>
      </c>
      <c r="E24" s="600">
        <v>18.75</v>
      </c>
      <c r="F24" s="600">
        <v>18.75</v>
      </c>
      <c r="G24" s="600">
        <v>18.75</v>
      </c>
      <c r="H24" s="600">
        <v>18.75</v>
      </c>
      <c r="I24" s="600">
        <v>18.75</v>
      </c>
      <c r="J24" s="600">
        <v>18.75</v>
      </c>
      <c r="K24" s="600">
        <v>18.75</v>
      </c>
    </row>
    <row r="25" spans="1:11" x14ac:dyDescent="0.2">
      <c r="A25" s="73" t="s">
        <v>487</v>
      </c>
      <c r="B25" s="600">
        <v>18.75</v>
      </c>
      <c r="C25" s="600">
        <v>18.75</v>
      </c>
      <c r="D25" s="600">
        <v>18.75</v>
      </c>
      <c r="E25" s="600">
        <v>18.75</v>
      </c>
      <c r="F25" s="600">
        <v>18.75</v>
      </c>
      <c r="G25" s="600">
        <v>18.75</v>
      </c>
      <c r="H25" s="600">
        <v>18.75</v>
      </c>
      <c r="I25" s="600">
        <v>18.75</v>
      </c>
      <c r="J25" s="600">
        <v>18.75</v>
      </c>
      <c r="K25" s="600">
        <v>18.75</v>
      </c>
    </row>
    <row r="26" spans="1:11" x14ac:dyDescent="0.2">
      <c r="A26" s="73" t="s">
        <v>488</v>
      </c>
      <c r="B26" s="600">
        <v>93.75</v>
      </c>
      <c r="C26" s="600">
        <v>93.75</v>
      </c>
      <c r="D26" s="600">
        <v>93.75</v>
      </c>
      <c r="E26" s="600">
        <v>93.75</v>
      </c>
      <c r="F26" s="600">
        <v>93.75</v>
      </c>
      <c r="G26" s="600">
        <v>93.75</v>
      </c>
      <c r="H26" s="600">
        <v>93.75</v>
      </c>
      <c r="I26" s="600">
        <v>93.75</v>
      </c>
      <c r="J26" s="600">
        <v>93.75</v>
      </c>
      <c r="K26" s="600">
        <v>93.75</v>
      </c>
    </row>
    <row r="27" spans="1:11" x14ac:dyDescent="0.2">
      <c r="A27" s="3" t="s">
        <v>489</v>
      </c>
      <c r="B27" s="600">
        <v>70.499838999999994</v>
      </c>
      <c r="C27" s="600">
        <v>70.499838999999994</v>
      </c>
      <c r="D27" s="600">
        <v>70.499838999999994</v>
      </c>
      <c r="E27" s="600">
        <v>70.499838999999994</v>
      </c>
      <c r="F27" s="600">
        <v>70.499838999999994</v>
      </c>
      <c r="G27" s="600">
        <v>70.499838999999994</v>
      </c>
      <c r="H27" s="600">
        <v>70.499838999999994</v>
      </c>
      <c r="I27" s="600">
        <v>70.499838999999994</v>
      </c>
      <c r="J27" s="600">
        <v>70.499838999999994</v>
      </c>
      <c r="K27" s="600">
        <v>70.499838999999994</v>
      </c>
    </row>
    <row r="29" spans="1:11" x14ac:dyDescent="0.2">
      <c r="A29" s="67" t="s">
        <v>200</v>
      </c>
      <c r="B29" s="77"/>
      <c r="C29" s="77"/>
      <c r="D29" s="77"/>
      <c r="E29" s="77"/>
      <c r="F29" s="77"/>
    </row>
    <row r="30" spans="1:11" x14ac:dyDescent="0.2">
      <c r="A30" s="73" t="s">
        <v>485</v>
      </c>
      <c r="B30" s="78">
        <f>B12/B23</f>
        <v>11.163430715999427</v>
      </c>
      <c r="C30" s="78">
        <f t="shared" ref="C30:F30" si="15">C12/C23</f>
        <v>21.210518360398911</v>
      </c>
      <c r="D30" s="78">
        <f t="shared" si="15"/>
        <v>19.536014020110848</v>
      </c>
      <c r="E30" s="78">
        <f t="shared" si="15"/>
        <v>8.372583304111421</v>
      </c>
      <c r="F30" s="78">
        <f t="shared" si="15"/>
        <v>0</v>
      </c>
      <c r="G30" s="605">
        <v>0</v>
      </c>
      <c r="H30" s="605">
        <v>0</v>
      </c>
      <c r="I30" s="605">
        <v>0</v>
      </c>
      <c r="J30" s="605">
        <v>0</v>
      </c>
      <c r="K30" s="605">
        <v>0</v>
      </c>
    </row>
    <row r="31" spans="1:11" x14ac:dyDescent="0.2">
      <c r="A31" s="73" t="s">
        <v>486</v>
      </c>
      <c r="B31" s="78">
        <f>B13/B24</f>
        <v>1</v>
      </c>
      <c r="C31" s="78">
        <f t="shared" ref="C31:F31" si="16">C13/C24</f>
        <v>1.9</v>
      </c>
      <c r="D31" s="78">
        <f t="shared" si="16"/>
        <v>1.7499733333333332</v>
      </c>
      <c r="E31" s="78">
        <f t="shared" si="16"/>
        <v>0.74997333333333327</v>
      </c>
      <c r="F31" s="78">
        <f t="shared" si="16"/>
        <v>0.74997333333333327</v>
      </c>
      <c r="G31" s="605">
        <v>1</v>
      </c>
      <c r="H31" s="605">
        <v>1</v>
      </c>
      <c r="I31" s="605">
        <v>1.5</v>
      </c>
      <c r="J31" s="605">
        <v>2</v>
      </c>
      <c r="K31" s="605">
        <v>2</v>
      </c>
    </row>
    <row r="32" spans="1:11" x14ac:dyDescent="0.2">
      <c r="A32" s="73" t="s">
        <v>487</v>
      </c>
      <c r="B32" s="78">
        <f>B14/B25</f>
        <v>1</v>
      </c>
      <c r="C32" s="78">
        <f t="shared" ref="C32:F32" si="17">C14/C25</f>
        <v>1.9</v>
      </c>
      <c r="D32" s="78">
        <f t="shared" si="17"/>
        <v>1.7499733333333332</v>
      </c>
      <c r="E32" s="78">
        <f t="shared" si="17"/>
        <v>0.74997333333333327</v>
      </c>
      <c r="F32" s="78">
        <f t="shared" si="17"/>
        <v>0.74997333333333327</v>
      </c>
      <c r="G32" s="605">
        <v>1.25</v>
      </c>
      <c r="H32" s="605">
        <v>1.25</v>
      </c>
      <c r="I32" s="605">
        <v>1.25</v>
      </c>
      <c r="J32" s="605">
        <v>1.5</v>
      </c>
      <c r="K32" s="605">
        <v>2</v>
      </c>
    </row>
    <row r="33" spans="1:11" x14ac:dyDescent="0.2">
      <c r="A33" s="73" t="s">
        <v>488</v>
      </c>
      <c r="B33" s="78">
        <f>B15/B26</f>
        <v>1</v>
      </c>
      <c r="C33" s="78">
        <f t="shared" ref="C33:F33" si="18">C15/C26</f>
        <v>1.9</v>
      </c>
      <c r="D33" s="78">
        <f t="shared" si="18"/>
        <v>1.7286719999999998</v>
      </c>
      <c r="E33" s="78">
        <f t="shared" si="18"/>
        <v>0.74999466666666659</v>
      </c>
      <c r="F33" s="78">
        <f t="shared" si="18"/>
        <v>0.74999466666666659</v>
      </c>
      <c r="G33" s="605">
        <v>1</v>
      </c>
      <c r="H33" s="605">
        <v>1</v>
      </c>
      <c r="I33" s="605">
        <v>1.25</v>
      </c>
      <c r="J33" s="605">
        <v>1.5</v>
      </c>
      <c r="K33" s="605">
        <v>1.5</v>
      </c>
    </row>
    <row r="34" spans="1:11" x14ac:dyDescent="0.2">
      <c r="A34" s="3" t="s">
        <v>489</v>
      </c>
      <c r="B34" s="78">
        <f t="shared" ref="B34:F34" si="19">B14/B25</f>
        <v>1</v>
      </c>
      <c r="C34" s="78">
        <f t="shared" si="19"/>
        <v>1.9</v>
      </c>
      <c r="D34" s="78">
        <f t="shared" si="19"/>
        <v>1.7499733333333332</v>
      </c>
      <c r="E34" s="78">
        <f t="shared" si="19"/>
        <v>0.74997333333333327</v>
      </c>
      <c r="F34" s="78">
        <f t="shared" si="19"/>
        <v>0.74997333333333327</v>
      </c>
      <c r="G34" s="605">
        <v>0.74997333333333327</v>
      </c>
      <c r="H34" s="605">
        <v>0.74997333333333327</v>
      </c>
      <c r="I34" s="605">
        <v>0.74997333333333327</v>
      </c>
      <c r="J34" s="605">
        <v>0.74997333333333327</v>
      </c>
      <c r="K34" s="605">
        <v>0.74997333333333327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Industry</vt:lpstr>
      <vt:lpstr>Dashboard</vt:lpstr>
      <vt:lpstr>Drivers Sheet</vt:lpstr>
      <vt:lpstr>IS</vt:lpstr>
      <vt:lpstr>BS</vt:lpstr>
      <vt:lpstr>CF</vt:lpstr>
      <vt:lpstr>Valuation</vt:lpstr>
      <vt:lpstr>Fixed Assets</vt:lpstr>
      <vt:lpstr>Investments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OK Computers</cp:lastModifiedBy>
  <cp:lastPrinted>2020-04-08T16:38:45Z</cp:lastPrinted>
  <dcterms:created xsi:type="dcterms:W3CDTF">2017-01-23T14:25:16Z</dcterms:created>
  <dcterms:modified xsi:type="dcterms:W3CDTF">2022-09-11T22:42:37Z</dcterms:modified>
</cp:coreProperties>
</file>