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9075"/>
  </bookViews>
  <sheets>
    <sheet name="INDEX" sheetId="1" r:id="rId1"/>
    <sheet name="SUMMARY" sheetId="2" r:id="rId2"/>
    <sheet name="ASSUMPTIONS" sheetId="3" r:id="rId3"/>
    <sheet name="FS" sheetId="4" r:id="rId4"/>
    <sheet name="BS" sheetId="5" r:id="rId5"/>
    <sheet name="VALUATION" sheetId="6" r:id="rId6"/>
    <sheet name="NPV" sheetId="7" r:id="rId7"/>
    <sheet name="DEBT" sheetId="8" r:id="rId8"/>
  </sheets>
  <calcPr calcId="125725"/>
</workbook>
</file>

<file path=xl/calcChain.xml><?xml version="1.0" encoding="utf-8"?>
<calcChain xmlns="http://schemas.openxmlformats.org/spreadsheetml/2006/main">
  <c r="U3" i="4"/>
  <c r="T3"/>
  <c r="M11" i="8"/>
  <c r="M4"/>
  <c r="M6" s="1"/>
  <c r="N211" i="3" s="1"/>
  <c r="P2" i="7"/>
  <c r="H9"/>
  <c r="H6"/>
  <c r="H2"/>
  <c r="N16" i="6"/>
  <c r="N48" i="5"/>
  <c r="N47"/>
  <c r="N28"/>
  <c r="N27"/>
  <c r="N26"/>
  <c r="M23" i="2"/>
  <c r="N50" i="4"/>
  <c r="N10" i="6" s="1"/>
  <c r="N163" i="3"/>
  <c r="N3" i="4"/>
  <c r="N214" i="3"/>
  <c r="N189"/>
  <c r="N188"/>
  <c r="N187"/>
  <c r="N152"/>
  <c r="N146"/>
  <c r="N138"/>
  <c r="N136"/>
  <c r="N135"/>
  <c r="N134"/>
  <c r="N133"/>
  <c r="N132"/>
  <c r="N131"/>
  <c r="N130"/>
  <c r="N128"/>
  <c r="N127"/>
  <c r="N126"/>
  <c r="N125"/>
  <c r="N122"/>
  <c r="N121"/>
  <c r="N117"/>
  <c r="N115"/>
  <c r="N112"/>
  <c r="N111"/>
  <c r="N110"/>
  <c r="N109"/>
  <c r="N108"/>
  <c r="N107"/>
  <c r="N106"/>
  <c r="N105"/>
  <c r="N104"/>
  <c r="N103"/>
  <c r="N102"/>
  <c r="N101"/>
  <c r="N100"/>
  <c r="N99"/>
  <c r="N8"/>
  <c r="N7"/>
  <c r="N6"/>
  <c r="N5"/>
  <c r="N81"/>
  <c r="N79"/>
  <c r="N78"/>
  <c r="N77"/>
  <c r="N76"/>
  <c r="N75"/>
  <c r="N74"/>
  <c r="N73"/>
  <c r="N72"/>
  <c r="N71"/>
  <c r="N70"/>
  <c r="N69"/>
  <c r="N68"/>
  <c r="N64"/>
  <c r="N51"/>
  <c r="N49"/>
  <c r="N47"/>
  <c r="N24"/>
  <c r="N23"/>
  <c r="F14" i="8"/>
  <c r="F15" s="1"/>
  <c r="L4"/>
  <c r="L5" s="1"/>
  <c r="L11" s="1"/>
  <c r="M214" i="3" s="1"/>
  <c r="K4" i="8"/>
  <c r="K5" s="1"/>
  <c r="K11" s="1"/>
  <c r="J4"/>
  <c r="J5" s="1"/>
  <c r="J11" s="1"/>
  <c r="I4"/>
  <c r="I5" s="1"/>
  <c r="I11" s="1"/>
  <c r="H4"/>
  <c r="H6" s="1"/>
  <c r="G4"/>
  <c r="G6" s="1"/>
  <c r="H211" i="3" s="1"/>
  <c r="F4" i="8"/>
  <c r="E4"/>
  <c r="D4"/>
  <c r="C4"/>
  <c r="O2" i="7"/>
  <c r="N2"/>
  <c r="M2"/>
  <c r="L2"/>
  <c r="G83" i="6"/>
  <c r="G84" s="1"/>
  <c r="G86" s="1"/>
  <c r="G88" s="1"/>
  <c r="H50"/>
  <c r="G75" s="1"/>
  <c r="R33"/>
  <c r="R32" s="1"/>
  <c r="H30"/>
  <c r="H48" s="1"/>
  <c r="R29"/>
  <c r="H28"/>
  <c r="H46" s="1"/>
  <c r="H26"/>
  <c r="R23"/>
  <c r="I40" s="1"/>
  <c r="I58" s="1"/>
  <c r="J16"/>
  <c r="K16" s="1"/>
  <c r="L16" s="1"/>
  <c r="M16" s="1"/>
  <c r="I16"/>
  <c r="F12"/>
  <c r="E12"/>
  <c r="D11"/>
  <c r="C11"/>
  <c r="F10"/>
  <c r="G5"/>
  <c r="F5"/>
  <c r="C5"/>
  <c r="C4"/>
  <c r="C3"/>
  <c r="G97" i="5"/>
  <c r="F97"/>
  <c r="E94"/>
  <c r="D94"/>
  <c r="D97" s="1"/>
  <c r="D98" s="1"/>
  <c r="C94"/>
  <c r="E93"/>
  <c r="D93"/>
  <c r="C93"/>
  <c r="E92"/>
  <c r="D92"/>
  <c r="C92"/>
  <c r="D91"/>
  <c r="D51" i="4" s="1"/>
  <c r="D12" i="6" s="1"/>
  <c r="C91" i="5"/>
  <c r="E90"/>
  <c r="E89"/>
  <c r="D89"/>
  <c r="C89"/>
  <c r="E82"/>
  <c r="E97" s="1"/>
  <c r="D82"/>
  <c r="C82"/>
  <c r="E81"/>
  <c r="D81"/>
  <c r="C81"/>
  <c r="E76"/>
  <c r="D76"/>
  <c r="C76"/>
  <c r="C24" i="4" s="1"/>
  <c r="E75" i="5"/>
  <c r="D75"/>
  <c r="C75"/>
  <c r="E74"/>
  <c r="D74"/>
  <c r="C74"/>
  <c r="E73"/>
  <c r="D73"/>
  <c r="C73"/>
  <c r="E72"/>
  <c r="D72"/>
  <c r="C72"/>
  <c r="F65"/>
  <c r="F98" s="1"/>
  <c r="C65"/>
  <c r="E63"/>
  <c r="E65" s="1"/>
  <c r="D63"/>
  <c r="D65" s="1"/>
  <c r="C63"/>
  <c r="G52"/>
  <c r="G65" s="1"/>
  <c r="G48"/>
  <c r="H48" s="1"/>
  <c r="I48" s="1"/>
  <c r="J48" s="1"/>
  <c r="K48" s="1"/>
  <c r="L48" s="1"/>
  <c r="M48" s="1"/>
  <c r="F48"/>
  <c r="E48"/>
  <c r="D48"/>
  <c r="C48"/>
  <c r="G47"/>
  <c r="H47" s="1"/>
  <c r="F47"/>
  <c r="E47"/>
  <c r="D47"/>
  <c r="C47"/>
  <c r="G45"/>
  <c r="F45"/>
  <c r="F52" s="1"/>
  <c r="E45"/>
  <c r="D45"/>
  <c r="C45"/>
  <c r="E43"/>
  <c r="H40"/>
  <c r="H34"/>
  <c r="F28"/>
  <c r="F27"/>
  <c r="H26"/>
  <c r="F26"/>
  <c r="F23"/>
  <c r="H17"/>
  <c r="G12"/>
  <c r="G11"/>
  <c r="G26" s="1"/>
  <c r="G10"/>
  <c r="C7"/>
  <c r="H56" i="4"/>
  <c r="G56"/>
  <c r="F56"/>
  <c r="E56"/>
  <c r="D56"/>
  <c r="C56"/>
  <c r="G51"/>
  <c r="G12" i="6" s="1"/>
  <c r="C51" i="4"/>
  <c r="C12" i="6" s="1"/>
  <c r="M50" i="4"/>
  <c r="L50"/>
  <c r="L10" i="6" s="1"/>
  <c r="K50" i="4"/>
  <c r="J50"/>
  <c r="J10" i="6" s="1"/>
  <c r="I50" i="4"/>
  <c r="I10" i="6" s="1"/>
  <c r="H50" i="4"/>
  <c r="G50"/>
  <c r="G10" i="6" s="1"/>
  <c r="F50" i="4"/>
  <c r="E50"/>
  <c r="D50"/>
  <c r="D10" i="6" s="1"/>
  <c r="C50" i="4"/>
  <c r="C45"/>
  <c r="C44"/>
  <c r="D41"/>
  <c r="C41"/>
  <c r="G40"/>
  <c r="F40"/>
  <c r="C40"/>
  <c r="G37"/>
  <c r="F37"/>
  <c r="E37"/>
  <c r="D37"/>
  <c r="C37"/>
  <c r="G36"/>
  <c r="F36"/>
  <c r="E36"/>
  <c r="E6" i="6" s="1"/>
  <c r="D36" i="4"/>
  <c r="C36"/>
  <c r="C31"/>
  <c r="E23"/>
  <c r="D23"/>
  <c r="C23"/>
  <c r="C17" s="1"/>
  <c r="C18" s="1"/>
  <c r="C52" s="1"/>
  <c r="C22"/>
  <c r="C21"/>
  <c r="C20"/>
  <c r="C19"/>
  <c r="F17"/>
  <c r="F18" s="1"/>
  <c r="F52" s="1"/>
  <c r="F53" s="1"/>
  <c r="F16"/>
  <c r="C16"/>
  <c r="G14"/>
  <c r="F14"/>
  <c r="F24" s="1"/>
  <c r="E13"/>
  <c r="E5" i="6" s="1"/>
  <c r="D13" i="4"/>
  <c r="G11"/>
  <c r="G11" i="6" s="1"/>
  <c r="E11" i="4"/>
  <c r="D9"/>
  <c r="G8"/>
  <c r="F8"/>
  <c r="E8"/>
  <c r="D8"/>
  <c r="C29" i="2" s="1"/>
  <c r="D7" i="4"/>
  <c r="E4"/>
  <c r="E159" i="3" s="1"/>
  <c r="D4" i="4"/>
  <c r="E3"/>
  <c r="E5" s="1"/>
  <c r="F228" i="3"/>
  <c r="G220"/>
  <c r="F220"/>
  <c r="F11" i="4" s="1"/>
  <c r="L214" i="3"/>
  <c r="K214"/>
  <c r="J214"/>
  <c r="I211"/>
  <c r="H210"/>
  <c r="I210" s="1"/>
  <c r="L209"/>
  <c r="K209"/>
  <c r="J209"/>
  <c r="H189"/>
  <c r="I189" s="1"/>
  <c r="J189" s="1"/>
  <c r="K189" s="1"/>
  <c r="L189" s="1"/>
  <c r="M189" s="1"/>
  <c r="I188"/>
  <c r="J188" s="1"/>
  <c r="H188"/>
  <c r="K187"/>
  <c r="J187"/>
  <c r="H187"/>
  <c r="I187" s="1"/>
  <c r="G172"/>
  <c r="F172"/>
  <c r="E172"/>
  <c r="E45" i="4" s="1"/>
  <c r="D172" i="3"/>
  <c r="D45" i="4" s="1"/>
  <c r="G171" i="3"/>
  <c r="F171"/>
  <c r="F4" i="6" s="1"/>
  <c r="E171" i="3"/>
  <c r="D171"/>
  <c r="E163"/>
  <c r="F162"/>
  <c r="F165" s="1"/>
  <c r="E162"/>
  <c r="F160"/>
  <c r="E160"/>
  <c r="D160"/>
  <c r="F159"/>
  <c r="E158"/>
  <c r="E166" s="1"/>
  <c r="F157"/>
  <c r="E157"/>
  <c r="E165" s="1"/>
  <c r="G153"/>
  <c r="G9" i="4" s="1"/>
  <c r="G228" i="3" s="1"/>
  <c r="K152"/>
  <c r="I152"/>
  <c r="J152" s="1"/>
  <c r="H152"/>
  <c r="M146"/>
  <c r="L146"/>
  <c r="K146"/>
  <c r="J146"/>
  <c r="I146"/>
  <c r="H146"/>
  <c r="G146"/>
  <c r="H145"/>
  <c r="H143" s="1"/>
  <c r="H153" s="1"/>
  <c r="G145"/>
  <c r="G143"/>
  <c r="G139"/>
  <c r="I138"/>
  <c r="J138" s="1"/>
  <c r="K138" s="1"/>
  <c r="L138" s="1"/>
  <c r="M138" s="1"/>
  <c r="H138"/>
  <c r="J136"/>
  <c r="K136" s="1"/>
  <c r="L136" s="1"/>
  <c r="M136" s="1"/>
  <c r="I136"/>
  <c r="H136"/>
  <c r="M135"/>
  <c r="H135"/>
  <c r="I135" s="1"/>
  <c r="J135" s="1"/>
  <c r="K135" s="1"/>
  <c r="L135" s="1"/>
  <c r="I134"/>
  <c r="J134" s="1"/>
  <c r="K134" s="1"/>
  <c r="L134" s="1"/>
  <c r="M134" s="1"/>
  <c r="H134"/>
  <c r="I133"/>
  <c r="J133" s="1"/>
  <c r="K133" s="1"/>
  <c r="L133" s="1"/>
  <c r="M133" s="1"/>
  <c r="H133"/>
  <c r="L132"/>
  <c r="M132" s="1"/>
  <c r="J132"/>
  <c r="K132" s="1"/>
  <c r="I132"/>
  <c r="H132"/>
  <c r="H131"/>
  <c r="I131" s="1"/>
  <c r="J131" s="1"/>
  <c r="K131" s="1"/>
  <c r="L131" s="1"/>
  <c r="M131" s="1"/>
  <c r="H130"/>
  <c r="I130" s="1"/>
  <c r="J130" s="1"/>
  <c r="K130" s="1"/>
  <c r="L130" s="1"/>
  <c r="M130" s="1"/>
  <c r="H129"/>
  <c r="H128"/>
  <c r="I128" s="1"/>
  <c r="J128" s="1"/>
  <c r="K128" s="1"/>
  <c r="L128" s="1"/>
  <c r="M128" s="1"/>
  <c r="J127"/>
  <c r="K127" s="1"/>
  <c r="L127" s="1"/>
  <c r="M127" s="1"/>
  <c r="H127"/>
  <c r="I127" s="1"/>
  <c r="I126"/>
  <c r="J126" s="1"/>
  <c r="K126" s="1"/>
  <c r="L126" s="1"/>
  <c r="M126" s="1"/>
  <c r="H126"/>
  <c r="I125"/>
  <c r="J125" s="1"/>
  <c r="K125" s="1"/>
  <c r="L125" s="1"/>
  <c r="M125" s="1"/>
  <c r="H125"/>
  <c r="I122"/>
  <c r="J122" s="1"/>
  <c r="K122" s="1"/>
  <c r="H122"/>
  <c r="H117"/>
  <c r="H115"/>
  <c r="I115" s="1"/>
  <c r="J115" s="1"/>
  <c r="K115" s="1"/>
  <c r="L115" s="1"/>
  <c r="M115" s="1"/>
  <c r="G114"/>
  <c r="G118" s="1"/>
  <c r="I112"/>
  <c r="J112" s="1"/>
  <c r="K112" s="1"/>
  <c r="L112" s="1"/>
  <c r="M112" s="1"/>
  <c r="H112"/>
  <c r="I111"/>
  <c r="J111" s="1"/>
  <c r="K111" s="1"/>
  <c r="L111" s="1"/>
  <c r="M111" s="1"/>
  <c r="H111"/>
  <c r="I110"/>
  <c r="J110" s="1"/>
  <c r="K110" s="1"/>
  <c r="L110" s="1"/>
  <c r="M110" s="1"/>
  <c r="H110"/>
  <c r="K109"/>
  <c r="L109" s="1"/>
  <c r="M109" s="1"/>
  <c r="H109"/>
  <c r="I109" s="1"/>
  <c r="J109" s="1"/>
  <c r="I108"/>
  <c r="J108" s="1"/>
  <c r="K108" s="1"/>
  <c r="L108" s="1"/>
  <c r="M108" s="1"/>
  <c r="H108"/>
  <c r="I107"/>
  <c r="J107" s="1"/>
  <c r="K107" s="1"/>
  <c r="L107" s="1"/>
  <c r="M107" s="1"/>
  <c r="H107"/>
  <c r="I106"/>
  <c r="J106" s="1"/>
  <c r="K106" s="1"/>
  <c r="L106" s="1"/>
  <c r="M106" s="1"/>
  <c r="H106"/>
  <c r="H105"/>
  <c r="I105" s="1"/>
  <c r="J105" s="1"/>
  <c r="K105" s="1"/>
  <c r="L105" s="1"/>
  <c r="M105" s="1"/>
  <c r="H104"/>
  <c r="I104" s="1"/>
  <c r="J104" s="1"/>
  <c r="K104" s="1"/>
  <c r="L104" s="1"/>
  <c r="M104" s="1"/>
  <c r="J103"/>
  <c r="K103" s="1"/>
  <c r="L103" s="1"/>
  <c r="M103" s="1"/>
  <c r="H103"/>
  <c r="I103" s="1"/>
  <c r="H102"/>
  <c r="I102" s="1"/>
  <c r="J102" s="1"/>
  <c r="K102" s="1"/>
  <c r="L102" s="1"/>
  <c r="M102" s="1"/>
  <c r="H101"/>
  <c r="J100"/>
  <c r="K100" s="1"/>
  <c r="H100"/>
  <c r="I100" s="1"/>
  <c r="H99"/>
  <c r="K93"/>
  <c r="I93"/>
  <c r="J93" s="1"/>
  <c r="H93"/>
  <c r="F82"/>
  <c r="H81"/>
  <c r="I81" s="1"/>
  <c r="J81" s="1"/>
  <c r="K81" s="1"/>
  <c r="L81" s="1"/>
  <c r="M81" s="1"/>
  <c r="J79"/>
  <c r="K79" s="1"/>
  <c r="L79" s="1"/>
  <c r="M79" s="1"/>
  <c r="H79"/>
  <c r="I79" s="1"/>
  <c r="J78"/>
  <c r="K78" s="1"/>
  <c r="L78" s="1"/>
  <c r="M78" s="1"/>
  <c r="H78"/>
  <c r="I78" s="1"/>
  <c r="I77"/>
  <c r="J77" s="1"/>
  <c r="K77" s="1"/>
  <c r="L77" s="1"/>
  <c r="M77" s="1"/>
  <c r="H77"/>
  <c r="I76"/>
  <c r="J76" s="1"/>
  <c r="K76" s="1"/>
  <c r="L76" s="1"/>
  <c r="M76" s="1"/>
  <c r="H76"/>
  <c r="J75"/>
  <c r="K75" s="1"/>
  <c r="L75" s="1"/>
  <c r="M75" s="1"/>
  <c r="H75"/>
  <c r="I75" s="1"/>
  <c r="J74"/>
  <c r="K74" s="1"/>
  <c r="L74" s="1"/>
  <c r="M74" s="1"/>
  <c r="H74"/>
  <c r="I74" s="1"/>
  <c r="I73"/>
  <c r="J73" s="1"/>
  <c r="K73" s="1"/>
  <c r="L73" s="1"/>
  <c r="M73" s="1"/>
  <c r="H73"/>
  <c r="I72"/>
  <c r="J72" s="1"/>
  <c r="K72" s="1"/>
  <c r="L72" s="1"/>
  <c r="M72" s="1"/>
  <c r="H72"/>
  <c r="J71"/>
  <c r="K71" s="1"/>
  <c r="L71" s="1"/>
  <c r="M71" s="1"/>
  <c r="H71"/>
  <c r="I71" s="1"/>
  <c r="J70"/>
  <c r="K70" s="1"/>
  <c r="L70" s="1"/>
  <c r="M70" s="1"/>
  <c r="H70"/>
  <c r="I70" s="1"/>
  <c r="I69"/>
  <c r="J69" s="1"/>
  <c r="K69" s="1"/>
  <c r="L69" s="1"/>
  <c r="M69" s="1"/>
  <c r="H69"/>
  <c r="J68"/>
  <c r="I68"/>
  <c r="H68"/>
  <c r="H121" s="1"/>
  <c r="G68"/>
  <c r="G82" s="1"/>
  <c r="G88" s="1"/>
  <c r="G96" s="1"/>
  <c r="G4" i="4" s="1"/>
  <c r="F68" i="3"/>
  <c r="E68"/>
  <c r="D68"/>
  <c r="I67"/>
  <c r="J67" s="1"/>
  <c r="H67"/>
  <c r="M64"/>
  <c r="L64"/>
  <c r="K64"/>
  <c r="J64"/>
  <c r="I64"/>
  <c r="H64"/>
  <c r="J60"/>
  <c r="M51"/>
  <c r="L51"/>
  <c r="K51"/>
  <c r="J51"/>
  <c r="I51"/>
  <c r="H51"/>
  <c r="J49"/>
  <c r="I49"/>
  <c r="I47" s="1"/>
  <c r="H49"/>
  <c r="J47"/>
  <c r="H47"/>
  <c r="E41"/>
  <c r="E36"/>
  <c r="D36"/>
  <c r="D41" s="1"/>
  <c r="D3" i="4" s="1"/>
  <c r="D31" i="3" s="1"/>
  <c r="D29" s="1"/>
  <c r="G34"/>
  <c r="F34"/>
  <c r="F36" s="1"/>
  <c r="F41" s="1"/>
  <c r="F3" i="4" s="1"/>
  <c r="G33" i="3"/>
  <c r="F33"/>
  <c r="J31"/>
  <c r="H27"/>
  <c r="H31" s="1"/>
  <c r="E27"/>
  <c r="D27"/>
  <c r="C27"/>
  <c r="K24"/>
  <c r="J24"/>
  <c r="I24"/>
  <c r="H24"/>
  <c r="G24"/>
  <c r="F24"/>
  <c r="E24"/>
  <c r="D24"/>
  <c r="C24"/>
  <c r="K23"/>
  <c r="K27" s="1"/>
  <c r="J23"/>
  <c r="J27" s="1"/>
  <c r="I23"/>
  <c r="I27" s="1"/>
  <c r="H23"/>
  <c r="G23"/>
  <c r="G27" s="1"/>
  <c r="F23"/>
  <c r="F27" s="1"/>
  <c r="E23"/>
  <c r="D23"/>
  <c r="C23"/>
  <c r="I8"/>
  <c r="J8" s="1"/>
  <c r="K8" s="1"/>
  <c r="L8" s="1"/>
  <c r="M8" s="1"/>
  <c r="K7"/>
  <c r="L23" s="1"/>
  <c r="L6"/>
  <c r="M6" s="1"/>
  <c r="J6"/>
  <c r="K6" s="1"/>
  <c r="H6"/>
  <c r="G6"/>
  <c r="F6"/>
  <c r="E6"/>
  <c r="D6"/>
  <c r="K5"/>
  <c r="L5" s="1"/>
  <c r="M5" s="1"/>
  <c r="J5"/>
  <c r="I5"/>
  <c r="B38" i="2"/>
  <c r="E37"/>
  <c r="B37"/>
  <c r="F35"/>
  <c r="E35"/>
  <c r="B35"/>
  <c r="F34"/>
  <c r="E34"/>
  <c r="D34"/>
  <c r="C34"/>
  <c r="B34"/>
  <c r="B33"/>
  <c r="E32"/>
  <c r="D32"/>
  <c r="C32"/>
  <c r="B32"/>
  <c r="B31"/>
  <c r="F30"/>
  <c r="E30"/>
  <c r="D30"/>
  <c r="C30"/>
  <c r="B30"/>
  <c r="F29"/>
  <c r="E29"/>
  <c r="D29"/>
  <c r="B29"/>
  <c r="F28"/>
  <c r="E28"/>
  <c r="D28"/>
  <c r="C28"/>
  <c r="B28"/>
  <c r="F27"/>
  <c r="E27"/>
  <c r="D27"/>
  <c r="C27"/>
  <c r="B27"/>
  <c r="D25"/>
  <c r="B25"/>
  <c r="E24"/>
  <c r="D24"/>
  <c r="C24"/>
  <c r="B24"/>
  <c r="D23"/>
  <c r="B23"/>
  <c r="D18"/>
  <c r="D7"/>
  <c r="C7"/>
  <c r="H3"/>
  <c r="G3"/>
  <c r="F3"/>
  <c r="E3"/>
  <c r="D3"/>
  <c r="D16" s="1"/>
  <c r="C3"/>
  <c r="B3"/>
  <c r="M5" i="8" l="1"/>
  <c r="N209" i="3" s="1"/>
  <c r="M209"/>
  <c r="G2" i="2"/>
  <c r="G4"/>
  <c r="G6" s="1"/>
  <c r="F6" i="6"/>
  <c r="G6"/>
  <c r="E168" i="3"/>
  <c r="F32" i="2"/>
  <c r="N27" i="3"/>
  <c r="G162"/>
  <c r="G159"/>
  <c r="N159" s="1"/>
  <c r="G160"/>
  <c r="N160" s="1"/>
  <c r="F24" i="2"/>
  <c r="G157" i="3"/>
  <c r="L157" s="1"/>
  <c r="I60"/>
  <c r="I31"/>
  <c r="L100"/>
  <c r="K31"/>
  <c r="K60"/>
  <c r="F163"/>
  <c r="F158"/>
  <c r="F22" i="4"/>
  <c r="F31" i="3"/>
  <c r="F29" s="1"/>
  <c r="E23" i="2"/>
  <c r="F5" i="4"/>
  <c r="E31" i="3"/>
  <c r="E29" s="1"/>
  <c r="H33"/>
  <c r="I121"/>
  <c r="I101"/>
  <c r="J101" s="1"/>
  <c r="K101" s="1"/>
  <c r="L101" s="1"/>
  <c r="M101" s="1"/>
  <c r="G4" i="6"/>
  <c r="G44" i="4"/>
  <c r="G178" i="3"/>
  <c r="H178" s="1"/>
  <c r="I178" s="1"/>
  <c r="J178" s="1"/>
  <c r="K178" s="1"/>
  <c r="L178" s="1"/>
  <c r="M178" s="1"/>
  <c r="N178" s="1"/>
  <c r="G176"/>
  <c r="H176" s="1"/>
  <c r="I176" s="1"/>
  <c r="J176" s="1"/>
  <c r="K176" s="1"/>
  <c r="L176" s="1"/>
  <c r="M176" s="1"/>
  <c r="N176" s="1"/>
  <c r="G177"/>
  <c r="H177" s="1"/>
  <c r="I177" s="1"/>
  <c r="J177" s="1"/>
  <c r="K177" s="1"/>
  <c r="L177" s="1"/>
  <c r="M177" s="1"/>
  <c r="N177" s="1"/>
  <c r="G32" i="4"/>
  <c r="K68" i="3"/>
  <c r="K49"/>
  <c r="K47" s="1"/>
  <c r="I99"/>
  <c r="L7"/>
  <c r="L93" s="1"/>
  <c r="L24"/>
  <c r="L27" s="1"/>
  <c r="K67"/>
  <c r="D5" i="4"/>
  <c r="D163" i="3"/>
  <c r="D158"/>
  <c r="H9" i="4"/>
  <c r="H196" i="3"/>
  <c r="L152"/>
  <c r="C23" i="2"/>
  <c r="H35" i="3"/>
  <c r="H34"/>
  <c r="I34" s="1"/>
  <c r="J34" s="1"/>
  <c r="K34" s="1"/>
  <c r="L34" s="1"/>
  <c r="M34" s="1"/>
  <c r="N34" s="1"/>
  <c r="G36"/>
  <c r="G41" s="1"/>
  <c r="G3" i="4" s="1"/>
  <c r="H60" i="3"/>
  <c r="H59" s="1"/>
  <c r="I59" s="1"/>
  <c r="J59" s="1"/>
  <c r="K59" s="1"/>
  <c r="F167"/>
  <c r="F45" i="4"/>
  <c r="F33"/>
  <c r="D162" i="3"/>
  <c r="D168" s="1"/>
  <c r="D157"/>
  <c r="D159"/>
  <c r="E38" i="2"/>
  <c r="G33" i="4"/>
  <c r="G45"/>
  <c r="E167" i="3"/>
  <c r="E33" i="4"/>
  <c r="H37" i="5"/>
  <c r="L187" i="3"/>
  <c r="M187" s="1"/>
  <c r="E19" i="4"/>
  <c r="E10"/>
  <c r="I117" i="3"/>
  <c r="J117" s="1"/>
  <c r="K117" s="1"/>
  <c r="L117" s="1"/>
  <c r="F168"/>
  <c r="K188"/>
  <c r="D5" i="6"/>
  <c r="D40" i="4"/>
  <c r="J26" i="5"/>
  <c r="C7" i="6"/>
  <c r="C47" i="4"/>
  <c r="F11" i="6"/>
  <c r="F41" i="4"/>
  <c r="R24" i="6"/>
  <c r="G41" i="4"/>
  <c r="H10" i="6"/>
  <c r="D4"/>
  <c r="D44" i="4"/>
  <c r="G16"/>
  <c r="D32"/>
  <c r="E40"/>
  <c r="E4" i="6"/>
  <c r="E44" i="4"/>
  <c r="E32"/>
  <c r="I47" i="5"/>
  <c r="J47" s="1"/>
  <c r="K47" s="1"/>
  <c r="L47" s="1"/>
  <c r="M47" s="1"/>
  <c r="H35"/>
  <c r="F32" i="4"/>
  <c r="D33"/>
  <c r="C10" i="6"/>
  <c r="C53" i="4"/>
  <c r="K10" i="6"/>
  <c r="R26"/>
  <c r="R25" s="1"/>
  <c r="G98" i="5"/>
  <c r="F44" i="4"/>
  <c r="H41" i="5"/>
  <c r="E11" i="6"/>
  <c r="E41" i="4"/>
  <c r="C6" i="6"/>
  <c r="E10"/>
  <c r="M10"/>
  <c r="G28" i="5"/>
  <c r="H28" s="1"/>
  <c r="I28" s="1"/>
  <c r="J28" s="1"/>
  <c r="K28" s="1"/>
  <c r="L28" s="1"/>
  <c r="M28" s="1"/>
  <c r="G14"/>
  <c r="C39" i="4"/>
  <c r="C42" s="1"/>
  <c r="D6" i="6"/>
  <c r="E98" i="5"/>
  <c r="C97"/>
  <c r="H63" i="6"/>
  <c r="I26" i="5"/>
  <c r="C98"/>
  <c r="J40" i="6"/>
  <c r="J58" s="1"/>
  <c r="H75"/>
  <c r="H85" s="1"/>
  <c r="G5" i="8"/>
  <c r="I6"/>
  <c r="J211" i="3" s="1"/>
  <c r="J210" s="1"/>
  <c r="K210" s="1"/>
  <c r="L210" s="1"/>
  <c r="F16" i="8"/>
  <c r="G14" s="1"/>
  <c r="K40" i="6"/>
  <c r="K58" s="1"/>
  <c r="H5" i="8"/>
  <c r="J6"/>
  <c r="K211" i="3" s="1"/>
  <c r="L40" i="6"/>
  <c r="L58" s="1"/>
  <c r="K6" i="8"/>
  <c r="L211" i="3" s="1"/>
  <c r="M40" i="6"/>
  <c r="M58" s="1"/>
  <c r="L6" i="8"/>
  <c r="M211" i="3" s="1"/>
  <c r="H40" i="6"/>
  <c r="H58" s="1"/>
  <c r="H65"/>
  <c r="N157" i="3" l="1"/>
  <c r="K160"/>
  <c r="I157"/>
  <c r="D167"/>
  <c r="C8" i="6"/>
  <c r="C13" s="1"/>
  <c r="D165" i="3"/>
  <c r="M210"/>
  <c r="N210" s="1"/>
  <c r="N31"/>
  <c r="N60"/>
  <c r="L31"/>
  <c r="L60"/>
  <c r="G167"/>
  <c r="I159"/>
  <c r="J159"/>
  <c r="E47" i="4"/>
  <c r="E7" i="6"/>
  <c r="G5" i="4"/>
  <c r="B3"/>
  <c r="C31" i="3" s="1"/>
  <c r="G163"/>
  <c r="G158"/>
  <c r="N158" s="1"/>
  <c r="G22" i="4"/>
  <c r="G31" i="3"/>
  <c r="G29" s="1"/>
  <c r="F23" i="2"/>
  <c r="C55" i="4"/>
  <c r="C57" s="1"/>
  <c r="E3" i="6"/>
  <c r="E8" s="1"/>
  <c r="E13" s="1"/>
  <c r="E12" i="4"/>
  <c r="D31" i="2"/>
  <c r="H228" i="3"/>
  <c r="H224" s="1"/>
  <c r="G30" i="2"/>
  <c r="J121" i="3"/>
  <c r="H43" i="5"/>
  <c r="I40" s="1"/>
  <c r="H172" i="3"/>
  <c r="L122"/>
  <c r="F166"/>
  <c r="L158"/>
  <c r="I158"/>
  <c r="K158"/>
  <c r="H158"/>
  <c r="L59"/>
  <c r="H11" i="8"/>
  <c r="I214" i="3" s="1"/>
  <c r="I209"/>
  <c r="G23" i="5"/>
  <c r="H10"/>
  <c r="G27"/>
  <c r="K26"/>
  <c r="F7" i="6"/>
  <c r="F47" i="4"/>
  <c r="L159" i="3"/>
  <c r="D166"/>
  <c r="H36"/>
  <c r="H38"/>
  <c r="I33"/>
  <c r="D7" i="6"/>
  <c r="D47" i="4"/>
  <c r="I34" i="5"/>
  <c r="M24" i="3"/>
  <c r="M23"/>
  <c r="M27" s="1"/>
  <c r="M7"/>
  <c r="M93" s="1"/>
  <c r="N93" s="1"/>
  <c r="L68"/>
  <c r="L49"/>
  <c r="L47" s="1"/>
  <c r="G73" i="6"/>
  <c r="G74" s="1"/>
  <c r="G17" i="4"/>
  <c r="F37" i="2"/>
  <c r="K159" i="3"/>
  <c r="M159"/>
  <c r="M152"/>
  <c r="J99"/>
  <c r="G165"/>
  <c r="K157"/>
  <c r="J157"/>
  <c r="M157"/>
  <c r="G15" i="8"/>
  <c r="H88" i="5" s="1"/>
  <c r="G11" i="8"/>
  <c r="H214" i="3" s="1"/>
  <c r="H213" s="1"/>
  <c r="I213" s="1"/>
  <c r="J213" s="1"/>
  <c r="K213" s="1"/>
  <c r="L213" s="1"/>
  <c r="M213" s="1"/>
  <c r="N213" s="1"/>
  <c r="H209"/>
  <c r="H208" s="1"/>
  <c r="R27" i="6"/>
  <c r="N17" s="1"/>
  <c r="L188" i="3"/>
  <c r="H157"/>
  <c r="H159"/>
  <c r="D19" i="4"/>
  <c r="D10"/>
  <c r="C25" i="2"/>
  <c r="G7" i="6"/>
  <c r="G47" i="4"/>
  <c r="F10"/>
  <c r="F19"/>
  <c r="E25" i="2"/>
  <c r="M160" i="3"/>
  <c r="J160"/>
  <c r="G168"/>
  <c r="I160"/>
  <c r="H160"/>
  <c r="L160"/>
  <c r="L67"/>
  <c r="M158" l="1"/>
  <c r="J158"/>
  <c r="M122"/>
  <c r="I38"/>
  <c r="J33"/>
  <c r="I36"/>
  <c r="H39"/>
  <c r="H40" s="1"/>
  <c r="K121"/>
  <c r="F3" i="6"/>
  <c r="F8" s="1"/>
  <c r="F13" s="1"/>
  <c r="F227" i="3"/>
  <c r="F223" s="1"/>
  <c r="E31" i="2"/>
  <c r="F12" i="4"/>
  <c r="L17" i="6"/>
  <c r="K17"/>
  <c r="J17"/>
  <c r="H17"/>
  <c r="M17"/>
  <c r="I17"/>
  <c r="F7" i="2"/>
  <c r="H7"/>
  <c r="E7"/>
  <c r="G7"/>
  <c r="B7"/>
  <c r="K99" i="3"/>
  <c r="G76" i="6"/>
  <c r="G78" s="1"/>
  <c r="E2" i="2"/>
  <c r="E4" s="1"/>
  <c r="E6" s="1"/>
  <c r="M100" i="3"/>
  <c r="M31"/>
  <c r="M60"/>
  <c r="H33" i="4"/>
  <c r="H114" i="3"/>
  <c r="H27" i="5"/>
  <c r="I27" s="1"/>
  <c r="L26"/>
  <c r="H45"/>
  <c r="H24"/>
  <c r="H11"/>
  <c r="H14" s="1"/>
  <c r="M188" i="3"/>
  <c r="I35" i="5"/>
  <c r="I37" s="1"/>
  <c r="M59" i="3"/>
  <c r="N59" s="1"/>
  <c r="I41" i="5"/>
  <c r="I172" i="3" s="1"/>
  <c r="I43" i="5"/>
  <c r="J40" s="1"/>
  <c r="G10" i="4"/>
  <c r="G19"/>
  <c r="F25" i="2"/>
  <c r="G18" i="4"/>
  <c r="G52" s="1"/>
  <c r="G53" s="1"/>
  <c r="F38" i="2"/>
  <c r="H220" i="3"/>
  <c r="H11" i="4" s="1"/>
  <c r="I208" i="3"/>
  <c r="M117"/>
  <c r="G166"/>
  <c r="D3" i="6"/>
  <c r="D8" s="1"/>
  <c r="D13" s="1"/>
  <c r="D12" i="4"/>
  <c r="C31" i="2"/>
  <c r="M68" i="3"/>
  <c r="M67" s="1"/>
  <c r="N67" s="1"/>
  <c r="M49"/>
  <c r="M47" s="1"/>
  <c r="E14" i="4"/>
  <c r="E21"/>
  <c r="E31"/>
  <c r="E39" s="1"/>
  <c r="E42" s="1"/>
  <c r="E20"/>
  <c r="D33" i="2"/>
  <c r="G16" i="8"/>
  <c r="I10" i="5" l="1"/>
  <c r="I45"/>
  <c r="J34"/>
  <c r="H11" i="6"/>
  <c r="G32" i="2"/>
  <c r="H41" i="4"/>
  <c r="M26" i="5"/>
  <c r="J41"/>
  <c r="J172" i="3" s="1"/>
  <c r="E24" i="4"/>
  <c r="E16"/>
  <c r="E22"/>
  <c r="D35" i="2"/>
  <c r="F21" i="4"/>
  <c r="F20"/>
  <c r="F202" i="3"/>
  <c r="F31" i="4"/>
  <c r="F39" s="1"/>
  <c r="F42" s="1"/>
  <c r="F55" s="1"/>
  <c r="F57" s="1"/>
  <c r="F229" i="3"/>
  <c r="E33" i="2"/>
  <c r="H41" i="3"/>
  <c r="J38"/>
  <c r="K33"/>
  <c r="J36"/>
  <c r="J208"/>
  <c r="I220"/>
  <c r="I11" i="4" s="1"/>
  <c r="D31"/>
  <c r="D39" s="1"/>
  <c r="D42" s="1"/>
  <c r="D14"/>
  <c r="D20"/>
  <c r="C33" i="2"/>
  <c r="D21" i="4"/>
  <c r="I33"/>
  <c r="I114" i="3"/>
  <c r="L121"/>
  <c r="H31" i="5"/>
  <c r="H45" i="4" s="1"/>
  <c r="L99" i="3"/>
  <c r="I39"/>
  <c r="I40" s="1"/>
  <c r="H14" i="8"/>
  <c r="H87" i="5"/>
  <c r="G3" i="6"/>
  <c r="G8" s="1"/>
  <c r="G13" s="1"/>
  <c r="G12" i="4"/>
  <c r="F31" i="2"/>
  <c r="G227" i="3"/>
  <c r="G223" s="1"/>
  <c r="J27" i="5"/>
  <c r="K27" s="1"/>
  <c r="H18"/>
  <c r="H3" i="4" l="1"/>
  <c r="M121" i="3"/>
  <c r="E17" i="4"/>
  <c r="D37" i="2"/>
  <c r="J40" i="3"/>
  <c r="J41" s="1"/>
  <c r="J39"/>
  <c r="I41"/>
  <c r="G21" i="4"/>
  <c r="G20"/>
  <c r="G202" i="3"/>
  <c r="G31" i="4"/>
  <c r="G39" s="1"/>
  <c r="G42" s="1"/>
  <c r="G55" s="1"/>
  <c r="G57" s="1"/>
  <c r="G229" i="3"/>
  <c r="F33" i="2"/>
  <c r="J220" i="3"/>
  <c r="J11" i="4" s="1"/>
  <c r="K208" i="3"/>
  <c r="F203"/>
  <c r="F204"/>
  <c r="K36"/>
  <c r="K38"/>
  <c r="L33"/>
  <c r="J114"/>
  <c r="J33" i="4"/>
  <c r="J35" i="5"/>
  <c r="J37" s="1"/>
  <c r="L27"/>
  <c r="M27" s="1"/>
  <c r="D22" i="4"/>
  <c r="D16"/>
  <c r="B14"/>
  <c r="C35" i="2"/>
  <c r="D24" i="4"/>
  <c r="R37" i="6"/>
  <c r="R40" s="1"/>
  <c r="I24" i="5"/>
  <c r="I11"/>
  <c r="I14" s="1"/>
  <c r="I41" i="4"/>
  <c r="I11" i="6"/>
  <c r="H32" i="2"/>
  <c r="M99" i="3"/>
  <c r="H171"/>
  <c r="H21" i="5"/>
  <c r="H15" i="8"/>
  <c r="I88" i="5" s="1"/>
  <c r="J43"/>
  <c r="K40" s="1"/>
  <c r="I31"/>
  <c r="I45" i="4" s="1"/>
  <c r="K34" i="5" l="1"/>
  <c r="J45"/>
  <c r="D6" i="7"/>
  <c r="J3" i="4"/>
  <c r="J10" i="5"/>
  <c r="K40" i="3"/>
  <c r="K41"/>
  <c r="K39"/>
  <c r="E18" i="4"/>
  <c r="E52" s="1"/>
  <c r="E53" s="1"/>
  <c r="E55" s="1"/>
  <c r="E57" s="1"/>
  <c r="D38" i="2"/>
  <c r="I17" i="5"/>
  <c r="H23"/>
  <c r="H7" s="1"/>
  <c r="H4" i="6"/>
  <c r="H32" i="4"/>
  <c r="H80" i="3"/>
  <c r="H82" s="1"/>
  <c r="H88" s="1"/>
  <c r="H96" s="1"/>
  <c r="H4" i="4" s="1"/>
  <c r="H5" s="1"/>
  <c r="H113" i="3"/>
  <c r="H118" s="1"/>
  <c r="H6" i="4" s="1"/>
  <c r="H137" i="3"/>
  <c r="H139" s="1"/>
  <c r="H7" i="4" s="1"/>
  <c r="D17"/>
  <c r="C37" i="2"/>
  <c r="L208" i="3"/>
  <c r="K220"/>
  <c r="K11" i="4" s="1"/>
  <c r="C6" i="7"/>
  <c r="I3" i="4"/>
  <c r="K41" i="5"/>
  <c r="K172" i="3" s="1"/>
  <c r="K43" i="5"/>
  <c r="L40" s="1"/>
  <c r="J11" i="6"/>
  <c r="J41" i="4"/>
  <c r="I32" i="2"/>
  <c r="G23"/>
  <c r="H163" i="3"/>
  <c r="H166" s="1"/>
  <c r="H56" i="5" s="1"/>
  <c r="G203" i="3"/>
  <c r="H203" s="1"/>
  <c r="G204"/>
  <c r="M204" s="1"/>
  <c r="K204"/>
  <c r="H204"/>
  <c r="H16" i="8"/>
  <c r="L38" i="3"/>
  <c r="M33"/>
  <c r="N33" s="1"/>
  <c r="L36"/>
  <c r="N166" l="1"/>
  <c r="N56" i="5" s="1"/>
  <c r="N204" i="3"/>
  <c r="N38"/>
  <c r="N36"/>
  <c r="H19" i="4"/>
  <c r="H193" i="3"/>
  <c r="G25" i="2"/>
  <c r="L39" i="3"/>
  <c r="L40"/>
  <c r="L41" s="1"/>
  <c r="E6" i="7"/>
  <c r="M6" s="1"/>
  <c r="K3" i="4"/>
  <c r="H44"/>
  <c r="H52" i="5"/>
  <c r="J24"/>
  <c r="J14"/>
  <c r="J11"/>
  <c r="M38" i="3"/>
  <c r="M36"/>
  <c r="L204"/>
  <c r="D18" i="4"/>
  <c r="D52" s="1"/>
  <c r="D53" s="1"/>
  <c r="D55" s="1"/>
  <c r="D57" s="1"/>
  <c r="C38" i="2"/>
  <c r="I18" i="5"/>
  <c r="I171" i="3" s="1"/>
  <c r="I21" i="5"/>
  <c r="Q3" i="4"/>
  <c r="J163" i="3"/>
  <c r="J166" s="1"/>
  <c r="J56" i="5" s="1"/>
  <c r="I23" i="2"/>
  <c r="H162" i="3"/>
  <c r="G24" i="2"/>
  <c r="L41" i="5"/>
  <c r="L172" i="3" s="1"/>
  <c r="I204"/>
  <c r="L6" i="7"/>
  <c r="I203" i="3"/>
  <c r="J203" s="1"/>
  <c r="K33" i="4"/>
  <c r="K114" i="3"/>
  <c r="H195"/>
  <c r="G28" i="2"/>
  <c r="J31" i="5"/>
  <c r="J45" i="4" s="1"/>
  <c r="K41"/>
  <c r="K11" i="6"/>
  <c r="J32" i="2"/>
  <c r="M208" i="3"/>
  <c r="L220"/>
  <c r="L11" i="4" s="1"/>
  <c r="I14" i="8"/>
  <c r="I87" i="5"/>
  <c r="J204" i="3"/>
  <c r="P3" i="4"/>
  <c r="I163" i="3"/>
  <c r="I166" s="1"/>
  <c r="I56" i="5" s="1"/>
  <c r="H23" i="2"/>
  <c r="H194" i="3"/>
  <c r="G27" i="2"/>
  <c r="K35" i="5"/>
  <c r="K37" s="1"/>
  <c r="M220" i="3" l="1"/>
  <c r="M11" i="4" s="1"/>
  <c r="N208" i="3"/>
  <c r="N220" s="1"/>
  <c r="N11" i="4" s="1"/>
  <c r="N39" i="3"/>
  <c r="K45" i="5"/>
  <c r="L34"/>
  <c r="F6" i="7"/>
  <c r="N6" s="1"/>
  <c r="L3" i="4"/>
  <c r="J17" i="5"/>
  <c r="I23"/>
  <c r="I7" s="1"/>
  <c r="I15" i="8"/>
  <c r="J88" i="5" s="1"/>
  <c r="I16" i="8"/>
  <c r="L43" i="5"/>
  <c r="M40" s="1"/>
  <c r="I4" i="6"/>
  <c r="I32" i="4"/>
  <c r="I113" i="3"/>
  <c r="I118" s="1"/>
  <c r="I6" i="4" s="1"/>
  <c r="I137" i="3"/>
  <c r="I139" s="1"/>
  <c r="I7" i="4" s="1"/>
  <c r="I80" i="3"/>
  <c r="I82" s="1"/>
  <c r="I88" s="1"/>
  <c r="I96" s="1"/>
  <c r="I4" i="4" s="1"/>
  <c r="K10" i="5"/>
  <c r="M11" i="6"/>
  <c r="M41" i="4"/>
  <c r="L32" i="2"/>
  <c r="H165" i="3"/>
  <c r="H55" i="5" s="1"/>
  <c r="H168" i="3"/>
  <c r="H54" i="5" s="1"/>
  <c r="H167" i="3"/>
  <c r="H89" i="5" s="1"/>
  <c r="H7" i="6"/>
  <c r="H47" i="4"/>
  <c r="H192" i="3"/>
  <c r="H202" s="1"/>
  <c r="L33" i="4"/>
  <c r="L114" i="3"/>
  <c r="R3" i="4"/>
  <c r="K163" i="3"/>
  <c r="K166" s="1"/>
  <c r="K56" i="5" s="1"/>
  <c r="J23" i="2"/>
  <c r="L11" i="6"/>
  <c r="L41" i="4"/>
  <c r="K32" i="2"/>
  <c r="K203" i="3"/>
  <c r="M39"/>
  <c r="M40" s="1"/>
  <c r="N41" i="4" l="1"/>
  <c r="N11" i="6"/>
  <c r="M32" i="2"/>
  <c r="N41" i="3"/>
  <c r="N40"/>
  <c r="M41" i="5"/>
  <c r="M172" i="3" s="1"/>
  <c r="M33" i="4" s="1"/>
  <c r="M43" i="5"/>
  <c r="N40" s="1"/>
  <c r="M41" i="3"/>
  <c r="I162"/>
  <c r="H24" i="2"/>
  <c r="I5" i="4"/>
  <c r="I44"/>
  <c r="I52" i="5"/>
  <c r="H37" i="4"/>
  <c r="L35" i="5"/>
  <c r="L37" s="1"/>
  <c r="J14" i="8"/>
  <c r="J87" i="5"/>
  <c r="K24"/>
  <c r="K11"/>
  <c r="K14" s="1"/>
  <c r="I195" i="3"/>
  <c r="H28" i="2"/>
  <c r="J18" i="5"/>
  <c r="J171" i="3" s="1"/>
  <c r="H36" i="4"/>
  <c r="K31" i="5"/>
  <c r="K45" i="4" s="1"/>
  <c r="H91" i="5"/>
  <c r="H51" i="4" s="1"/>
  <c r="H200" i="3"/>
  <c r="H199"/>
  <c r="I194"/>
  <c r="H27" i="2"/>
  <c r="L203" i="3"/>
  <c r="S3" i="4"/>
  <c r="K23" i="2"/>
  <c r="L163" i="3"/>
  <c r="L166" s="1"/>
  <c r="L56" i="5" s="1"/>
  <c r="N41" l="1"/>
  <c r="N172" i="3" s="1"/>
  <c r="H8" i="4"/>
  <c r="G29" i="2" s="1"/>
  <c r="M203" i="3"/>
  <c r="N203" s="1"/>
  <c r="L45" i="5"/>
  <c r="M34"/>
  <c r="L10"/>
  <c r="H12" i="6"/>
  <c r="H6"/>
  <c r="I47" i="4"/>
  <c r="I7" i="6"/>
  <c r="G6" i="7"/>
  <c r="M3" i="4"/>
  <c r="H94" i="5"/>
  <c r="J21"/>
  <c r="I193" i="3"/>
  <c r="I19" i="4"/>
  <c r="H25" i="2"/>
  <c r="M114" i="3"/>
  <c r="J4" i="6"/>
  <c r="J137" i="3"/>
  <c r="J139" s="1"/>
  <c r="J7" i="4" s="1"/>
  <c r="J32"/>
  <c r="J113" i="3"/>
  <c r="J118" s="1"/>
  <c r="J6" i="4" s="1"/>
  <c r="J80" i="3"/>
  <c r="J82" s="1"/>
  <c r="J88" s="1"/>
  <c r="J96" s="1"/>
  <c r="J4" i="4" s="1"/>
  <c r="J15" i="8"/>
  <c r="K88" i="5" s="1"/>
  <c r="I165" i="3"/>
  <c r="I55" i="5" s="1"/>
  <c r="I167" i="3"/>
  <c r="I89" i="5" s="1"/>
  <c r="I168" i="3"/>
  <c r="I54" i="5" s="1"/>
  <c r="H10" i="4" l="1"/>
  <c r="O6" i="7"/>
  <c r="P6"/>
  <c r="N114" i="3"/>
  <c r="N33" i="4"/>
  <c r="N43" i="5"/>
  <c r="I36" i="4"/>
  <c r="M35" i="5"/>
  <c r="M37"/>
  <c r="J16" i="8"/>
  <c r="J195" i="3"/>
  <c r="I28" i="2"/>
  <c r="I37" i="4"/>
  <c r="L31" i="5"/>
  <c r="L45" i="4" s="1"/>
  <c r="H3" i="6"/>
  <c r="H227" i="3"/>
  <c r="H223" s="1"/>
  <c r="H225" s="1"/>
  <c r="H13" i="4" s="1"/>
  <c r="H12"/>
  <c r="G31" i="2"/>
  <c r="K17" i="5"/>
  <c r="J23"/>
  <c r="J7" s="1"/>
  <c r="M163" i="3"/>
  <c r="M166" s="1"/>
  <c r="M56" i="5" s="1"/>
  <c r="L23" i="2"/>
  <c r="I91" i="5"/>
  <c r="I51" i="4" s="1"/>
  <c r="J162" i="3"/>
  <c r="I24" i="2"/>
  <c r="J5" i="4"/>
  <c r="J194" i="3"/>
  <c r="I27" i="2"/>
  <c r="L24" i="5"/>
  <c r="L11"/>
  <c r="L14" s="1"/>
  <c r="M45" l="1"/>
  <c r="M31" s="1"/>
  <c r="M45" i="4" s="1"/>
  <c r="N34" i="5"/>
  <c r="M10"/>
  <c r="K14" i="8"/>
  <c r="K87" i="5"/>
  <c r="J19" i="4"/>
  <c r="J193" i="3"/>
  <c r="I25" i="2"/>
  <c r="J167" i="3"/>
  <c r="J89" i="5" s="1"/>
  <c r="J165" i="3"/>
  <c r="J55" i="5" s="1"/>
  <c r="J91" s="1"/>
  <c r="J51" i="4" s="1"/>
  <c r="J168" i="3"/>
  <c r="J54" i="5" s="1"/>
  <c r="H14" i="4"/>
  <c r="H31"/>
  <c r="H39" s="1"/>
  <c r="H229" i="3"/>
  <c r="H20" i="4"/>
  <c r="G33" i="2"/>
  <c r="K18" i="5"/>
  <c r="K171" i="3" s="1"/>
  <c r="K21" i="5"/>
  <c r="H40" i="4"/>
  <c r="H5" i="6"/>
  <c r="H8" s="1"/>
  <c r="H21" i="4"/>
  <c r="G34" i="2"/>
  <c r="I12" i="6"/>
  <c r="J44" i="4"/>
  <c r="J52" i="5"/>
  <c r="I94"/>
  <c r="I6" i="6"/>
  <c r="H42" i="4" l="1"/>
  <c r="N37" i="5"/>
  <c r="N45" s="1"/>
  <c r="N35"/>
  <c r="H13" i="6"/>
  <c r="H39" s="1"/>
  <c r="H41" s="1"/>
  <c r="H18"/>
  <c r="H16" i="4"/>
  <c r="H22"/>
  <c r="G35" i="2"/>
  <c r="L17" i="5"/>
  <c r="K23"/>
  <c r="K7" s="1"/>
  <c r="K4" i="6"/>
  <c r="K32" i="4"/>
  <c r="K80" i="3"/>
  <c r="K82" s="1"/>
  <c r="K88" s="1"/>
  <c r="K96" s="1"/>
  <c r="K4" i="4" s="1"/>
  <c r="K113" i="3"/>
  <c r="K118" s="1"/>
  <c r="K6" i="4" s="1"/>
  <c r="K137" i="3"/>
  <c r="K139" s="1"/>
  <c r="K7" i="4" s="1"/>
  <c r="J36"/>
  <c r="K15" i="8"/>
  <c r="L88" i="5" s="1"/>
  <c r="J12" i="6"/>
  <c r="M24" i="5"/>
  <c r="M11"/>
  <c r="M14" s="1"/>
  <c r="N10" s="1"/>
  <c r="J47" i="4"/>
  <c r="J7" i="6"/>
  <c r="J94" i="5"/>
  <c r="J37" i="4"/>
  <c r="K16" i="8" l="1"/>
  <c r="N31" i="5"/>
  <c r="N45" i="4" s="1"/>
  <c r="N24" i="5"/>
  <c r="N11"/>
  <c r="N14" s="1"/>
  <c r="K44" i="4"/>
  <c r="K52" i="5"/>
  <c r="H73" i="6"/>
  <c r="H74" s="1"/>
  <c r="H17" i="4"/>
  <c r="G37" i="2"/>
  <c r="K162" i="3"/>
  <c r="J24" i="2"/>
  <c r="K5" i="4"/>
  <c r="J6" i="6"/>
  <c r="L18" i="5"/>
  <c r="L171" i="3" s="1"/>
  <c r="K194"/>
  <c r="J27" i="2"/>
  <c r="L87" i="5"/>
  <c r="L14" i="8"/>
  <c r="K195" i="3"/>
  <c r="J28" i="2"/>
  <c r="H57" i="6" l="1"/>
  <c r="H59" s="1"/>
  <c r="H34"/>
  <c r="H52" s="1"/>
  <c r="H67" s="1"/>
  <c r="H77" s="1"/>
  <c r="H18" i="4"/>
  <c r="G38" i="2"/>
  <c r="K168" i="3"/>
  <c r="K54" i="5" s="1"/>
  <c r="K165" i="3"/>
  <c r="K55" i="5" s="1"/>
  <c r="K167" i="3"/>
  <c r="K89" i="5" s="1"/>
  <c r="H76" i="6"/>
  <c r="F2" i="2"/>
  <c r="L4" i="6"/>
  <c r="L113" i="3"/>
  <c r="L118" s="1"/>
  <c r="L6" i="4" s="1"/>
  <c r="L32"/>
  <c r="L80" i="3"/>
  <c r="L82" s="1"/>
  <c r="L88" s="1"/>
  <c r="L96" s="1"/>
  <c r="L4" i="4" s="1"/>
  <c r="L137" i="3"/>
  <c r="L139" s="1"/>
  <c r="L7" i="4" s="1"/>
  <c r="K47"/>
  <c r="K7" i="6"/>
  <c r="L21" i="5"/>
  <c r="L15" i="8"/>
  <c r="M88" i="5" s="1"/>
  <c r="K19" i="4"/>
  <c r="K193" i="3"/>
  <c r="J25" i="2"/>
  <c r="L16" i="8" l="1"/>
  <c r="K36" i="4"/>
  <c r="L195" i="3"/>
  <c r="K28" i="2"/>
  <c r="K37" i="4"/>
  <c r="K91" i="5"/>
  <c r="K51" i="4" s="1"/>
  <c r="L194" i="3"/>
  <c r="K27" i="2"/>
  <c r="H52" i="4"/>
  <c r="H53" s="1"/>
  <c r="H55" s="1"/>
  <c r="H57" s="1"/>
  <c r="H75" i="5"/>
  <c r="L162" i="3"/>
  <c r="K24" i="2"/>
  <c r="L5" i="4"/>
  <c r="H87" i="6"/>
  <c r="H78"/>
  <c r="M17" i="5"/>
  <c r="L23"/>
  <c r="L7" s="1"/>
  <c r="B14" i="2"/>
  <c r="D14" s="1"/>
  <c r="F4"/>
  <c r="F6" s="1"/>
  <c r="M87" i="5" l="1"/>
  <c r="M14" i="8"/>
  <c r="L19" i="4"/>
  <c r="L193" i="3"/>
  <c r="K25" i="2"/>
  <c r="K94" i="5"/>
  <c r="L165" i="3"/>
  <c r="L55" i="5" s="1"/>
  <c r="L167" i="3"/>
  <c r="L89" i="5" s="1"/>
  <c r="L168" i="3"/>
  <c r="L54" i="5" s="1"/>
  <c r="M18"/>
  <c r="M171" i="3" s="1"/>
  <c r="M21" i="5"/>
  <c r="H76"/>
  <c r="K6" i="6"/>
  <c r="K12"/>
  <c r="L44" i="4"/>
  <c r="L52" i="5"/>
  <c r="I56" i="4"/>
  <c r="H62" i="5"/>
  <c r="M15" i="8" l="1"/>
  <c r="N88" i="5" s="1"/>
  <c r="M16" i="8"/>
  <c r="N87" i="5" s="1"/>
  <c r="M23"/>
  <c r="M7" s="1"/>
  <c r="M44" i="4" s="1"/>
  <c r="N17" i="5"/>
  <c r="L91"/>
  <c r="L51" i="4" s="1"/>
  <c r="L7" i="6"/>
  <c r="L47" i="4"/>
  <c r="L12" i="6"/>
  <c r="I145" i="3"/>
  <c r="I143" s="1"/>
  <c r="I153" s="1"/>
  <c r="H63" i="5"/>
  <c r="H65" s="1"/>
  <c r="H98" s="1"/>
  <c r="H83" i="6"/>
  <c r="H84" s="1"/>
  <c r="G24" i="4"/>
  <c r="R31" i="6" s="1"/>
  <c r="R34" s="1"/>
  <c r="H97" i="5"/>
  <c r="L36" i="4"/>
  <c r="L37"/>
  <c r="L94" i="5"/>
  <c r="M4" i="6"/>
  <c r="M137" i="3"/>
  <c r="M139" s="1"/>
  <c r="M7" i="4" s="1"/>
  <c r="M32"/>
  <c r="M113" i="3"/>
  <c r="M118" s="1"/>
  <c r="M6" i="4" s="1"/>
  <c r="M80" i="3"/>
  <c r="M52" i="5" l="1"/>
  <c r="M82" i="3"/>
  <c r="M88" s="1"/>
  <c r="M96" s="1"/>
  <c r="M4" i="4" s="1"/>
  <c r="M5" s="1"/>
  <c r="L25" i="2" s="1"/>
  <c r="N80" i="3"/>
  <c r="N82" s="1"/>
  <c r="N88" s="1"/>
  <c r="N96" s="1"/>
  <c r="N4" i="4" s="1"/>
  <c r="N18" i="5"/>
  <c r="N171" i="3" s="1"/>
  <c r="N4" i="6" s="1"/>
  <c r="N21" i="5"/>
  <c r="N23" s="1"/>
  <c r="N7" s="1"/>
  <c r="L6" i="6"/>
  <c r="M47" i="4"/>
  <c r="M7" i="6"/>
  <c r="M195" i="3"/>
  <c r="L28" i="2"/>
  <c r="M194" i="3"/>
  <c r="L27" i="2"/>
  <c r="I9" i="4"/>
  <c r="I196" i="3"/>
  <c r="I192" s="1"/>
  <c r="I202" s="1"/>
  <c r="L24" i="2"/>
  <c r="H86" i="6"/>
  <c r="H88" s="1"/>
  <c r="H2" i="2"/>
  <c r="H4" s="1"/>
  <c r="H6" s="1"/>
  <c r="M162" i="3" l="1"/>
  <c r="N44" i="4"/>
  <c r="N52" i="5"/>
  <c r="N32" i="4"/>
  <c r="N113" i="3"/>
  <c r="N118" s="1"/>
  <c r="N6" i="4" s="1"/>
  <c r="N137" i="3"/>
  <c r="N139" s="1"/>
  <c r="N7" i="4" s="1"/>
  <c r="N5"/>
  <c r="M24" i="2"/>
  <c r="N162" i="3"/>
  <c r="I228"/>
  <c r="I224" s="1"/>
  <c r="H30" i="2"/>
  <c r="M167" i="3"/>
  <c r="M89" i="5" s="1"/>
  <c r="M165" i="3"/>
  <c r="M55" i="5" s="1"/>
  <c r="M168" i="3"/>
  <c r="M54" i="5" s="1"/>
  <c r="I199" i="3"/>
  <c r="I200"/>
  <c r="M19" i="4"/>
  <c r="M193" i="3"/>
  <c r="N47" i="4" l="1"/>
  <c r="N7" i="6"/>
  <c r="M25" i="2"/>
  <c r="N193" i="3"/>
  <c r="N19" i="4"/>
  <c r="M27" i="2"/>
  <c r="N194" i="3"/>
  <c r="N165"/>
  <c r="N55" i="5" s="1"/>
  <c r="N168" i="3"/>
  <c r="N54" i="5" s="1"/>
  <c r="N167" i="3"/>
  <c r="N89" i="5" s="1"/>
  <c r="N195" i="3"/>
  <c r="M28" i="2"/>
  <c r="M91" i="5"/>
  <c r="M51" i="4" s="1"/>
  <c r="M12" i="6" s="1"/>
  <c r="I8" i="4"/>
  <c r="M37"/>
  <c r="M36"/>
  <c r="N37" l="1"/>
  <c r="N6" i="6" s="1"/>
  <c r="N36" i="4"/>
  <c r="N91" i="5"/>
  <c r="N51" i="4" s="1"/>
  <c r="N12" i="6" s="1"/>
  <c r="M94" i="5"/>
  <c r="M6" i="6"/>
  <c r="H29" i="2"/>
  <c r="I10" i="4"/>
  <c r="N94" i="5" l="1"/>
  <c r="I3" i="6"/>
  <c r="I12" i="4"/>
  <c r="I227" i="3"/>
  <c r="I223" s="1"/>
  <c r="I225" s="1"/>
  <c r="I13" i="4" s="1"/>
  <c r="H31" i="2"/>
  <c r="I14" i="4" l="1"/>
  <c r="I20"/>
  <c r="I31"/>
  <c r="I39" s="1"/>
  <c r="I229" i="3"/>
  <c r="H33" i="2"/>
  <c r="I40" i="4"/>
  <c r="I5" i="6"/>
  <c r="I8" s="1"/>
  <c r="I21" i="4"/>
  <c r="H34" i="2"/>
  <c r="I13" i="6" l="1"/>
  <c r="I39" s="1"/>
  <c r="I41" s="1"/>
  <c r="I18"/>
  <c r="I42" i="4"/>
  <c r="I22"/>
  <c r="I16"/>
  <c r="H35" i="2"/>
  <c r="I17" i="4" l="1"/>
  <c r="H37" i="2"/>
  <c r="I57" i="6" l="1"/>
  <c r="I59" s="1"/>
  <c r="I18" i="4"/>
  <c r="H38" i="2"/>
  <c r="I52" i="4" l="1"/>
  <c r="I53" s="1"/>
  <c r="I55" s="1"/>
  <c r="I57" s="1"/>
  <c r="I75" i="5"/>
  <c r="J56" i="4" l="1"/>
  <c r="C12" i="7"/>
  <c r="C15" s="1"/>
  <c r="I62" i="5"/>
  <c r="I76"/>
  <c r="I97" l="1"/>
  <c r="H24" i="4"/>
  <c r="J145" i="3"/>
  <c r="J143" s="1"/>
  <c r="J153" s="1"/>
  <c r="I63" i="5"/>
  <c r="I65" s="1"/>
  <c r="I98" s="1"/>
  <c r="J9" i="4" l="1"/>
  <c r="J196" i="3"/>
  <c r="J192" s="1"/>
  <c r="J202" s="1"/>
  <c r="J200" l="1"/>
  <c r="J199"/>
  <c r="J8" i="4" s="1"/>
  <c r="J228" i="3"/>
  <c r="J224" s="1"/>
  <c r="I30" i="2"/>
  <c r="I29" l="1"/>
  <c r="J10" i="4"/>
  <c r="J3" i="6" l="1"/>
  <c r="J227" i="3"/>
  <c r="J223" s="1"/>
  <c r="J225" s="1"/>
  <c r="J13" i="4" s="1"/>
  <c r="J12"/>
  <c r="I31" i="2"/>
  <c r="J20" i="4" l="1"/>
  <c r="J31"/>
  <c r="J39" s="1"/>
  <c r="J229" i="3"/>
  <c r="J14" i="4"/>
  <c r="I33" i="2"/>
  <c r="J5" i="6"/>
  <c r="J8" s="1"/>
  <c r="J40" i="4"/>
  <c r="J21"/>
  <c r="I34" i="2"/>
  <c r="J13" i="6" l="1"/>
  <c r="J39" s="1"/>
  <c r="J41" s="1"/>
  <c r="J18"/>
  <c r="J42" i="4"/>
  <c r="J22"/>
  <c r="J16"/>
  <c r="I35" i="2"/>
  <c r="J17" i="4" l="1"/>
  <c r="I37" i="2"/>
  <c r="J57" i="6" l="1"/>
  <c r="J59" s="1"/>
  <c r="J18" i="4"/>
  <c r="I38" i="2"/>
  <c r="J52" i="4" l="1"/>
  <c r="J53" s="1"/>
  <c r="J55" s="1"/>
  <c r="J57" s="1"/>
  <c r="J75" i="5"/>
  <c r="J76" l="1"/>
  <c r="D12" i="7"/>
  <c r="D15" s="1"/>
  <c r="K56" i="4"/>
  <c r="J62" i="5"/>
  <c r="J97" l="1"/>
  <c r="I24" i="4"/>
  <c r="K145" i="3"/>
  <c r="K143" s="1"/>
  <c r="K153" s="1"/>
  <c r="J63" i="5"/>
  <c r="J65" s="1"/>
  <c r="J98" s="1"/>
  <c r="K196" i="3" l="1"/>
  <c r="K192" s="1"/>
  <c r="K202" s="1"/>
  <c r="K9" i="4"/>
  <c r="K200" i="3" l="1"/>
  <c r="K199"/>
  <c r="K8" i="4" s="1"/>
  <c r="K228" i="3"/>
  <c r="K224" s="1"/>
  <c r="J30" i="2"/>
  <c r="J29" l="1"/>
  <c r="K10" i="4"/>
  <c r="K3" i="6" l="1"/>
  <c r="K227" i="3"/>
  <c r="K223" s="1"/>
  <c r="K225" s="1"/>
  <c r="K13" i="4" s="1"/>
  <c r="K12"/>
  <c r="J31" i="2"/>
  <c r="K31" i="4" l="1"/>
  <c r="K39" s="1"/>
  <c r="K229" i="3"/>
  <c r="K20" i="4"/>
  <c r="K14"/>
  <c r="J33" i="2"/>
  <c r="K5" i="6"/>
  <c r="K8" s="1"/>
  <c r="K21" i="4"/>
  <c r="K40"/>
  <c r="J34" i="2"/>
  <c r="K42" i="4" l="1"/>
  <c r="K13" i="6"/>
  <c r="K39" s="1"/>
  <c r="K41" s="1"/>
  <c r="K18"/>
  <c r="K22" i="4"/>
  <c r="K16"/>
  <c r="J35" i="2"/>
  <c r="K17" i="4" l="1"/>
  <c r="J37" i="2"/>
  <c r="K57" i="6" l="1"/>
  <c r="K59" s="1"/>
  <c r="K18" i="4"/>
  <c r="J38" i="2"/>
  <c r="K52" i="4" l="1"/>
  <c r="K53" s="1"/>
  <c r="K55" s="1"/>
  <c r="K57" s="1"/>
  <c r="K75" i="5"/>
  <c r="K76" l="1"/>
  <c r="E12" i="7"/>
  <c r="E15" s="1"/>
  <c r="K62" i="5"/>
  <c r="L56" i="4"/>
  <c r="L145" i="3" l="1"/>
  <c r="L143" s="1"/>
  <c r="L153" s="1"/>
  <c r="K63" i="5"/>
  <c r="K65" s="1"/>
  <c r="K97"/>
  <c r="J24" i="4"/>
  <c r="K98" i="5" l="1"/>
  <c r="L196" i="3"/>
  <c r="L192" s="1"/>
  <c r="L202" s="1"/>
  <c r="L9" i="4"/>
  <c r="L228" i="3" l="1"/>
  <c r="L224" s="1"/>
  <c r="K30" i="2"/>
  <c r="L199" i="3"/>
  <c r="L200"/>
  <c r="L8" i="4" l="1"/>
  <c r="K29" i="2" l="1"/>
  <c r="L10" i="4"/>
  <c r="L3" i="6" l="1"/>
  <c r="L12" i="4"/>
  <c r="L227" i="3"/>
  <c r="L223" s="1"/>
  <c r="L225" s="1"/>
  <c r="L13" i="4" s="1"/>
  <c r="K31" i="2"/>
  <c r="L5" i="6" l="1"/>
  <c r="L40" i="4"/>
  <c r="L21"/>
  <c r="K34" i="2"/>
  <c r="L31" i="4"/>
  <c r="L39" s="1"/>
  <c r="L229" i="3"/>
  <c r="L14" i="4"/>
  <c r="L20"/>
  <c r="K33" i="2"/>
  <c r="L8" i="6"/>
  <c r="L13" l="1"/>
  <c r="L18"/>
  <c r="H23" s="1"/>
  <c r="L22" i="4"/>
  <c r="L16"/>
  <c r="K35" i="2"/>
  <c r="L42" i="4"/>
  <c r="L17" l="1"/>
  <c r="K37" i="2"/>
  <c r="L39" i="6"/>
  <c r="L41" s="1"/>
  <c r="H43" s="1"/>
  <c r="L57" l="1"/>
  <c r="L18" i="4"/>
  <c r="K38" i="2"/>
  <c r="O57" i="6" l="1"/>
  <c r="O59" s="1"/>
  <c r="H62" s="1"/>
  <c r="L59"/>
  <c r="H61" s="1"/>
  <c r="L52" i="4"/>
  <c r="L53" s="1"/>
  <c r="L55" s="1"/>
  <c r="L57" s="1"/>
  <c r="L75" i="5"/>
  <c r="H64" i="6" l="1"/>
  <c r="L76" i="5"/>
  <c r="M56" i="4"/>
  <c r="F12" i="7"/>
  <c r="F15" s="1"/>
  <c r="L62" i="5"/>
  <c r="H66" i="6" l="1"/>
  <c r="H68" s="1"/>
  <c r="D2" i="2"/>
  <c r="D4" s="1"/>
  <c r="D6" s="1"/>
  <c r="M145" i="3"/>
  <c r="M143" s="1"/>
  <c r="M153" s="1"/>
  <c r="L63" i="5"/>
  <c r="L65" s="1"/>
  <c r="L97"/>
  <c r="K24" i="4"/>
  <c r="L98" i="5" l="1"/>
  <c r="M196" i="3"/>
  <c r="M192" s="1"/>
  <c r="M202" s="1"/>
  <c r="M9" i="4"/>
  <c r="M228" i="3" s="1"/>
  <c r="M224" l="1"/>
  <c r="L30" i="2"/>
  <c r="M200" i="3"/>
  <c r="M199"/>
  <c r="M8" i="4" l="1"/>
  <c r="L29" i="2" s="1"/>
  <c r="M10" i="4" l="1"/>
  <c r="M12" s="1"/>
  <c r="M3" i="6" l="1"/>
  <c r="L31" i="2"/>
  <c r="M227" i="3"/>
  <c r="M223" s="1"/>
  <c r="M225" s="1"/>
  <c r="M13" i="4" s="1"/>
  <c r="M5" i="6" s="1"/>
  <c r="M20" i="4"/>
  <c r="M31"/>
  <c r="M39" s="1"/>
  <c r="L33" i="2"/>
  <c r="M229" i="3"/>
  <c r="M21" i="4" l="1"/>
  <c r="M14"/>
  <c r="M22" s="1"/>
  <c r="L34" i="2"/>
  <c r="M8" i="6"/>
  <c r="M40" i="4"/>
  <c r="M42" s="1"/>
  <c r="M13" i="6" l="1"/>
  <c r="O8"/>
  <c r="O18" s="1"/>
  <c r="H24" s="1"/>
  <c r="H25" s="1"/>
  <c r="H27" s="1"/>
  <c r="H29" s="1"/>
  <c r="H31" s="1"/>
  <c r="L35" i="2"/>
  <c r="M16" i="4"/>
  <c r="M17" s="1"/>
  <c r="M18" i="6"/>
  <c r="M39" l="1"/>
  <c r="M41" s="1"/>
  <c r="O13"/>
  <c r="O39" s="1"/>
  <c r="O41" s="1"/>
  <c r="H44" s="1"/>
  <c r="H45" s="1"/>
  <c r="H47" s="1"/>
  <c r="H49" s="1"/>
  <c r="H33"/>
  <c r="H35" s="1"/>
  <c r="B2" i="2"/>
  <c r="B4" s="1"/>
  <c r="B6" s="1"/>
  <c r="L37"/>
  <c r="M57" i="6"/>
  <c r="M59" s="1"/>
  <c r="M18" i="4"/>
  <c r="L38" i="2"/>
  <c r="H51" i="6" l="1"/>
  <c r="H53" s="1"/>
  <c r="C2" i="2"/>
  <c r="M52" i="4"/>
  <c r="M53" s="1"/>
  <c r="M55" s="1"/>
  <c r="M57" s="1"/>
  <c r="N56" s="1"/>
  <c r="M75" i="5"/>
  <c r="C4" i="2" l="1"/>
  <c r="C6" s="1"/>
  <c r="B13"/>
  <c r="D13" s="1"/>
  <c r="D15" s="1"/>
  <c r="D17" s="1"/>
  <c r="M76" i="5"/>
  <c r="M97"/>
  <c r="L24" i="4"/>
  <c r="G12" i="7"/>
  <c r="G15" s="1"/>
  <c r="M62" i="5"/>
  <c r="M63" l="1"/>
  <c r="M65" s="1"/>
  <c r="M98" s="1"/>
  <c r="N145" i="3"/>
  <c r="N143" s="1"/>
  <c r="N153" s="1"/>
  <c r="N196" l="1"/>
  <c r="N192" s="1"/>
  <c r="N202" s="1"/>
  <c r="N199" s="1"/>
  <c r="N9" i="4"/>
  <c r="N228" i="3" l="1"/>
  <c r="N224" s="1"/>
  <c r="M30" i="2"/>
  <c r="N200" i="3"/>
  <c r="N8" i="4" s="1"/>
  <c r="N10" l="1"/>
  <c r="N12" s="1"/>
  <c r="M29" i="2"/>
  <c r="N227" i="3" l="1"/>
  <c r="N223" s="1"/>
  <c r="N225" s="1"/>
  <c r="N13" i="4" s="1"/>
  <c r="N5" i="6" s="1"/>
  <c r="M31" i="2"/>
  <c r="N3" i="6"/>
  <c r="N8" s="1"/>
  <c r="N229" i="3"/>
  <c r="M33" i="2"/>
  <c r="N20" i="4"/>
  <c r="N21"/>
  <c r="N14"/>
  <c r="N31"/>
  <c r="N39" s="1"/>
  <c r="M34" i="2" l="1"/>
  <c r="N40" i="4"/>
  <c r="N42"/>
  <c r="N13" i="6"/>
  <c r="N18"/>
  <c r="M35" i="2"/>
  <c r="N22" i="4"/>
  <c r="N16"/>
  <c r="N17" l="1"/>
  <c r="M37" i="2"/>
  <c r="N18" i="4" l="1"/>
  <c r="M38" i="2"/>
  <c r="N52" i="4" l="1"/>
  <c r="N53" s="1"/>
  <c r="N55" s="1"/>
  <c r="N57" s="1"/>
  <c r="N75" i="5"/>
  <c r="N76" s="1"/>
  <c r="N62" l="1"/>
  <c r="N63" s="1"/>
  <c r="N65" s="1"/>
  <c r="H12" i="7"/>
  <c r="H15" s="1"/>
  <c r="C17" s="1"/>
  <c r="C19" s="1"/>
  <c r="N97" i="5"/>
  <c r="M24" i="4"/>
  <c r="N24"/>
  <c r="N98" i="5" l="1"/>
</calcChain>
</file>

<file path=xl/sharedStrings.xml><?xml version="1.0" encoding="utf-8"?>
<sst xmlns="http://schemas.openxmlformats.org/spreadsheetml/2006/main" count="665" uniqueCount="372">
  <si>
    <t xml:space="preserve">Valuation Model of Ferozsons Pharmaceuticals </t>
  </si>
  <si>
    <t>Table of Contents</t>
  </si>
  <si>
    <t>1. Summary</t>
  </si>
  <si>
    <t>2. Assumption</t>
  </si>
  <si>
    <t>3. FS</t>
  </si>
  <si>
    <t>4. BS</t>
  </si>
  <si>
    <t>5. Valuation</t>
  </si>
  <si>
    <t>6. Debt</t>
  </si>
  <si>
    <t>FCFF</t>
  </si>
  <si>
    <t>FCFE</t>
  </si>
  <si>
    <t>DDM</t>
  </si>
  <si>
    <t>PE (Trailing)</t>
  </si>
  <si>
    <t>PE (Leading)</t>
  </si>
  <si>
    <t>PB (Tailing)</t>
  </si>
  <si>
    <t>PB (Leading)</t>
  </si>
  <si>
    <t>Value</t>
  </si>
  <si>
    <t>Price</t>
  </si>
  <si>
    <t>Upside</t>
  </si>
  <si>
    <t>Dividend Yield</t>
  </si>
  <si>
    <t>TSR</t>
  </si>
  <si>
    <t>Discount Rate</t>
  </si>
  <si>
    <t>Stance</t>
  </si>
  <si>
    <t>BUY</t>
  </si>
  <si>
    <t>SELL</t>
  </si>
  <si>
    <t>Fair Value - Blended Approach</t>
  </si>
  <si>
    <t>Weight</t>
  </si>
  <si>
    <t>Weighted Avg Value</t>
  </si>
  <si>
    <t>PE Leading</t>
  </si>
  <si>
    <t>Current Price</t>
  </si>
  <si>
    <t>Total Return</t>
  </si>
  <si>
    <t>CY17A</t>
  </si>
  <si>
    <t>CY18A</t>
  </si>
  <si>
    <t>CY19A</t>
  </si>
  <si>
    <t>CY20A</t>
  </si>
  <si>
    <t>CY21A</t>
  </si>
  <si>
    <t>CY22A</t>
  </si>
  <si>
    <t>CY23F</t>
  </si>
  <si>
    <t>CY24F</t>
  </si>
  <si>
    <t>CY25F</t>
  </si>
  <si>
    <t>CY26F</t>
  </si>
  <si>
    <t>CY27F</t>
  </si>
  <si>
    <t>Sales</t>
  </si>
  <si>
    <t>COGS</t>
  </si>
  <si>
    <t>Gross profit</t>
  </si>
  <si>
    <t>Admin</t>
  </si>
  <si>
    <t>Selling &amp; Distribution</t>
  </si>
  <si>
    <t>Other expenses</t>
  </si>
  <si>
    <t xml:space="preserve">Other Income </t>
  </si>
  <si>
    <t>Profit From Operations</t>
  </si>
  <si>
    <t>Finance cost</t>
  </si>
  <si>
    <t>Profit before tax</t>
  </si>
  <si>
    <t>Tax</t>
  </si>
  <si>
    <t>Profit after tax</t>
  </si>
  <si>
    <t>EPS</t>
  </si>
  <si>
    <t>DPS</t>
  </si>
  <si>
    <t>Amount in Millions</t>
  </si>
  <si>
    <t>FY17A</t>
  </si>
  <si>
    <t>FY18A</t>
  </si>
  <si>
    <t>FY19A</t>
  </si>
  <si>
    <t>FY20A</t>
  </si>
  <si>
    <t>FY21A</t>
  </si>
  <si>
    <t>FY22A</t>
  </si>
  <si>
    <t>FY23F</t>
  </si>
  <si>
    <t>FY24F</t>
  </si>
  <si>
    <t>FY25F</t>
  </si>
  <si>
    <t>FY26F</t>
  </si>
  <si>
    <t>FY27F</t>
  </si>
  <si>
    <t>GDP growth</t>
  </si>
  <si>
    <t>Policy Rate - weighted average</t>
  </si>
  <si>
    <t>Exchange rate</t>
  </si>
  <si>
    <t>Depreication</t>
  </si>
  <si>
    <t>Inflation rate</t>
  </si>
  <si>
    <t>Corporate tax</t>
  </si>
  <si>
    <t>Interest tax</t>
  </si>
  <si>
    <t>Dividend tax</t>
  </si>
  <si>
    <t>Weights</t>
  </si>
  <si>
    <t>Essentials</t>
  </si>
  <si>
    <t>Non Essentials</t>
  </si>
  <si>
    <t>Hardship</t>
  </si>
  <si>
    <t>Price Increase relative to CPI</t>
  </si>
  <si>
    <t>Price increase</t>
  </si>
  <si>
    <t>Weighted average price increase</t>
  </si>
  <si>
    <t xml:space="preserve">Volumetric growth </t>
  </si>
  <si>
    <t>Sales increase</t>
  </si>
  <si>
    <t>Local</t>
  </si>
  <si>
    <t>Export Sales</t>
  </si>
  <si>
    <t>Export Growth Rate</t>
  </si>
  <si>
    <t>TOTAL LOCAL &amp; EXPORT</t>
  </si>
  <si>
    <t>Sales tax</t>
  </si>
  <si>
    <t>Less: Trade discounts</t>
  </si>
  <si>
    <t>Sales returns</t>
  </si>
  <si>
    <t>TOTAL SALES</t>
  </si>
  <si>
    <t>COST OF SALES</t>
  </si>
  <si>
    <t>Volumetric growth</t>
  </si>
  <si>
    <t>Mix shares</t>
  </si>
  <si>
    <t>Price inflation</t>
  </si>
  <si>
    <t>Imported</t>
  </si>
  <si>
    <t>USD depreciation</t>
  </si>
  <si>
    <t>Cost of sales – Manufacturing</t>
  </si>
  <si>
    <t>Raw and packing materials consumed</t>
  </si>
  <si>
    <t>Opening stock</t>
  </si>
  <si>
    <t>Purchases</t>
  </si>
  <si>
    <t>Total increase in Purchases</t>
  </si>
  <si>
    <t>Available for consumption</t>
  </si>
  <si>
    <t>Closing stock</t>
  </si>
  <si>
    <t>Raw and packing material consumed</t>
  </si>
  <si>
    <t>Salaries, wages and other benefits</t>
  </si>
  <si>
    <t>Fuel and power</t>
  </si>
  <si>
    <t>Repair and maintenance</t>
  </si>
  <si>
    <t>Stores, spare parts and loose tools consumed</t>
  </si>
  <si>
    <t>Freight and forwarding</t>
  </si>
  <si>
    <t>Packing charges</t>
  </si>
  <si>
    <t>Rent, rates and taxes</t>
  </si>
  <si>
    <t>Printing and stationery</t>
  </si>
  <si>
    <t>Postage and telephone</t>
  </si>
  <si>
    <t>Insurance</t>
  </si>
  <si>
    <t>Travelling and conveyance</t>
  </si>
  <si>
    <t>Canteen expenses</t>
  </si>
  <si>
    <t>Depreciation on property, plant and equipment</t>
  </si>
  <si>
    <t>Laboratory and other expenses</t>
  </si>
  <si>
    <t>TOTAL MANUFACTURE COST</t>
  </si>
  <si>
    <t>Work in process:</t>
  </si>
  <si>
    <t>Opening</t>
  </si>
  <si>
    <t>Closing</t>
  </si>
  <si>
    <t>Cost of goods manufactured</t>
  </si>
  <si>
    <t>Finished stock:</t>
  </si>
  <si>
    <t>Purchases made during the year</t>
  </si>
  <si>
    <t>TOTAL COST OF GOODS SOLD</t>
  </si>
  <si>
    <t>Administrative Expense</t>
  </si>
  <si>
    <t>Salaries and other benefits</t>
  </si>
  <si>
    <t>Directors fees and expenses</t>
  </si>
  <si>
    <t>Printing, stationery and office supplies</t>
  </si>
  <si>
    <t>Transportation</t>
  </si>
  <si>
    <t>Legal and professional charges</t>
  </si>
  <si>
    <t>Auditors' remuneration</t>
  </si>
  <si>
    <t>Fee and subscriptions</t>
  </si>
  <si>
    <t>Donations</t>
  </si>
  <si>
    <t>Amortisation of intangibles</t>
  </si>
  <si>
    <t>Training Expense</t>
  </si>
  <si>
    <t>-</t>
  </si>
  <si>
    <t>TOTAL ADMINISTRATIVE EXPENSE</t>
  </si>
  <si>
    <t>Selling &amp; Distribution Expense</t>
  </si>
  <si>
    <t>Trade debts written off</t>
  </si>
  <si>
    <t>Earnest money written off</t>
  </si>
  <si>
    <t>Service charges</t>
  </si>
  <si>
    <t>Sales promotion</t>
  </si>
  <si>
    <t>Printing and stationary</t>
  </si>
  <si>
    <t>Fee and subscription</t>
  </si>
  <si>
    <t>Repairs and maintenance</t>
  </si>
  <si>
    <t>Conferences, seminars and training</t>
  </si>
  <si>
    <t>Medical research and patient care</t>
  </si>
  <si>
    <t>TOTAL SELLING &amp; DISTRIBUTION EXPENSE</t>
  </si>
  <si>
    <t>Other Income</t>
  </si>
  <si>
    <t>Income from financial assets</t>
  </si>
  <si>
    <t>Markup on deposit accounts</t>
  </si>
  <si>
    <t>Cash and Bank Balances</t>
  </si>
  <si>
    <t>Return</t>
  </si>
  <si>
    <t>Income from non-financial assets</t>
  </si>
  <si>
    <t>Gain on sale of property, plant and equipment - net of write off</t>
  </si>
  <si>
    <t>Export rebate</t>
  </si>
  <si>
    <t>Exchange gain - net</t>
  </si>
  <si>
    <t>Commission income</t>
  </si>
  <si>
    <t>Total Other Income</t>
  </si>
  <si>
    <t>Working Capital Ratios</t>
  </si>
  <si>
    <t>Inventory Days</t>
  </si>
  <si>
    <t>Receviable Days</t>
  </si>
  <si>
    <t>Payable Days</t>
  </si>
  <si>
    <t>Store &amp; Spares</t>
  </si>
  <si>
    <t xml:space="preserve">Inventory </t>
  </si>
  <si>
    <t xml:space="preserve">Receviable </t>
  </si>
  <si>
    <t xml:space="preserve">Payable </t>
  </si>
  <si>
    <t>Stores &amp; Spares</t>
  </si>
  <si>
    <t>Total Depreciation</t>
  </si>
  <si>
    <t>Total Amortization</t>
  </si>
  <si>
    <t>Charge between different heads</t>
  </si>
  <si>
    <t>Depreciation</t>
  </si>
  <si>
    <t>Adminstrative</t>
  </si>
  <si>
    <t>Amortization</t>
  </si>
  <si>
    <t>Other Expense</t>
  </si>
  <si>
    <t>Exchange loss - net</t>
  </si>
  <si>
    <t>Central Research Fund</t>
  </si>
  <si>
    <t>Loss allowance against trade debts</t>
  </si>
  <si>
    <t>Profit before tax (before WPPF and WWF)</t>
  </si>
  <si>
    <t>Gross Profit</t>
  </si>
  <si>
    <t>Admin Expense</t>
  </si>
  <si>
    <t>Selling &amp; Distrbution</t>
  </si>
  <si>
    <t>Other income</t>
  </si>
  <si>
    <t>Workers' Profit Participation Fund</t>
  </si>
  <si>
    <t>Workers' Welfare Fund</t>
  </si>
  <si>
    <t>WPPF %</t>
  </si>
  <si>
    <t>WWF %</t>
  </si>
  <si>
    <t>Financial Cost</t>
  </si>
  <si>
    <t>Mark-up on financing from conventional
banks / institutions:</t>
  </si>
  <si>
    <t>long-term financings</t>
  </si>
  <si>
    <t>LTR</t>
  </si>
  <si>
    <t>short term borrowings</t>
  </si>
  <si>
    <t>STR</t>
  </si>
  <si>
    <t>Mark-up on Islamic mode of financing:</t>
  </si>
  <si>
    <t>Short term borrowings</t>
  </si>
  <si>
    <t>Bank charges</t>
  </si>
  <si>
    <t>Interest on Workers' Profit Participation Fund</t>
  </si>
  <si>
    <t>TOTAL FINANCIAL COST</t>
  </si>
  <si>
    <t>Taxation</t>
  </si>
  <si>
    <t>Cortporate Tax</t>
  </si>
  <si>
    <t>Savings Tax</t>
  </si>
  <si>
    <t>TOTAL TAXATION</t>
  </si>
  <si>
    <t>Profits from operation</t>
  </si>
  <si>
    <t>Non operating profits</t>
  </si>
  <si>
    <t>Total Profit before tax</t>
  </si>
  <si>
    <t xml:space="preserve">Sales </t>
  </si>
  <si>
    <t>Cost of goods sold</t>
  </si>
  <si>
    <t>Profit from operations</t>
  </si>
  <si>
    <t>Financial Charges</t>
  </si>
  <si>
    <t>Profit of the Year</t>
  </si>
  <si>
    <t>Dividend</t>
  </si>
  <si>
    <t>Operating Profit Margin</t>
  </si>
  <si>
    <t>Effective Tax rate</t>
  </si>
  <si>
    <t>Net Margin</t>
  </si>
  <si>
    <t>Payout Ratio</t>
  </si>
  <si>
    <t>ROE</t>
  </si>
  <si>
    <t>SHARES</t>
  </si>
  <si>
    <t>Statement Of Cashflow</t>
  </si>
  <si>
    <t>Profit before interest and tax</t>
  </si>
  <si>
    <t>Add: Depreciation</t>
  </si>
  <si>
    <t>Add: Amortization</t>
  </si>
  <si>
    <t>Working capital changes</t>
  </si>
  <si>
    <t>Current assets</t>
  </si>
  <si>
    <t>Current liabilities</t>
  </si>
  <si>
    <t>Cashflow after working capital</t>
  </si>
  <si>
    <t>Financial charges</t>
  </si>
  <si>
    <t>Cashflow from operations</t>
  </si>
  <si>
    <t>Purchase of PPE</t>
  </si>
  <si>
    <t>Purchase of Intangibles</t>
  </si>
  <si>
    <t>Other assets</t>
  </si>
  <si>
    <t>Cashflow from investing activities</t>
  </si>
  <si>
    <t>Equity movement</t>
  </si>
  <si>
    <t>Debt movement</t>
  </si>
  <si>
    <t>Dividends paid</t>
  </si>
  <si>
    <t>Cash flow from fincnaing activties</t>
  </si>
  <si>
    <t>Net cashflow</t>
  </si>
  <si>
    <t>Opening balance of cash</t>
  </si>
  <si>
    <t>Clsoing cash balance</t>
  </si>
  <si>
    <t>Amount In Millions</t>
  </si>
  <si>
    <t>FY22F</t>
  </si>
  <si>
    <t>Statement of Financial Position</t>
  </si>
  <si>
    <t>NON-CURRENT ASSETS</t>
  </si>
  <si>
    <t>Property, plant and equipment</t>
  </si>
  <si>
    <t>Cost</t>
  </si>
  <si>
    <t>Opening Balance</t>
  </si>
  <si>
    <t>Additions</t>
  </si>
  <si>
    <t>Deletions</t>
  </si>
  <si>
    <t>Revaluation surplus</t>
  </si>
  <si>
    <t>Closing Balance</t>
  </si>
  <si>
    <t>Charge for the year</t>
  </si>
  <si>
    <t xml:space="preserve">Elimination of accumulated depreciation on revaluation </t>
  </si>
  <si>
    <t>Net Book Value</t>
  </si>
  <si>
    <t>Capital Work In Progress (CWIP)</t>
  </si>
  <si>
    <t>Additions as a % of opening assets</t>
  </si>
  <si>
    <t>Depreciation rate</t>
  </si>
  <si>
    <t>CWIP as a % of opening fixed assets</t>
  </si>
  <si>
    <t>Intangible assets</t>
  </si>
  <si>
    <t>Additions %</t>
  </si>
  <si>
    <t>Amortization %</t>
  </si>
  <si>
    <t>Long term investments - related parties</t>
  </si>
  <si>
    <t>Long-term deposits and receivables</t>
  </si>
  <si>
    <t>CURRENT ASSETS</t>
  </si>
  <si>
    <t>Stores, spares and loose tools</t>
  </si>
  <si>
    <t>Stock-in-trade</t>
  </si>
  <si>
    <t>Trade debts</t>
  </si>
  <si>
    <t>Loans and advances</t>
  </si>
  <si>
    <t xml:space="preserve">Trade deposits, prepayments </t>
  </si>
  <si>
    <t>other receivables</t>
  </si>
  <si>
    <t>Taxation – net</t>
  </si>
  <si>
    <t>Short term investment</t>
  </si>
  <si>
    <t>Cash and bank balances</t>
  </si>
  <si>
    <t>TOTAL ASSETS</t>
  </si>
  <si>
    <t>SHARE CAPITAL AND RESERVES</t>
  </si>
  <si>
    <t>Authorized share capital
50,000,000 (2020: 50,000,000) ordinary
shares of Rs. 10 each</t>
  </si>
  <si>
    <t>Issued, subscribed and paid up capital</t>
  </si>
  <si>
    <t>Capital reserve</t>
  </si>
  <si>
    <t>Revaluation surplus on property, plant and equipment</t>
  </si>
  <si>
    <t>Accumulated profit</t>
  </si>
  <si>
    <t>NON-CURRENT LIABILITIES</t>
  </si>
  <si>
    <t>Long term loan - secured</t>
  </si>
  <si>
    <t>Deferred grant</t>
  </si>
  <si>
    <t>Deferred taxation</t>
  </si>
  <si>
    <t>CURRENT LIABILITIES</t>
  </si>
  <si>
    <t>Current portion of:</t>
  </si>
  <si>
    <t>Long term loans - secured</t>
  </si>
  <si>
    <t>Current portion of deferred grant</t>
  </si>
  <si>
    <t>Trade and other payables</t>
  </si>
  <si>
    <t>Contract liabilities</t>
  </si>
  <si>
    <t>Short term borrowings - secured</t>
  </si>
  <si>
    <t>Unclaimed dividend</t>
  </si>
  <si>
    <t>Accrued mark-up</t>
  </si>
  <si>
    <t>CONTINGENCIES AND COMMITMENTS</t>
  </si>
  <si>
    <t>TOTAL EQUITY AND LIABILITIES</t>
  </si>
  <si>
    <t>CHECK</t>
  </si>
  <si>
    <t>Free Cash Flow</t>
  </si>
  <si>
    <t>Add; Depreciation</t>
  </si>
  <si>
    <t>Less : Tax</t>
  </si>
  <si>
    <t>Changes in working capital</t>
  </si>
  <si>
    <t>CAPEX</t>
  </si>
  <si>
    <t>Free Cashflow to Firm</t>
  </si>
  <si>
    <t>Debt repayments</t>
  </si>
  <si>
    <t>Add: Debt raiseed</t>
  </si>
  <si>
    <t>Free Cashflow to Equity</t>
  </si>
  <si>
    <t>Timeline</t>
  </si>
  <si>
    <t>Discount factor</t>
  </si>
  <si>
    <t>Discounted cashflow</t>
  </si>
  <si>
    <t>Valuation</t>
  </si>
  <si>
    <t>Rf</t>
  </si>
  <si>
    <t>Rp</t>
  </si>
  <si>
    <t>Beta</t>
  </si>
  <si>
    <t>Horizon period</t>
  </si>
  <si>
    <t>Cost of equity</t>
  </si>
  <si>
    <t>Terminal value</t>
  </si>
  <si>
    <t>Cost of debt</t>
  </si>
  <si>
    <t>Total firm value</t>
  </si>
  <si>
    <t>We</t>
  </si>
  <si>
    <t>Debt</t>
  </si>
  <si>
    <t>Wd</t>
  </si>
  <si>
    <t>Equity value</t>
  </si>
  <si>
    <t>WACC</t>
  </si>
  <si>
    <t>Cash balance</t>
  </si>
  <si>
    <t>Total Equity value</t>
  </si>
  <si>
    <t>Growth</t>
  </si>
  <si>
    <t>No of shares</t>
  </si>
  <si>
    <t>Stock Value</t>
  </si>
  <si>
    <t>Retention Ratio</t>
  </si>
  <si>
    <t>Payout</t>
  </si>
  <si>
    <t>GG</t>
  </si>
  <si>
    <t>Total Shareholder return</t>
  </si>
  <si>
    <t>Pakistan GDP</t>
  </si>
  <si>
    <t>STANCE</t>
  </si>
  <si>
    <t>Sales Growth</t>
  </si>
  <si>
    <t>Profit growth</t>
  </si>
  <si>
    <t>Average</t>
  </si>
  <si>
    <t>Total equity value</t>
  </si>
  <si>
    <t>Dividend Discount</t>
  </si>
  <si>
    <t>Discount PV</t>
  </si>
  <si>
    <t>Horizon Value</t>
  </si>
  <si>
    <t>Terminal Period</t>
  </si>
  <si>
    <t>Cash</t>
  </si>
  <si>
    <t>Value per share</t>
  </si>
  <si>
    <t>Current price</t>
  </si>
  <si>
    <t>Downside</t>
  </si>
  <si>
    <t>Dividend yield</t>
  </si>
  <si>
    <t xml:space="preserve">Stance </t>
  </si>
  <si>
    <t>Price Earnings</t>
  </si>
  <si>
    <t>Industry multiple</t>
  </si>
  <si>
    <t xml:space="preserve">Value </t>
  </si>
  <si>
    <t>Price to Book Value</t>
  </si>
  <si>
    <t>BVPS</t>
  </si>
  <si>
    <t>Before Outlay</t>
  </si>
  <si>
    <t>After Outlay</t>
  </si>
  <si>
    <t>Cash flow Before Outlay</t>
  </si>
  <si>
    <t>Cash flow After Outlay</t>
  </si>
  <si>
    <t>Discounted NPV</t>
  </si>
  <si>
    <t>IRR</t>
  </si>
  <si>
    <t>Cost of Capital</t>
  </si>
  <si>
    <t>Net Increase</t>
  </si>
  <si>
    <t>Macro Assumptions</t>
  </si>
  <si>
    <t>Policy Rate</t>
  </si>
  <si>
    <t>1M Kibor</t>
  </si>
  <si>
    <t>3M Kibor</t>
  </si>
  <si>
    <t>6M Kibor</t>
  </si>
  <si>
    <t>MUSHARIKA RATE</t>
  </si>
  <si>
    <t>1M KIBOR</t>
  </si>
  <si>
    <t>Repayments</t>
  </si>
  <si>
    <t>CY28F</t>
  </si>
  <si>
    <t>FY28F</t>
  </si>
</sst>
</file>

<file path=xl/styles.xml><?xml version="1.0" encoding="utf-8"?>
<styleSheet xmlns="http://schemas.openxmlformats.org/spreadsheetml/2006/main">
  <numFmts count="16">
    <numFmt numFmtId="164" formatCode="_(* #,##0.00_);_(* \(#,##0.00\);_(* &quot;-&quot;??_);_(@_)"/>
    <numFmt numFmtId="165" formatCode="0.0%"/>
    <numFmt numFmtId="166" formatCode="_(* #,##0.0_);_(* \(#,##0.0\);_(* &quot;-&quot;??_);_(@_)"/>
    <numFmt numFmtId="167" formatCode="_(* #,##0_);_(* \(#,##0\);_(* &quot;-&quot;??_);_(@_)"/>
    <numFmt numFmtId="168" formatCode="_(* #,##0.0000_);_(* \(#,##0.0000\);_(* &quot;-&quot;??_);_(@_)"/>
    <numFmt numFmtId="169" formatCode="_(* #,##0.000_);_(* \(#,##0.000\);_(* &quot;-&quot;??_);_(@_)"/>
    <numFmt numFmtId="170" formatCode="#,##0.00000"/>
    <numFmt numFmtId="171" formatCode="_(* #,##0.000000_);_(* \(#,##0.000000\);_(* &quot;-&quot;??_);_(@_)"/>
    <numFmt numFmtId="172" formatCode="#,##0.000"/>
    <numFmt numFmtId="173" formatCode="#,##0.00000000"/>
    <numFmt numFmtId="174" formatCode="#,##0.0000000"/>
    <numFmt numFmtId="175" formatCode="#,##0.0000"/>
    <numFmt numFmtId="176" formatCode="_(* #,##0.00000_);_(* \(#,##0.00000\);_(* &quot;-&quot;??_);_(@_)"/>
    <numFmt numFmtId="177" formatCode="_(* #,##0.00000000_);_(* \(#,##0.00000000\);_(* &quot;-&quot;??_);_(@_)"/>
    <numFmt numFmtId="178" formatCode="_(* #,##0.0000000_);_(* \(#,##0.0000000\);_(* &quot;-&quot;??_);_(@_)"/>
    <numFmt numFmtId="179" formatCode="0.000"/>
  </numFmts>
  <fonts count="46">
    <font>
      <sz val="11"/>
      <name val="Calibri"/>
      <scheme val="minor"/>
    </font>
    <font>
      <b/>
      <sz val="11"/>
      <name val="Calibri"/>
    </font>
    <font>
      <b/>
      <sz val="11"/>
      <color rgb="FFFFFFFF"/>
      <name val="Calibri"/>
    </font>
    <font>
      <sz val="11"/>
      <name val="Calibri"/>
    </font>
    <font>
      <b/>
      <sz val="14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2"/>
      <name val="Calibri"/>
    </font>
    <font>
      <b/>
      <sz val="12"/>
      <name val="Calibri"/>
    </font>
    <font>
      <b/>
      <sz val="16"/>
      <name val="Calibri"/>
    </font>
    <font>
      <sz val="11"/>
      <name val="Calibri"/>
    </font>
    <font>
      <sz val="12"/>
      <name val="Calibri"/>
    </font>
    <font>
      <b/>
      <sz val="14"/>
      <name val="Calibri"/>
    </font>
    <font>
      <sz val="12"/>
      <name val="Calibri"/>
    </font>
    <font>
      <b/>
      <sz val="11"/>
      <color rgb="FF0070C0"/>
      <name val="Calibri"/>
    </font>
    <font>
      <b/>
      <i/>
      <sz val="12"/>
      <name val="Calibri"/>
    </font>
    <font>
      <i/>
      <sz val="11"/>
      <name val="Calibri"/>
    </font>
    <font>
      <i/>
      <sz val="11"/>
      <name val="Calibri"/>
    </font>
    <font>
      <b/>
      <sz val="11"/>
      <name val="Calibri"/>
    </font>
    <font>
      <b/>
      <sz val="14"/>
      <name val="Calibri"/>
    </font>
    <font>
      <sz val="11"/>
      <color rgb="FFFF0000"/>
      <name val="Calibri"/>
    </font>
    <font>
      <b/>
      <i/>
      <sz val="14"/>
      <name val="Calibri"/>
    </font>
    <font>
      <b/>
      <sz val="12"/>
      <color rgb="FF000000"/>
      <name val="Arial"/>
    </font>
    <font>
      <sz val="10"/>
      <color rgb="FF000000"/>
      <name val="Arial"/>
    </font>
    <font>
      <i/>
      <sz val="10"/>
      <color rgb="FF00000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b/>
      <sz val="14"/>
      <name val="Arial"/>
    </font>
    <font>
      <sz val="12"/>
      <name val="Arial"/>
    </font>
    <font>
      <b/>
      <sz val="12"/>
      <name val="Arial"/>
    </font>
    <font>
      <sz val="10"/>
      <name val="Arial"/>
    </font>
    <font>
      <b/>
      <sz val="11"/>
      <name val="Arial"/>
    </font>
    <font>
      <b/>
      <i/>
      <sz val="12"/>
      <name val="Arial"/>
    </font>
    <font>
      <b/>
      <i/>
      <sz val="11"/>
      <name val="Calibri"/>
    </font>
    <font>
      <sz val="11"/>
      <name val="Arial"/>
    </font>
    <font>
      <b/>
      <sz val="11"/>
      <color rgb="FFFF0000"/>
      <name val="Calibri"/>
    </font>
    <font>
      <b/>
      <sz val="16"/>
      <color rgb="FF000000"/>
      <name val="Calibri"/>
    </font>
    <font>
      <b/>
      <sz val="12"/>
      <color rgb="FF000000"/>
      <name val="Calibri"/>
    </font>
    <font>
      <sz val="11"/>
      <color rgb="FF000000"/>
      <name val="Calibri"/>
    </font>
    <font>
      <b/>
      <sz val="16"/>
      <color rgb="FF000000"/>
      <name val="Arial"/>
    </font>
    <font>
      <sz val="11"/>
      <color rgb="FF000000"/>
      <name val="Arial"/>
    </font>
    <font>
      <sz val="12"/>
      <color rgb="FF0070C0"/>
      <name val="Calibri"/>
    </font>
    <font>
      <sz val="11"/>
      <color rgb="FF0070C0"/>
      <name val="Calibri"/>
    </font>
    <font>
      <b/>
      <sz val="14"/>
      <color rgb="FF000000"/>
      <name val="Arial"/>
    </font>
    <font>
      <u/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D8D8D8"/>
        <bgColor rgb="FFD8D8D8"/>
      </patternFill>
    </fill>
    <fill>
      <patternFill patternType="solid">
        <fgColor rgb="FF0070C0"/>
        <bgColor rgb="FF0070C0"/>
      </patternFill>
    </fill>
    <fill>
      <patternFill patternType="solid">
        <fgColor rgb="FFBFBFBF"/>
        <bgColor rgb="FFBFBFBF"/>
      </patternFill>
    </fill>
    <fill>
      <patternFill patternType="solid">
        <fgColor rgb="FF548DD4"/>
        <bgColor rgb="FF548DD4"/>
      </patternFill>
    </fill>
    <fill>
      <patternFill patternType="solid">
        <fgColor rgb="FFFFFF00"/>
        <bgColor rgb="FFFFFF00"/>
      </patternFill>
    </fill>
    <fill>
      <patternFill patternType="solid">
        <fgColor rgb="FFFBD4B4"/>
        <bgColor rgb="FFFBD4B4"/>
      </patternFill>
    </fill>
  </fills>
  <borders count="5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16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vertical="center"/>
    </xf>
    <xf numFmtId="164" fontId="3" fillId="0" borderId="2" xfId="0" applyNumberFormat="1" applyFont="1" applyBorder="1"/>
    <xf numFmtId="0" fontId="3" fillId="0" borderId="2" xfId="0" applyFont="1" applyBorder="1"/>
    <xf numFmtId="9" fontId="3" fillId="0" borderId="2" xfId="0" applyNumberFormat="1" applyFont="1" applyBorder="1"/>
    <xf numFmtId="0" fontId="3" fillId="0" borderId="3" xfId="0" applyFont="1" applyBorder="1" applyAlignment="1">
      <alignment vertical="center"/>
    </xf>
    <xf numFmtId="9" fontId="3" fillId="0" borderId="3" xfId="0" applyNumberFormat="1" applyFont="1" applyBorder="1"/>
    <xf numFmtId="0" fontId="1" fillId="0" borderId="4" xfId="0" applyFont="1" applyBorder="1" applyAlignment="1">
      <alignment vertical="center"/>
    </xf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4" fillId="5" borderId="7" xfId="0" applyFont="1" applyFill="1" applyBorder="1"/>
    <xf numFmtId="0" fontId="5" fillId="0" borderId="0" xfId="0" applyFont="1"/>
    <xf numFmtId="0" fontId="1" fillId="2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9" fontId="3" fillId="0" borderId="8" xfId="0" applyNumberFormat="1" applyFont="1" applyBorder="1"/>
    <xf numFmtId="164" fontId="1" fillId="0" borderId="2" xfId="0" applyNumberFormat="1" applyFont="1" applyBorder="1"/>
    <xf numFmtId="0" fontId="7" fillId="0" borderId="7" xfId="0" applyFont="1" applyBorder="1" applyAlignment="1">
      <alignment horizontal="center" vertical="center"/>
    </xf>
    <xf numFmtId="0" fontId="3" fillId="0" borderId="9" xfId="0" applyFont="1" applyBorder="1"/>
    <xf numFmtId="9" fontId="8" fillId="3" borderId="7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vertical="center"/>
    </xf>
    <xf numFmtId="164" fontId="1" fillId="5" borderId="12" xfId="0" applyNumberFormat="1" applyFont="1" applyFill="1" applyBorder="1"/>
    <xf numFmtId="164" fontId="1" fillId="5" borderId="13" xfId="0" applyNumberFormat="1" applyFont="1" applyFill="1" applyBorder="1"/>
    <xf numFmtId="164" fontId="1" fillId="5" borderId="1" xfId="0" applyNumberFormat="1" applyFont="1" applyFill="1" applyBorder="1"/>
    <xf numFmtId="164" fontId="1" fillId="5" borderId="14" xfId="0" applyNumberFormat="1" applyFont="1" applyFill="1" applyBorder="1"/>
    <xf numFmtId="0" fontId="3" fillId="0" borderId="15" xfId="0" applyFont="1" applyBorder="1" applyAlignment="1">
      <alignment vertical="center"/>
    </xf>
    <xf numFmtId="0" fontId="1" fillId="5" borderId="16" xfId="0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1" fillId="0" borderId="0" xfId="0" applyFont="1"/>
    <xf numFmtId="0" fontId="12" fillId="8" borderId="18" xfId="0" applyFont="1" applyFill="1" applyBorder="1" applyAlignment="1">
      <alignment horizontal="center"/>
    </xf>
    <xf numFmtId="0" fontId="12" fillId="8" borderId="5" xfId="0" applyFont="1" applyFill="1" applyBorder="1" applyAlignment="1">
      <alignment horizontal="center"/>
    </xf>
    <xf numFmtId="0" fontId="12" fillId="8" borderId="19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11" fillId="0" borderId="2" xfId="0" applyFont="1" applyBorder="1"/>
    <xf numFmtId="165" fontId="13" fillId="0" borderId="2" xfId="0" applyNumberFormat="1" applyFont="1" applyBorder="1"/>
    <xf numFmtId="165" fontId="13" fillId="0" borderId="20" xfId="0" applyNumberFormat="1" applyFont="1" applyBorder="1"/>
    <xf numFmtId="166" fontId="13" fillId="0" borderId="2" xfId="0" applyNumberFormat="1" applyFont="1" applyBorder="1"/>
    <xf numFmtId="9" fontId="13" fillId="0" borderId="2" xfId="0" applyNumberFormat="1" applyFont="1" applyBorder="1"/>
    <xf numFmtId="165" fontId="13" fillId="0" borderId="0" xfId="0" applyNumberFormat="1" applyFont="1"/>
    <xf numFmtId="0" fontId="12" fillId="7" borderId="7" xfId="0" applyFont="1" applyFill="1" applyBorder="1"/>
    <xf numFmtId="0" fontId="11" fillId="0" borderId="21" xfId="0" applyFont="1" applyBorder="1"/>
    <xf numFmtId="0" fontId="11" fillId="0" borderId="2" xfId="0" applyFont="1" applyBorder="1"/>
    <xf numFmtId="0" fontId="11" fillId="0" borderId="22" xfId="0" applyFont="1" applyBorder="1"/>
    <xf numFmtId="0" fontId="11" fillId="0" borderId="1" xfId="0" applyFont="1" applyBorder="1"/>
    <xf numFmtId="0" fontId="6" fillId="0" borderId="0" xfId="0" applyFont="1"/>
    <xf numFmtId="0" fontId="11" fillId="0" borderId="23" xfId="0" applyFont="1" applyBorder="1"/>
    <xf numFmtId="9" fontId="6" fillId="0" borderId="2" xfId="0" applyNumberFormat="1" applyFont="1" applyBorder="1"/>
    <xf numFmtId="0" fontId="11" fillId="0" borderId="24" xfId="0" applyFont="1" applyBorder="1"/>
    <xf numFmtId="0" fontId="6" fillId="0" borderId="1" xfId="0" applyFont="1" applyBorder="1"/>
    <xf numFmtId="9" fontId="6" fillId="0" borderId="2" xfId="0" applyNumberFormat="1" applyFont="1" applyBorder="1"/>
    <xf numFmtId="0" fontId="6" fillId="0" borderId="2" xfId="0" applyFont="1" applyBorder="1"/>
    <xf numFmtId="0" fontId="3" fillId="0" borderId="1" xfId="0" applyFont="1" applyBorder="1"/>
    <xf numFmtId="167" fontId="6" fillId="0" borderId="2" xfId="0" applyNumberFormat="1" applyFont="1" applyBorder="1"/>
    <xf numFmtId="167" fontId="3" fillId="0" borderId="0" xfId="0" applyNumberFormat="1" applyFont="1"/>
    <xf numFmtId="9" fontId="6" fillId="0" borderId="22" xfId="0" applyNumberFormat="1" applyFont="1" applyBorder="1"/>
    <xf numFmtId="0" fontId="11" fillId="0" borderId="2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9" fontId="14" fillId="0" borderId="0" xfId="0" applyNumberFormat="1" applyFont="1"/>
    <xf numFmtId="167" fontId="6" fillId="0" borderId="0" xfId="0" applyNumberFormat="1" applyFont="1"/>
    <xf numFmtId="167" fontId="3" fillId="0" borderId="2" xfId="0" applyNumberFormat="1" applyFont="1" applyBorder="1"/>
    <xf numFmtId="164" fontId="8" fillId="7" borderId="16" xfId="0" applyNumberFormat="1" applyFont="1" applyFill="1" applyBorder="1"/>
    <xf numFmtId="164" fontId="1" fillId="7" borderId="5" xfId="0" applyNumberFormat="1" applyFont="1" applyFill="1" applyBorder="1"/>
    <xf numFmtId="167" fontId="1" fillId="7" borderId="12" xfId="0" applyNumberFormat="1" applyFont="1" applyFill="1" applyBorder="1"/>
    <xf numFmtId="167" fontId="1" fillId="7" borderId="13" xfId="0" applyNumberFormat="1" applyFont="1" applyFill="1" applyBorder="1"/>
    <xf numFmtId="0" fontId="9" fillId="7" borderId="7" xfId="0" applyFont="1" applyFill="1" applyBorder="1"/>
    <xf numFmtId="0" fontId="8" fillId="0" borderId="0" xfId="0" applyFont="1"/>
    <xf numFmtId="164" fontId="3" fillId="0" borderId="0" xfId="0" applyNumberFormat="1" applyFont="1"/>
    <xf numFmtId="0" fontId="15" fillId="0" borderId="0" xfId="0" applyFont="1"/>
    <xf numFmtId="9" fontId="16" fillId="0" borderId="2" xfId="0" applyNumberFormat="1" applyFont="1" applyBorder="1"/>
    <xf numFmtId="0" fontId="15" fillId="0" borderId="0" xfId="0" applyFont="1" applyAlignment="1">
      <alignment horizontal="left"/>
    </xf>
    <xf numFmtId="9" fontId="6" fillId="0" borderId="3" xfId="0" applyNumberFormat="1" applyFont="1" applyBorder="1"/>
    <xf numFmtId="10" fontId="6" fillId="0" borderId="20" xfId="0" applyNumberFormat="1" applyFont="1" applyBorder="1"/>
    <xf numFmtId="10" fontId="6" fillId="0" borderId="2" xfId="0" applyNumberFormat="1" applyFont="1" applyBorder="1"/>
    <xf numFmtId="0" fontId="11" fillId="0" borderId="0" xfId="0" applyFont="1" applyAlignment="1">
      <alignment horizontal="left"/>
    </xf>
    <xf numFmtId="10" fontId="3" fillId="0" borderId="0" xfId="0" applyNumberFormat="1" applyFont="1"/>
    <xf numFmtId="0" fontId="15" fillId="5" borderId="1" xfId="0" applyFont="1" applyFill="1" applyBorder="1"/>
    <xf numFmtId="0" fontId="17" fillId="0" borderId="2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3" fontId="3" fillId="0" borderId="25" xfId="0" applyNumberFormat="1" applyFont="1" applyBorder="1"/>
    <xf numFmtId="3" fontId="3" fillId="0" borderId="0" xfId="0" applyNumberFormat="1" applyFont="1"/>
    <xf numFmtId="9" fontId="3" fillId="0" borderId="25" xfId="0" applyNumberFormat="1" applyFont="1" applyBorder="1"/>
    <xf numFmtId="168" fontId="3" fillId="0" borderId="25" xfId="0" applyNumberFormat="1" applyFont="1" applyBorder="1"/>
    <xf numFmtId="0" fontId="3" fillId="0" borderId="3" xfId="0" applyFont="1" applyBorder="1"/>
    <xf numFmtId="168" fontId="3" fillId="0" borderId="26" xfId="0" applyNumberFormat="1" applyFont="1" applyBorder="1"/>
    <xf numFmtId="164" fontId="3" fillId="0" borderId="3" xfId="0" applyNumberFormat="1" applyFont="1" applyBorder="1"/>
    <xf numFmtId="0" fontId="1" fillId="7" borderId="27" xfId="0" applyFont="1" applyFill="1" applyBorder="1"/>
    <xf numFmtId="0" fontId="1" fillId="7" borderId="5" xfId="0" applyFont="1" applyFill="1" applyBorder="1"/>
    <xf numFmtId="3" fontId="3" fillId="7" borderId="5" xfId="0" applyNumberFormat="1" applyFont="1" applyFill="1" applyBorder="1"/>
    <xf numFmtId="164" fontId="1" fillId="7" borderId="7" xfId="0" applyNumberFormat="1" applyFont="1" applyFill="1" applyBorder="1"/>
    <xf numFmtId="164" fontId="1" fillId="7" borderId="6" xfId="0" applyNumberFormat="1" applyFont="1" applyFill="1" applyBorder="1"/>
    <xf numFmtId="164" fontId="1" fillId="7" borderId="27" xfId="0" applyNumberFormat="1" applyFont="1" applyFill="1" applyBorder="1"/>
    <xf numFmtId="164" fontId="18" fillId="7" borderId="7" xfId="0" applyNumberFormat="1" applyFont="1" applyFill="1" applyBorder="1"/>
    <xf numFmtId="3" fontId="1" fillId="0" borderId="0" xfId="0" applyNumberFormat="1" applyFont="1"/>
    <xf numFmtId="164" fontId="1" fillId="0" borderId="0" xfId="0" applyNumberFormat="1" applyFont="1"/>
    <xf numFmtId="164" fontId="18" fillId="0" borderId="0" xfId="0" applyNumberFormat="1" applyFont="1"/>
    <xf numFmtId="0" fontId="8" fillId="7" borderId="27" xfId="0" applyFont="1" applyFill="1" applyBorder="1"/>
    <xf numFmtId="0" fontId="8" fillId="7" borderId="5" xfId="0" applyFont="1" applyFill="1" applyBorder="1"/>
    <xf numFmtId="164" fontId="8" fillId="7" borderId="5" xfId="0" applyNumberFormat="1" applyFont="1" applyFill="1" applyBorder="1"/>
    <xf numFmtId="169" fontId="8" fillId="7" borderId="5" xfId="0" applyNumberFormat="1" applyFont="1" applyFill="1" applyBorder="1"/>
    <xf numFmtId="169" fontId="8" fillId="7" borderId="6" xfId="0" applyNumberFormat="1" applyFont="1" applyFill="1" applyBorder="1"/>
    <xf numFmtId="0" fontId="12" fillId="7" borderId="27" xfId="0" applyFont="1" applyFill="1" applyBorder="1"/>
    <xf numFmtId="0" fontId="3" fillId="7" borderId="5" xfId="0" applyFont="1" applyFill="1" applyBorder="1"/>
    <xf numFmtId="164" fontId="8" fillId="7" borderId="6" xfId="0" applyNumberFormat="1" applyFont="1" applyFill="1" applyBorder="1"/>
    <xf numFmtId="0" fontId="3" fillId="0" borderId="20" xfId="0" applyFont="1" applyBorder="1"/>
    <xf numFmtId="170" fontId="3" fillId="0" borderId="2" xfId="0" applyNumberFormat="1" applyFont="1" applyBorder="1"/>
    <xf numFmtId="171" fontId="3" fillId="0" borderId="2" xfId="0" applyNumberFormat="1" applyFont="1" applyBorder="1"/>
    <xf numFmtId="169" fontId="3" fillId="0" borderId="2" xfId="0" applyNumberFormat="1" applyFont="1" applyBorder="1"/>
    <xf numFmtId="168" fontId="3" fillId="0" borderId="2" xfId="0" applyNumberFormat="1" applyFont="1" applyBorder="1"/>
    <xf numFmtId="0" fontId="12" fillId="7" borderId="28" xfId="0" applyFont="1" applyFill="1" applyBorder="1"/>
    <xf numFmtId="170" fontId="8" fillId="7" borderId="12" xfId="0" applyNumberFormat="1" applyFont="1" applyFill="1" applyBorder="1"/>
    <xf numFmtId="164" fontId="8" fillId="7" borderId="12" xfId="0" applyNumberFormat="1" applyFont="1" applyFill="1" applyBorder="1"/>
    <xf numFmtId="169" fontId="8" fillId="7" borderId="12" xfId="0" applyNumberFormat="1" applyFont="1" applyFill="1" applyBorder="1"/>
    <xf numFmtId="4" fontId="3" fillId="0" borderId="2" xfId="0" applyNumberFormat="1" applyFont="1" applyBorder="1"/>
    <xf numFmtId="172" fontId="3" fillId="0" borderId="2" xfId="0" applyNumberFormat="1" applyFont="1" applyBorder="1"/>
    <xf numFmtId="4" fontId="3" fillId="0" borderId="3" xfId="0" applyNumberFormat="1" applyFont="1" applyBorder="1"/>
    <xf numFmtId="172" fontId="3" fillId="0" borderId="3" xfId="0" applyNumberFormat="1" applyFont="1" applyBorder="1"/>
    <xf numFmtId="169" fontId="3" fillId="0" borderId="3" xfId="0" applyNumberFormat="1" applyFont="1" applyBorder="1"/>
    <xf numFmtId="0" fontId="12" fillId="7" borderId="5" xfId="0" applyFont="1" applyFill="1" applyBorder="1"/>
    <xf numFmtId="167" fontId="8" fillId="7" borderId="5" xfId="0" applyNumberFormat="1" applyFont="1" applyFill="1" applyBorder="1"/>
    <xf numFmtId="167" fontId="8" fillId="7" borderId="6" xfId="0" applyNumberFormat="1" applyFont="1" applyFill="1" applyBorder="1"/>
    <xf numFmtId="0" fontId="17" fillId="0" borderId="20" xfId="0" applyFont="1" applyBorder="1"/>
    <xf numFmtId="164" fontId="6" fillId="0" borderId="2" xfId="0" applyNumberFormat="1" applyFont="1" applyBorder="1"/>
    <xf numFmtId="0" fontId="17" fillId="0" borderId="2" xfId="0" applyFont="1" applyBorder="1"/>
    <xf numFmtId="169" fontId="3" fillId="0" borderId="0" xfId="0" applyNumberFormat="1" applyFont="1"/>
    <xf numFmtId="0" fontId="3" fillId="0" borderId="2" xfId="0" applyFont="1" applyBorder="1" applyAlignment="1">
      <alignment wrapText="1"/>
    </xf>
    <xf numFmtId="168" fontId="3" fillId="0" borderId="3" xfId="0" applyNumberFormat="1" applyFont="1" applyBorder="1"/>
    <xf numFmtId="164" fontId="12" fillId="7" borderId="27" xfId="0" applyNumberFormat="1" applyFont="1" applyFill="1" applyBorder="1"/>
    <xf numFmtId="1" fontId="3" fillId="0" borderId="2" xfId="0" applyNumberFormat="1" applyFont="1" applyBorder="1"/>
    <xf numFmtId="168" fontId="6" fillId="0" borderId="2" xfId="0" applyNumberFormat="1" applyFont="1" applyBorder="1"/>
    <xf numFmtId="168" fontId="6" fillId="0" borderId="0" xfId="0" applyNumberFormat="1" applyFont="1"/>
    <xf numFmtId="9" fontId="6" fillId="0" borderId="0" xfId="0" applyNumberFormat="1" applyFont="1"/>
    <xf numFmtId="0" fontId="19" fillId="7" borderId="7" xfId="0" applyFont="1" applyFill="1" applyBorder="1"/>
    <xf numFmtId="164" fontId="6" fillId="0" borderId="2" xfId="0" applyNumberFormat="1" applyFont="1" applyBorder="1" applyAlignment="1">
      <alignment horizontal="center"/>
    </xf>
    <xf numFmtId="164" fontId="6" fillId="0" borderId="29" xfId="0" applyNumberFormat="1" applyFont="1" applyBorder="1"/>
    <xf numFmtId="164" fontId="6" fillId="0" borderId="0" xfId="0" applyNumberFormat="1" applyFont="1"/>
    <xf numFmtId="0" fontId="11" fillId="0" borderId="8" xfId="0" applyFont="1" applyBorder="1"/>
    <xf numFmtId="9" fontId="14" fillId="0" borderId="2" xfId="0" applyNumberFormat="1" applyFont="1" applyBorder="1"/>
    <xf numFmtId="0" fontId="17" fillId="0" borderId="20" xfId="0" applyFont="1" applyBorder="1" applyAlignment="1">
      <alignment wrapText="1"/>
    </xf>
    <xf numFmtId="173" fontId="3" fillId="0" borderId="2" xfId="0" applyNumberFormat="1" applyFont="1" applyBorder="1"/>
    <xf numFmtId="173" fontId="6" fillId="0" borderId="2" xfId="0" applyNumberFormat="1" applyFont="1" applyBorder="1"/>
    <xf numFmtId="0" fontId="3" fillId="0" borderId="2" xfId="0" applyFont="1" applyBorder="1" applyAlignment="1">
      <alignment horizontal="left"/>
    </xf>
    <xf numFmtId="3" fontId="3" fillId="0" borderId="2" xfId="0" applyNumberFormat="1" applyFont="1" applyBorder="1"/>
    <xf numFmtId="9" fontId="14" fillId="0" borderId="2" xfId="0" applyNumberFormat="1" applyFont="1" applyBorder="1" applyAlignment="1">
      <alignment horizontal="center"/>
    </xf>
    <xf numFmtId="174" fontId="3" fillId="0" borderId="2" xfId="0" applyNumberFormat="1" applyFont="1" applyBorder="1"/>
    <xf numFmtId="10" fontId="14" fillId="0" borderId="2" xfId="0" applyNumberFormat="1" applyFont="1" applyBorder="1"/>
    <xf numFmtId="0" fontId="20" fillId="0" borderId="2" xfId="0" applyFont="1" applyBorder="1"/>
    <xf numFmtId="0" fontId="19" fillId="7" borderId="27" xfId="0" applyFont="1" applyFill="1" applyBorder="1"/>
    <xf numFmtId="0" fontId="3" fillId="0" borderId="20" xfId="0" applyFont="1" applyBorder="1" applyAlignment="1">
      <alignment vertical="center"/>
    </xf>
    <xf numFmtId="0" fontId="1" fillId="8" borderId="18" xfId="0" applyFont="1" applyFill="1" applyBorder="1" applyAlignment="1">
      <alignment horizontal="center"/>
    </xf>
    <xf numFmtId="0" fontId="1" fillId="8" borderId="31" xfId="0" applyFont="1" applyFill="1" applyBorder="1" applyAlignment="1">
      <alignment horizontal="center"/>
    </xf>
    <xf numFmtId="0" fontId="1" fillId="8" borderId="32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33" xfId="0" applyFont="1" applyFill="1" applyBorder="1" applyAlignment="1">
      <alignment horizontal="center"/>
    </xf>
    <xf numFmtId="0" fontId="3" fillId="0" borderId="34" xfId="0" applyFont="1" applyBorder="1"/>
    <xf numFmtId="9" fontId="3" fillId="0" borderId="0" xfId="0" applyNumberFormat="1" applyFont="1"/>
    <xf numFmtId="0" fontId="3" fillId="0" borderId="35" xfId="0" applyFont="1" applyBorder="1"/>
    <xf numFmtId="167" fontId="3" fillId="0" borderId="3" xfId="0" applyNumberFormat="1" applyFont="1" applyBorder="1"/>
    <xf numFmtId="167" fontId="1" fillId="7" borderId="5" xfId="0" applyNumberFormat="1" applyFont="1" applyFill="1" applyBorder="1"/>
    <xf numFmtId="3" fontId="1" fillId="7" borderId="5" xfId="0" applyNumberFormat="1" applyFont="1" applyFill="1" applyBorder="1"/>
    <xf numFmtId="3" fontId="1" fillId="7" borderId="6" xfId="0" applyNumberFormat="1" applyFont="1" applyFill="1" applyBorder="1"/>
    <xf numFmtId="0" fontId="3" fillId="0" borderId="36" xfId="0" applyFont="1" applyBorder="1"/>
    <xf numFmtId="164" fontId="3" fillId="0" borderId="20" xfId="0" applyNumberFormat="1" applyFont="1" applyBorder="1"/>
    <xf numFmtId="167" fontId="3" fillId="0" borderId="20" xfId="0" applyNumberFormat="1" applyFont="1" applyBorder="1"/>
    <xf numFmtId="0" fontId="3" fillId="0" borderId="37" xfId="0" applyFont="1" applyBorder="1"/>
    <xf numFmtId="0" fontId="3" fillId="0" borderId="23" xfId="0" applyFont="1" applyBorder="1"/>
    <xf numFmtId="164" fontId="3" fillId="0" borderId="38" xfId="0" applyNumberFormat="1" applyFont="1" applyBorder="1"/>
    <xf numFmtId="167" fontId="3" fillId="0" borderId="15" xfId="0" applyNumberFormat="1" applyFont="1" applyBorder="1"/>
    <xf numFmtId="169" fontId="3" fillId="0" borderId="15" xfId="0" applyNumberFormat="1" applyFont="1" applyBorder="1"/>
    <xf numFmtId="164" fontId="3" fillId="0" borderId="15" xfId="0" applyNumberFormat="1" applyFont="1" applyBorder="1"/>
    <xf numFmtId="0" fontId="11" fillId="0" borderId="34" xfId="0" applyFont="1" applyBorder="1"/>
    <xf numFmtId="0" fontId="11" fillId="0" borderId="37" xfId="0" applyFont="1" applyBorder="1"/>
    <xf numFmtId="10" fontId="3" fillId="0" borderId="2" xfId="0" applyNumberFormat="1" applyFont="1" applyBorder="1"/>
    <xf numFmtId="0" fontId="11" fillId="0" borderId="39" xfId="0" applyFont="1" applyBorder="1"/>
    <xf numFmtId="0" fontId="21" fillId="5" borderId="7" xfId="0" applyFont="1" applyFill="1" applyBorder="1"/>
    <xf numFmtId="164" fontId="21" fillId="5" borderId="40" xfId="0" applyNumberFormat="1" applyFont="1" applyFill="1" applyBorder="1"/>
    <xf numFmtId="0" fontId="22" fillId="5" borderId="7" xfId="0" applyFont="1" applyFill="1" applyBorder="1"/>
    <xf numFmtId="0" fontId="23" fillId="0" borderId="0" xfId="0" applyFont="1"/>
    <xf numFmtId="0" fontId="23" fillId="0" borderId="2" xfId="0" applyFont="1" applyBorder="1"/>
    <xf numFmtId="0" fontId="3" fillId="0" borderId="41" xfId="0" applyFont="1" applyBorder="1"/>
    <xf numFmtId="164" fontId="8" fillId="7" borderId="7" xfId="0" applyNumberFormat="1" applyFont="1" applyFill="1" applyBorder="1"/>
    <xf numFmtId="0" fontId="24" fillId="0" borderId="2" xfId="0" applyFont="1" applyBorder="1"/>
    <xf numFmtId="0" fontId="25" fillId="0" borderId="2" xfId="0" applyFont="1" applyBorder="1"/>
    <xf numFmtId="0" fontId="26" fillId="0" borderId="0" xfId="0" applyFont="1"/>
    <xf numFmtId="0" fontId="26" fillId="0" borderId="0" xfId="0" applyFont="1" applyAlignment="1">
      <alignment horizontal="left"/>
    </xf>
    <xf numFmtId="0" fontId="27" fillId="0" borderId="0" xfId="0" applyFont="1"/>
    <xf numFmtId="0" fontId="12" fillId="8" borderId="27" xfId="0" applyFont="1" applyFill="1" applyBorder="1" applyAlignment="1">
      <alignment horizontal="center"/>
    </xf>
    <xf numFmtId="164" fontId="12" fillId="2" borderId="5" xfId="0" applyNumberFormat="1" applyFont="1" applyFill="1" applyBorder="1" applyAlignment="1">
      <alignment horizontal="center"/>
    </xf>
    <xf numFmtId="0" fontId="28" fillId="7" borderId="7" xfId="0" applyFont="1" applyFill="1" applyBorder="1"/>
    <xf numFmtId="0" fontId="29" fillId="0" borderId="0" xfId="0" applyFont="1"/>
    <xf numFmtId="0" fontId="29" fillId="0" borderId="0" xfId="0" applyFont="1" applyAlignment="1">
      <alignment horizontal="left"/>
    </xf>
    <xf numFmtId="164" fontId="3" fillId="0" borderId="2" xfId="0" applyNumberFormat="1" applyFont="1" applyBorder="1" applyAlignment="1">
      <alignment horizontal="center"/>
    </xf>
    <xf numFmtId="0" fontId="30" fillId="0" borderId="0" xfId="0" applyFont="1" applyAlignment="1">
      <alignment horizontal="left"/>
    </xf>
    <xf numFmtId="164" fontId="1" fillId="0" borderId="42" xfId="0" applyNumberFormat="1" applyFont="1" applyBorder="1"/>
    <xf numFmtId="9" fontId="31" fillId="0" borderId="2" xfId="0" applyNumberFormat="1" applyFont="1" applyBorder="1"/>
    <xf numFmtId="175" fontId="3" fillId="0" borderId="0" xfId="0" applyNumberFormat="1" applyFont="1"/>
    <xf numFmtId="0" fontId="32" fillId="0" borderId="0" xfId="0" applyFont="1"/>
    <xf numFmtId="176" fontId="3" fillId="0" borderId="0" xfId="0" applyNumberFormat="1" applyFont="1"/>
    <xf numFmtId="171" fontId="3" fillId="0" borderId="0" xfId="0" applyNumberFormat="1" applyFont="1"/>
    <xf numFmtId="176" fontId="3" fillId="0" borderId="2" xfId="0" applyNumberFormat="1" applyFont="1" applyBorder="1"/>
    <xf numFmtId="177" fontId="3" fillId="0" borderId="2" xfId="0" applyNumberFormat="1" applyFont="1" applyBorder="1"/>
    <xf numFmtId="178" fontId="3" fillId="0" borderId="0" xfId="0" applyNumberFormat="1" applyFont="1"/>
    <xf numFmtId="0" fontId="33" fillId="0" borderId="0" xfId="0" applyFont="1" applyAlignment="1">
      <alignment horizontal="left"/>
    </xf>
    <xf numFmtId="0" fontId="34" fillId="0" borderId="0" xfId="0" applyFont="1"/>
    <xf numFmtId="167" fontId="34" fillId="0" borderId="2" xfId="0" applyNumberFormat="1" applyFont="1" applyBorder="1"/>
    <xf numFmtId="168" fontId="34" fillId="0" borderId="2" xfId="0" applyNumberFormat="1" applyFont="1" applyBorder="1"/>
    <xf numFmtId="165" fontId="31" fillId="0" borderId="2" xfId="0" applyNumberFormat="1" applyFont="1" applyBorder="1"/>
    <xf numFmtId="0" fontId="30" fillId="0" borderId="0" xfId="0" applyFont="1"/>
    <xf numFmtId="167" fontId="8" fillId="7" borderId="27" xfId="0" applyNumberFormat="1" applyFont="1" applyFill="1" applyBorder="1"/>
    <xf numFmtId="164" fontId="8" fillId="7" borderId="27" xfId="0" applyNumberFormat="1" applyFont="1" applyFill="1" applyBorder="1"/>
    <xf numFmtId="0" fontId="28" fillId="7" borderId="27" xfId="0" applyFont="1" applyFill="1" applyBorder="1"/>
    <xf numFmtId="0" fontId="11" fillId="7" borderId="5" xfId="0" applyFont="1" applyFill="1" applyBorder="1"/>
    <xf numFmtId="167" fontId="3" fillId="0" borderId="3" xfId="0" applyNumberFormat="1" applyFont="1" applyBorder="1" applyAlignment="1">
      <alignment horizontal="center" vertical="center"/>
    </xf>
    <xf numFmtId="0" fontId="10" fillId="0" borderId="15" xfId="0" applyFont="1" applyBorder="1"/>
    <xf numFmtId="0" fontId="10" fillId="0" borderId="20" xfId="0" applyFont="1" applyBorder="1"/>
    <xf numFmtId="0" fontId="35" fillId="0" borderId="0" xfId="0" applyFont="1"/>
    <xf numFmtId="0" fontId="35" fillId="0" borderId="0" xfId="0" applyFont="1" applyAlignment="1">
      <alignment vertical="center" wrapText="1"/>
    </xf>
    <xf numFmtId="168" fontId="3" fillId="0" borderId="2" xfId="0" applyNumberFormat="1" applyFont="1" applyBorder="1" applyAlignment="1">
      <alignment vertical="center"/>
    </xf>
    <xf numFmtId="168" fontId="3" fillId="0" borderId="3" xfId="0" applyNumberFormat="1" applyFont="1" applyBorder="1" applyAlignment="1">
      <alignment horizontal="center" vertical="center"/>
    </xf>
    <xf numFmtId="164" fontId="3" fillId="0" borderId="43" xfId="0" applyNumberFormat="1" applyFont="1" applyBorder="1"/>
    <xf numFmtId="168" fontId="6" fillId="0" borderId="43" xfId="0" applyNumberFormat="1" applyFont="1" applyBorder="1"/>
    <xf numFmtId="170" fontId="3" fillId="0" borderId="43" xfId="0" applyNumberFormat="1" applyFont="1" applyBorder="1"/>
    <xf numFmtId="170" fontId="6" fillId="0" borderId="43" xfId="0" applyNumberFormat="1" applyFont="1" applyBorder="1"/>
    <xf numFmtId="164" fontId="3" fillId="0" borderId="23" xfId="0" applyNumberFormat="1" applyFont="1" applyBorder="1"/>
    <xf numFmtId="168" fontId="6" fillId="0" borderId="23" xfId="0" applyNumberFormat="1" applyFont="1" applyBorder="1"/>
    <xf numFmtId="170" fontId="3" fillId="0" borderId="23" xfId="0" applyNumberFormat="1" applyFont="1" applyBorder="1"/>
    <xf numFmtId="170" fontId="6" fillId="0" borderId="23" xfId="0" applyNumberFormat="1" applyFont="1" applyBorder="1"/>
    <xf numFmtId="170" fontId="3" fillId="0" borderId="24" xfId="0" applyNumberFormat="1" applyFont="1" applyBorder="1"/>
    <xf numFmtId="168" fontId="6" fillId="0" borderId="24" xfId="0" applyNumberFormat="1" applyFont="1" applyBorder="1"/>
    <xf numFmtId="170" fontId="6" fillId="0" borderId="24" xfId="0" applyNumberFormat="1" applyFont="1" applyBorder="1"/>
    <xf numFmtId="176" fontId="8" fillId="7" borderId="27" xfId="0" applyNumberFormat="1" applyFont="1" applyFill="1" applyBorder="1"/>
    <xf numFmtId="176" fontId="8" fillId="7" borderId="5" xfId="0" applyNumberFormat="1" applyFont="1" applyFill="1" applyBorder="1"/>
    <xf numFmtId="170" fontId="8" fillId="7" borderId="5" xfId="0" applyNumberFormat="1" applyFont="1" applyFill="1" applyBorder="1"/>
    <xf numFmtId="170" fontId="7" fillId="7" borderId="5" xfId="0" applyNumberFormat="1" applyFont="1" applyFill="1" applyBorder="1"/>
    <xf numFmtId="170" fontId="7" fillId="7" borderId="6" xfId="0" applyNumberFormat="1" applyFont="1" applyFill="1" applyBorder="1"/>
    <xf numFmtId="167" fontId="36" fillId="0" borderId="44" xfId="0" applyNumberFormat="1" applyFont="1" applyBorder="1"/>
    <xf numFmtId="168" fontId="3" fillId="0" borderId="43" xfId="0" applyNumberFormat="1" applyFont="1" applyBorder="1"/>
    <xf numFmtId="168" fontId="6" fillId="0" borderId="45" xfId="0" applyNumberFormat="1" applyFont="1" applyBorder="1"/>
    <xf numFmtId="168" fontId="3" fillId="0" borderId="23" xfId="0" applyNumberFormat="1" applyFont="1" applyBorder="1"/>
    <xf numFmtId="168" fontId="6" fillId="0" borderId="46" xfId="0" applyNumberFormat="1" applyFont="1" applyBorder="1"/>
    <xf numFmtId="169" fontId="6" fillId="0" borderId="0" xfId="0" applyNumberFormat="1" applyFont="1"/>
    <xf numFmtId="169" fontId="6" fillId="0" borderId="23" xfId="0" applyNumberFormat="1" applyFont="1" applyBorder="1"/>
    <xf numFmtId="168" fontId="3" fillId="0" borderId="23" xfId="0" applyNumberFormat="1" applyFont="1" applyBorder="1" applyAlignment="1">
      <alignment horizontal="center"/>
    </xf>
    <xf numFmtId="168" fontId="3" fillId="0" borderId="24" xfId="0" applyNumberFormat="1" applyFont="1" applyBorder="1"/>
    <xf numFmtId="168" fontId="6" fillId="0" borderId="47" xfId="0" applyNumberFormat="1" applyFont="1" applyBorder="1"/>
    <xf numFmtId="167" fontId="1" fillId="0" borderId="0" xfId="0" applyNumberFormat="1" applyFont="1"/>
    <xf numFmtId="0" fontId="28" fillId="7" borderId="48" xfId="0" applyFont="1" applyFill="1" applyBorder="1"/>
    <xf numFmtId="0" fontId="3" fillId="0" borderId="44" xfId="0" applyFont="1" applyBorder="1"/>
    <xf numFmtId="164" fontId="3" fillId="0" borderId="44" xfId="0" applyNumberFormat="1" applyFont="1" applyBorder="1"/>
    <xf numFmtId="0" fontId="37" fillId="7" borderId="7" xfId="0" applyFont="1" applyFill="1" applyBorder="1"/>
    <xf numFmtId="0" fontId="6" fillId="0" borderId="3" xfId="0" applyFont="1" applyBorder="1" applyAlignment="1">
      <alignment vertical="center"/>
    </xf>
    <xf numFmtId="0" fontId="6" fillId="0" borderId="3" xfId="0" applyFont="1" applyBorder="1"/>
    <xf numFmtId="164" fontId="6" fillId="0" borderId="3" xfId="0" applyNumberFormat="1" applyFont="1" applyBorder="1"/>
    <xf numFmtId="0" fontId="38" fillId="7" borderId="27" xfId="0" applyFont="1" applyFill="1" applyBorder="1"/>
    <xf numFmtId="3" fontId="8" fillId="7" borderId="5" xfId="0" applyNumberFormat="1" applyFont="1" applyFill="1" applyBorder="1"/>
    <xf numFmtId="3" fontId="8" fillId="7" borderId="6" xfId="0" applyNumberFormat="1" applyFont="1" applyFill="1" applyBorder="1"/>
    <xf numFmtId="3" fontId="14" fillId="0" borderId="7" xfId="0" applyNumberFormat="1" applyFont="1" applyBorder="1"/>
    <xf numFmtId="1" fontId="3" fillId="0" borderId="0" xfId="0" applyNumberFormat="1" applyFont="1"/>
    <xf numFmtId="164" fontId="14" fillId="9" borderId="7" xfId="0" applyNumberFormat="1" applyFont="1" applyFill="1" applyBorder="1"/>
    <xf numFmtId="0" fontId="39" fillId="0" borderId="2" xfId="0" applyFont="1" applyBorder="1"/>
    <xf numFmtId="0" fontId="6" fillId="0" borderId="2" xfId="0" applyFont="1" applyBorder="1"/>
    <xf numFmtId="0" fontId="1" fillId="10" borderId="2" xfId="0" applyFont="1" applyFill="1" applyBorder="1" applyAlignment="1">
      <alignment vertical="center"/>
    </xf>
    <xf numFmtId="9" fontId="18" fillId="10" borderId="2" xfId="0" applyNumberFormat="1" applyFont="1" applyFill="1" applyBorder="1"/>
    <xf numFmtId="9" fontId="8" fillId="7" borderId="6" xfId="0" applyNumberFormat="1" applyFont="1" applyFill="1" applyBorder="1"/>
    <xf numFmtId="165" fontId="6" fillId="0" borderId="2" xfId="0" applyNumberFormat="1" applyFont="1" applyBorder="1"/>
    <xf numFmtId="0" fontId="18" fillId="0" borderId="0" xfId="0" applyFont="1" applyAlignment="1">
      <alignment vertical="center"/>
    </xf>
    <xf numFmtId="0" fontId="1" fillId="4" borderId="1" xfId="0" applyFont="1" applyFill="1" applyBorder="1" applyAlignment="1">
      <alignment horizontal="center"/>
    </xf>
    <xf numFmtId="3" fontId="3" fillId="0" borderId="20" xfId="0" applyNumberFormat="1" applyFont="1" applyBorder="1"/>
    <xf numFmtId="0" fontId="1" fillId="0" borderId="0" xfId="0" applyFont="1" applyAlignment="1">
      <alignment vertical="center"/>
    </xf>
    <xf numFmtId="0" fontId="8" fillId="7" borderId="27" xfId="0" applyFont="1" applyFill="1" applyBorder="1" applyAlignment="1">
      <alignment vertical="center"/>
    </xf>
    <xf numFmtId="0" fontId="14" fillId="0" borderId="2" xfId="0" applyFont="1" applyBorder="1"/>
    <xf numFmtId="9" fontId="8" fillId="7" borderId="5" xfId="0" applyNumberFormat="1" applyFont="1" applyFill="1" applyBorder="1"/>
    <xf numFmtId="0" fontId="12" fillId="0" borderId="19" xfId="0" applyFont="1" applyBorder="1" applyAlignment="1">
      <alignment horizontal="center"/>
    </xf>
    <xf numFmtId="167" fontId="10" fillId="0" borderId="0" xfId="0" applyNumberFormat="1" applyFont="1"/>
    <xf numFmtId="0" fontId="8" fillId="8" borderId="5" xfId="0" applyFont="1" applyFill="1" applyBorder="1" applyAlignment="1">
      <alignment horizontal="center"/>
    </xf>
    <xf numFmtId="0" fontId="8" fillId="8" borderId="19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40" fillId="7" borderId="7" xfId="0" applyFont="1" applyFill="1" applyBorder="1" applyAlignment="1">
      <alignment horizontal="center" vertical="center"/>
    </xf>
    <xf numFmtId="0" fontId="12" fillId="0" borderId="0" xfId="0" applyFont="1"/>
    <xf numFmtId="0" fontId="3" fillId="0" borderId="0" xfId="0" applyFont="1" applyAlignment="1">
      <alignment horizontal="center"/>
    </xf>
    <xf numFmtId="0" fontId="41" fillId="0" borderId="2" xfId="0" applyFont="1" applyBorder="1"/>
    <xf numFmtId="10" fontId="42" fillId="0" borderId="2" xfId="0" applyNumberFormat="1" applyFont="1" applyBorder="1"/>
    <xf numFmtId="10" fontId="11" fillId="0" borderId="0" xfId="0" applyNumberFormat="1" applyFont="1"/>
    <xf numFmtId="10" fontId="43" fillId="0" borderId="2" xfId="0" applyNumberFormat="1" applyFont="1" applyBorder="1"/>
    <xf numFmtId="0" fontId="41" fillId="0" borderId="3" xfId="0" applyFont="1" applyBorder="1"/>
    <xf numFmtId="0" fontId="44" fillId="7" borderId="16" xfId="0" applyFont="1" applyFill="1" applyBorder="1"/>
    <xf numFmtId="164" fontId="0" fillId="0" borderId="0" xfId="0" applyNumberFormat="1" applyFont="1" applyAlignment="1"/>
    <xf numFmtId="0" fontId="1" fillId="2" borderId="17" xfId="0" applyFont="1" applyFill="1" applyBorder="1" applyAlignment="1">
      <alignment horizontal="center"/>
    </xf>
    <xf numFmtId="164" fontId="3" fillId="0" borderId="17" xfId="0" applyNumberFormat="1" applyFont="1" applyBorder="1"/>
    <xf numFmtId="179" fontId="0" fillId="0" borderId="0" xfId="0" applyNumberFormat="1" applyFont="1" applyAlignment="1"/>
    <xf numFmtId="0" fontId="7" fillId="2" borderId="6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9" fillId="7" borderId="46" xfId="0" applyFont="1" applyFill="1" applyBorder="1" applyAlignment="1">
      <alignment horizontal="center"/>
    </xf>
    <xf numFmtId="0" fontId="9" fillId="7" borderId="17" xfId="0" applyFont="1" applyFill="1" applyBorder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9" fillId="7" borderId="44" xfId="0" applyFont="1" applyFill="1" applyBorder="1" applyAlignment="1">
      <alignment horizontal="center"/>
    </xf>
    <xf numFmtId="167" fontId="3" fillId="0" borderId="3" xfId="0" applyNumberFormat="1" applyFont="1" applyBorder="1" applyAlignment="1">
      <alignment vertical="center"/>
    </xf>
    <xf numFmtId="0" fontId="10" fillId="0" borderId="15" xfId="0" applyFont="1" applyBorder="1"/>
    <xf numFmtId="0" fontId="10" fillId="0" borderId="20" xfId="0" applyFont="1" applyBorder="1"/>
    <xf numFmtId="0" fontId="35" fillId="0" borderId="0" xfId="0" applyFont="1" applyAlignment="1">
      <alignment horizontal="left" wrapText="1"/>
    </xf>
    <xf numFmtId="0" fontId="0" fillId="0" borderId="0" xfId="0" applyFont="1" applyAlignment="1"/>
    <xf numFmtId="167" fontId="3" fillId="0" borderId="3" xfId="0" applyNumberFormat="1" applyFont="1" applyBorder="1" applyAlignment="1">
      <alignment horizontal="center" vertical="center"/>
    </xf>
    <xf numFmtId="0" fontId="37" fillId="7" borderId="4" xfId="0" applyFont="1" applyFill="1" applyBorder="1" applyAlignment="1">
      <alignment horizontal="center"/>
    </xf>
    <xf numFmtId="0" fontId="10" fillId="0" borderId="9" xfId="0" applyFont="1" applyBorder="1"/>
    <xf numFmtId="0" fontId="10" fillId="0" borderId="30" xfId="0" applyFont="1" applyBorder="1"/>
    <xf numFmtId="0" fontId="20" fillId="0" borderId="0" xfId="0" applyFont="1" applyAlignment="1">
      <alignment horizontal="center" wrapText="1"/>
    </xf>
    <xf numFmtId="0" fontId="20" fillId="0" borderId="49" xfId="0" applyFont="1" applyBorder="1" applyAlignment="1">
      <alignment horizontal="center"/>
    </xf>
    <xf numFmtId="0" fontId="4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285750</xdr:colOff>
      <xdr:row>0</xdr:row>
      <xdr:rowOff>38100</xdr:rowOff>
    </xdr:from>
    <xdr:ext cx="2028825" cy="139065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19550" y="38100"/>
          <a:ext cx="2028825" cy="13906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C100"/>
  <sheetViews>
    <sheetView showGridLines="0" tabSelected="1" view="pageLayout" zoomScaleNormal="100" workbookViewId="0">
      <selection activeCell="G11" sqref="G11"/>
    </sheetView>
  </sheetViews>
  <sheetFormatPr defaultColWidth="12.7109375" defaultRowHeight="15" customHeight="1"/>
  <cols>
    <col min="1" max="8" width="8" customWidth="1"/>
    <col min="9" max="9" width="15.42578125" customWidth="1"/>
    <col min="10" max="10" width="10" customWidth="1"/>
    <col min="11" max="11" width="7.7109375" customWidth="1"/>
  </cols>
  <sheetData>
    <row r="1" spans="3:3" ht="14.25" customHeight="1"/>
    <row r="2" spans="3:3" ht="14.25" customHeight="1"/>
    <row r="3" spans="3:3" ht="14.25" customHeight="1"/>
    <row r="4" spans="3:3" ht="14.25" customHeight="1"/>
    <row r="5" spans="3:3" ht="14.25" customHeight="1">
      <c r="C5" s="1" t="s">
        <v>0</v>
      </c>
    </row>
    <row r="6" spans="3:3" ht="14.25" customHeight="1"/>
    <row r="7" spans="3:3" ht="14.25" customHeight="1"/>
    <row r="8" spans="3:3" ht="14.25" customHeight="1">
      <c r="C8" s="1" t="s">
        <v>1</v>
      </c>
    </row>
    <row r="9" spans="3:3" ht="14.25" customHeight="1"/>
    <row r="10" spans="3:3" ht="14.25" customHeight="1">
      <c r="C10" s="315" t="s">
        <v>2</v>
      </c>
    </row>
    <row r="11" spans="3:3" ht="14.25" customHeight="1">
      <c r="C11" s="315" t="s">
        <v>3</v>
      </c>
    </row>
    <row r="12" spans="3:3" ht="14.25" customHeight="1">
      <c r="C12" s="315" t="s">
        <v>4</v>
      </c>
    </row>
    <row r="13" spans="3:3" ht="14.25" customHeight="1">
      <c r="C13" s="315" t="s">
        <v>5</v>
      </c>
    </row>
    <row r="14" spans="3:3" ht="14.25" customHeight="1">
      <c r="C14" s="315" t="s">
        <v>6</v>
      </c>
    </row>
    <row r="15" spans="3:3" ht="14.25" customHeight="1">
      <c r="C15" s="315" t="s">
        <v>7</v>
      </c>
    </row>
    <row r="16" spans="3:3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hyperlinks>
    <hyperlink ref="C10" location="SUMMARY!A1" display="1. Summary"/>
    <hyperlink ref="C11" location="SUMMARY!A1" display="2. Assumption"/>
    <hyperlink ref="C12" location="FS!A1" display="3. FS"/>
    <hyperlink ref="C13" location="BS!A1" display="4. BS"/>
    <hyperlink ref="C14" location="VALUATION!A1" display="5. Valuation"/>
    <hyperlink ref="C15" location="DEBT!A1" display="6. Debt"/>
  </hyperlinks>
  <pageMargins left="0.7" right="0.7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00"/>
  <sheetViews>
    <sheetView zoomScale="55" zoomScaleNormal="55" workbookViewId="0">
      <selection activeCell="M55" sqref="M55"/>
    </sheetView>
  </sheetViews>
  <sheetFormatPr defaultColWidth="12.7109375" defaultRowHeight="15" customHeight="1"/>
  <cols>
    <col min="1" max="1" width="31.7109375" customWidth="1"/>
    <col min="2" max="3" width="14" customWidth="1"/>
    <col min="4" max="4" width="16.85546875" customWidth="1"/>
    <col min="5" max="8" width="14" customWidth="1"/>
    <col min="9" max="11" width="11" customWidth="1"/>
    <col min="12" max="12" width="10.42578125" bestFit="1" customWidth="1"/>
  </cols>
  <sheetData>
    <row r="1" spans="1:8" ht="14.25" customHeight="1"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ht="14.25" customHeight="1">
      <c r="A2" s="3" t="s">
        <v>15</v>
      </c>
      <c r="B2" s="4">
        <f>VALUATION!H31</f>
        <v>286.74315388478635</v>
      </c>
      <c r="C2" s="4">
        <f>VALUATION!H49</f>
        <v>420.41207828866129</v>
      </c>
      <c r="D2" s="4">
        <f>VALUATION!H64</f>
        <v>105.66191580497583</v>
      </c>
      <c r="E2" s="4">
        <f>VALUATION!G74</f>
        <v>320.33359452296827</v>
      </c>
      <c r="F2" s="4">
        <f>VALUATION!H74</f>
        <v>212.84879738871945</v>
      </c>
      <c r="G2" s="4">
        <f>VALUATION!G84</f>
        <v>515.48671436064501</v>
      </c>
      <c r="H2" s="4">
        <f>VALUATION!H84</f>
        <v>450.04706153199066</v>
      </c>
    </row>
    <row r="3" spans="1:8" ht="14.25" customHeight="1">
      <c r="A3" s="3" t="s">
        <v>16</v>
      </c>
      <c r="B3" s="5">
        <f>VALUATION!$H$32</f>
        <v>143</v>
      </c>
      <c r="C3" s="5">
        <f>VALUATION!$H$32</f>
        <v>143</v>
      </c>
      <c r="D3" s="5">
        <f>VALUATION!$H$32</f>
        <v>143</v>
      </c>
      <c r="E3" s="5">
        <f>VALUATION!$H$32</f>
        <v>143</v>
      </c>
      <c r="F3" s="5">
        <f>VALUATION!$H$32</f>
        <v>143</v>
      </c>
      <c r="G3" s="5">
        <f>VALUATION!$H$32</f>
        <v>143</v>
      </c>
      <c r="H3" s="5">
        <f>VALUATION!$H$32</f>
        <v>143</v>
      </c>
    </row>
    <row r="4" spans="1:8" ht="14.25" customHeight="1">
      <c r="A4" s="3" t="s">
        <v>17</v>
      </c>
      <c r="B4" s="6">
        <f t="shared" ref="B4:H4" si="0">B2/B3-1</f>
        <v>1.0051968803131914</v>
      </c>
      <c r="C4" s="6">
        <f t="shared" si="0"/>
        <v>1.9399446034172119</v>
      </c>
      <c r="D4" s="6">
        <f t="shared" si="0"/>
        <v>-0.26110548388128785</v>
      </c>
      <c r="E4" s="6">
        <f t="shared" si="0"/>
        <v>1.2400950665941837</v>
      </c>
      <c r="F4" s="6">
        <f t="shared" si="0"/>
        <v>0.48845312859244361</v>
      </c>
      <c r="G4" s="6">
        <f t="shared" si="0"/>
        <v>2.6048021983261891</v>
      </c>
      <c r="H4" s="6">
        <f t="shared" si="0"/>
        <v>2.1471822484754592</v>
      </c>
    </row>
    <row r="5" spans="1:8" ht="14.25" customHeight="1">
      <c r="A5" s="3" t="s">
        <v>18</v>
      </c>
      <c r="B5" s="6">
        <v>0.04</v>
      </c>
      <c r="C5" s="6">
        <v>0.04</v>
      </c>
      <c r="D5" s="6">
        <v>0.04</v>
      </c>
      <c r="E5" s="6">
        <v>0.04</v>
      </c>
      <c r="F5" s="6">
        <v>0.04</v>
      </c>
      <c r="G5" s="6">
        <v>0.04</v>
      </c>
      <c r="H5" s="6">
        <v>0.04</v>
      </c>
    </row>
    <row r="6" spans="1:8" ht="14.25" customHeight="1">
      <c r="A6" s="3" t="s">
        <v>19</v>
      </c>
      <c r="B6" s="6">
        <f t="shared" ref="B6:H6" si="1">SUM(B4:B5)</f>
        <v>1.0451968803131915</v>
      </c>
      <c r="C6" s="6">
        <f t="shared" si="1"/>
        <v>1.9799446034172119</v>
      </c>
      <c r="D6" s="6">
        <f t="shared" si="1"/>
        <v>-0.22110548388128784</v>
      </c>
      <c r="E6" s="6">
        <f t="shared" si="1"/>
        <v>1.2800950665941837</v>
      </c>
      <c r="F6" s="6">
        <f t="shared" si="1"/>
        <v>0.52845312859244364</v>
      </c>
      <c r="G6" s="6">
        <f t="shared" si="1"/>
        <v>2.6448021983261891</v>
      </c>
      <c r="H6" s="6">
        <f t="shared" si="1"/>
        <v>2.1871822484754593</v>
      </c>
    </row>
    <row r="7" spans="1:8" ht="14.25" customHeight="1">
      <c r="A7" s="7" t="s">
        <v>20</v>
      </c>
      <c r="B7" s="8">
        <f>VALUATION!R27</f>
        <v>0.29102553978448387</v>
      </c>
      <c r="C7" s="8">
        <f>VALUATION!R23</f>
        <v>0.29269999999999996</v>
      </c>
      <c r="D7" s="8">
        <f>VALUATION!R23</f>
        <v>0.29269999999999996</v>
      </c>
      <c r="E7" s="8">
        <f>VALUATION!$R$27</f>
        <v>0.29102553978448387</v>
      </c>
      <c r="F7" s="8">
        <f>VALUATION!$R$27</f>
        <v>0.29102553978448387</v>
      </c>
      <c r="G7" s="8">
        <f>VALUATION!$R$27</f>
        <v>0.29102553978448387</v>
      </c>
      <c r="H7" s="8">
        <f>VALUATION!$R$27</f>
        <v>0.29102553978448387</v>
      </c>
    </row>
    <row r="8" spans="1:8" ht="14.25" customHeight="1">
      <c r="A8" s="9" t="s">
        <v>21</v>
      </c>
      <c r="B8" s="10" t="s">
        <v>22</v>
      </c>
      <c r="C8" s="10" t="s">
        <v>22</v>
      </c>
      <c r="D8" s="11" t="s">
        <v>23</v>
      </c>
      <c r="E8" s="10" t="s">
        <v>22</v>
      </c>
      <c r="F8" s="10" t="s">
        <v>22</v>
      </c>
      <c r="G8" s="10" t="s">
        <v>22</v>
      </c>
      <c r="H8" s="12" t="s">
        <v>22</v>
      </c>
    </row>
    <row r="9" spans="1:8" ht="14.25" customHeight="1">
      <c r="A9" s="13"/>
    </row>
    <row r="10" spans="1:8" ht="14.25" customHeight="1"/>
    <row r="11" spans="1:8" ht="14.25" customHeight="1">
      <c r="A11" s="14" t="s">
        <v>24</v>
      </c>
    </row>
    <row r="12" spans="1:8" ht="14.25" customHeight="1">
      <c r="A12" s="15"/>
      <c r="B12" s="16" t="s">
        <v>15</v>
      </c>
      <c r="C12" s="16" t="s">
        <v>25</v>
      </c>
      <c r="D12" s="16" t="s">
        <v>26</v>
      </c>
    </row>
    <row r="13" spans="1:8" ht="14.25" customHeight="1">
      <c r="A13" s="17" t="s">
        <v>9</v>
      </c>
      <c r="B13" s="4">
        <f>C2</f>
        <v>420.41207828866129</v>
      </c>
      <c r="C13" s="18">
        <v>0.5</v>
      </c>
      <c r="D13" s="4">
        <f t="shared" ref="D13:D14" si="2">B13*C13</f>
        <v>210.20603914433065</v>
      </c>
    </row>
    <row r="14" spans="1:8" ht="14.25" customHeight="1">
      <c r="A14" s="17" t="s">
        <v>27</v>
      </c>
      <c r="B14" s="4">
        <f>F2</f>
        <v>212.84879738871945</v>
      </c>
      <c r="C14" s="18">
        <v>0.5</v>
      </c>
      <c r="D14" s="4">
        <f t="shared" si="2"/>
        <v>106.42439869435972</v>
      </c>
    </row>
    <row r="15" spans="1:8" ht="14.25" customHeight="1">
      <c r="A15" s="3"/>
      <c r="D15" s="19">
        <f>SUM(D13:D14)</f>
        <v>316.63043783869034</v>
      </c>
    </row>
    <row r="16" spans="1:8" ht="14.25" customHeight="1">
      <c r="A16" s="3" t="s">
        <v>28</v>
      </c>
      <c r="D16" s="5">
        <f>D3</f>
        <v>143</v>
      </c>
    </row>
    <row r="17" spans="1:13" ht="14.25" customHeight="1">
      <c r="A17" s="3" t="s">
        <v>17</v>
      </c>
      <c r="D17" s="6">
        <f>D15/D16-1</f>
        <v>1.2141988660048275</v>
      </c>
    </row>
    <row r="18" spans="1:13" ht="14.25" customHeight="1">
      <c r="A18" s="13"/>
      <c r="D18" s="8">
        <f>E5</f>
        <v>0.04</v>
      </c>
    </row>
    <row r="19" spans="1:13" ht="14.25" customHeight="1">
      <c r="A19" s="20" t="s">
        <v>29</v>
      </c>
      <c r="B19" s="21"/>
      <c r="C19" s="21"/>
      <c r="D19" s="22" t="s">
        <v>22</v>
      </c>
    </row>
    <row r="20" spans="1:13" ht="14.25" customHeight="1">
      <c r="A20" s="13"/>
    </row>
    <row r="21" spans="1:13" ht="14.25" customHeight="1"/>
    <row r="22" spans="1:13" ht="14.25" customHeight="1">
      <c r="B22" s="23" t="s">
        <v>30</v>
      </c>
      <c r="C22" s="23" t="s">
        <v>31</v>
      </c>
      <c r="D22" s="23" t="s">
        <v>32</v>
      </c>
      <c r="E22" s="23" t="s">
        <v>33</v>
      </c>
      <c r="F22" s="24" t="s">
        <v>34</v>
      </c>
      <c r="G22" s="2" t="s">
        <v>35</v>
      </c>
      <c r="H22" s="2" t="s">
        <v>36</v>
      </c>
      <c r="I22" s="2" t="s">
        <v>37</v>
      </c>
      <c r="J22" s="2" t="s">
        <v>38</v>
      </c>
      <c r="K22" s="2" t="s">
        <v>39</v>
      </c>
      <c r="L22" s="2" t="s">
        <v>40</v>
      </c>
      <c r="M22" s="2" t="s">
        <v>370</v>
      </c>
    </row>
    <row r="23" spans="1:13" ht="14.25" customHeight="1">
      <c r="A23" s="3" t="s">
        <v>41</v>
      </c>
      <c r="B23" s="4">
        <f>FS!C3</f>
        <v>4311.441718</v>
      </c>
      <c r="C23" s="4">
        <f>FS!D3</f>
        <v>4459.3232280000002</v>
      </c>
      <c r="D23" s="4">
        <f>FS!E3</f>
        <v>5180.8035819999996</v>
      </c>
      <c r="E23" s="4">
        <f>FS!F3</f>
        <v>5401.7316449999989</v>
      </c>
      <c r="F23" s="4">
        <f>FS!G3</f>
        <v>7033.6215859999993</v>
      </c>
      <c r="G23" s="4">
        <f>FS!H3</f>
        <v>7806.4447063760617</v>
      </c>
      <c r="H23" s="4">
        <f>FS!I3</f>
        <v>8955.7982652241189</v>
      </c>
      <c r="I23" s="4">
        <f>FS!J3</f>
        <v>11925.697157921462</v>
      </c>
      <c r="J23" s="4">
        <f>FS!K3</f>
        <v>13827.884161353661</v>
      </c>
      <c r="K23" s="4">
        <f>FS!L3</f>
        <v>15892.674652515943</v>
      </c>
      <c r="L23" s="4">
        <f>FS!M3</f>
        <v>18266.160130796448</v>
      </c>
      <c r="M23" s="4">
        <f>FS!N3</f>
        <v>20994.537560692916</v>
      </c>
    </row>
    <row r="24" spans="1:13" ht="14.25" customHeight="1">
      <c r="A24" s="3" t="s">
        <v>42</v>
      </c>
      <c r="B24" s="4">
        <f>FS!C4</f>
        <v>-2534</v>
      </c>
      <c r="C24" s="4">
        <f>FS!D4</f>
        <v>-2889.6684749999999</v>
      </c>
      <c r="D24" s="4">
        <f>FS!E4</f>
        <v>-3134.9546169999999</v>
      </c>
      <c r="E24" s="4">
        <f>FS!F4</f>
        <v>-3176</v>
      </c>
      <c r="F24" s="4">
        <f>FS!G4</f>
        <v>-4146.7879360000006</v>
      </c>
      <c r="G24" s="4">
        <f>FS!H4</f>
        <v>-4389.9702105729857</v>
      </c>
      <c r="H24" s="4">
        <f>FS!I4</f>
        <v>-5163.6836869606032</v>
      </c>
      <c r="I24" s="4">
        <f>FS!J4</f>
        <v>-5774.3000684686713</v>
      </c>
      <c r="J24" s="4">
        <f>FS!K4</f>
        <v>-6387.1452735813236</v>
      </c>
      <c r="K24" s="4">
        <f>FS!L4</f>
        <v>-7079.1912458312236</v>
      </c>
      <c r="L24" s="4">
        <f>FS!M4</f>
        <v>-7592.3484387505887</v>
      </c>
      <c r="M24" s="4">
        <f>FS!N4</f>
        <v>-8186.257833723781</v>
      </c>
    </row>
    <row r="25" spans="1:13" ht="14.25" customHeight="1" thickBot="1">
      <c r="A25" s="25" t="s">
        <v>43</v>
      </c>
      <c r="B25" s="26">
        <f>FS!C5</f>
        <v>1777.441718</v>
      </c>
      <c r="C25" s="26">
        <f>FS!D5</f>
        <v>1569.6547530000003</v>
      </c>
      <c r="D25" s="26">
        <f>FS!E5</f>
        <v>2045.8489649999997</v>
      </c>
      <c r="E25" s="26">
        <f>FS!F5</f>
        <v>2225.7316449999989</v>
      </c>
      <c r="F25" s="26">
        <f>FS!G5</f>
        <v>2886.8336499999987</v>
      </c>
      <c r="G25" s="26">
        <f>FS!H5</f>
        <v>3416.474495803076</v>
      </c>
      <c r="H25" s="26">
        <f>FS!I5</f>
        <v>3792.1145782635158</v>
      </c>
      <c r="I25" s="26">
        <f>FS!J5</f>
        <v>6151.3970894527911</v>
      </c>
      <c r="J25" s="26">
        <f>FS!K5</f>
        <v>7440.738887772337</v>
      </c>
      <c r="K25" s="27">
        <f>FS!L5</f>
        <v>8813.4834066847197</v>
      </c>
      <c r="L25" s="27">
        <f>FS!M5</f>
        <v>10673.81169204586</v>
      </c>
      <c r="M25" s="4">
        <f>FS!N5</f>
        <v>12808.279726969135</v>
      </c>
    </row>
    <row r="26" spans="1:13" ht="14.25" customHeight="1">
      <c r="A26" s="13"/>
      <c r="M26" s="4"/>
    </row>
    <row r="27" spans="1:13" ht="14.25" customHeight="1">
      <c r="A27" s="3" t="s">
        <v>44</v>
      </c>
      <c r="B27" s="4">
        <f>FS!C6</f>
        <v>-289.12991399999999</v>
      </c>
      <c r="C27" s="4">
        <f>FS!D6</f>
        <v>-303</v>
      </c>
      <c r="D27" s="4">
        <f>FS!E6</f>
        <v>-353</v>
      </c>
      <c r="E27" s="4">
        <f>FS!F6</f>
        <v>-351</v>
      </c>
      <c r="F27" s="4">
        <f>FS!G6</f>
        <v>-407</v>
      </c>
      <c r="G27" s="4">
        <f>FS!H6</f>
        <v>-460.04483962765448</v>
      </c>
      <c r="H27" s="4">
        <f>FS!I6</f>
        <v>-568.25127372669272</v>
      </c>
      <c r="I27" s="4">
        <f>FS!J6</f>
        <v>-673.12049464728068</v>
      </c>
      <c r="J27" s="4">
        <f>FS!K6</f>
        <v>-830.83430867015363</v>
      </c>
      <c r="K27" s="4">
        <f>FS!L6</f>
        <v>-1083.0041933629921</v>
      </c>
      <c r="L27" s="4">
        <f>FS!M6</f>
        <v>-1505.5804430926705</v>
      </c>
      <c r="M27" s="4">
        <f>FS!N6</f>
        <v>-2240.5497592056427</v>
      </c>
    </row>
    <row r="28" spans="1:13" ht="14.25" customHeight="1">
      <c r="A28" s="3" t="s">
        <v>45</v>
      </c>
      <c r="B28" s="4">
        <f>FS!C7</f>
        <v>-913.76338499999997</v>
      </c>
      <c r="C28" s="4">
        <f>FS!D7</f>
        <v>-1126.3446570000001</v>
      </c>
      <c r="D28" s="4">
        <f>FS!E7</f>
        <v>-1309</v>
      </c>
      <c r="E28" s="4">
        <f>FS!F7</f>
        <v>-1289</v>
      </c>
      <c r="F28" s="4">
        <f>FS!G7</f>
        <v>-1524</v>
      </c>
      <c r="G28" s="4">
        <f>FS!H7</f>
        <v>-2098.7667766411441</v>
      </c>
      <c r="H28" s="4">
        <f>FS!I7</f>
        <v>-2288.7022699151639</v>
      </c>
      <c r="I28" s="4">
        <f>FS!J7</f>
        <v>-2630.6824655758355</v>
      </c>
      <c r="J28" s="4">
        <f>FS!K7</f>
        <v>-3036.2335739806185</v>
      </c>
      <c r="K28" s="4">
        <f>FS!L7</f>
        <v>-3519.4020606177432</v>
      </c>
      <c r="L28" s="4">
        <f>FS!M7</f>
        <v>-4097.1904002907377</v>
      </c>
      <c r="M28" s="4">
        <f>FS!N7</f>
        <v>-4790.8259971224934</v>
      </c>
    </row>
    <row r="29" spans="1:13" ht="14.25" customHeight="1">
      <c r="A29" s="3" t="s">
        <v>46</v>
      </c>
      <c r="B29" s="4">
        <f>FS!C8</f>
        <v>-46.569913</v>
      </c>
      <c r="C29" s="4">
        <f>FS!D8</f>
        <v>0</v>
      </c>
      <c r="D29" s="4">
        <f>FS!E8</f>
        <v>0</v>
      </c>
      <c r="E29" s="4">
        <f>FS!F8</f>
        <v>-41.614372000000003</v>
      </c>
      <c r="F29" s="4">
        <f>FS!G8</f>
        <v>-73.383416999999994</v>
      </c>
      <c r="G29" s="4">
        <f>FS!H8</f>
        <v>-73.43451333176705</v>
      </c>
      <c r="H29" s="4">
        <f>FS!I8</f>
        <v>-82.575638278844878</v>
      </c>
      <c r="I29" s="4">
        <f>FS!J8</f>
        <v>-216.13808633018252</v>
      </c>
      <c r="J29" s="4">
        <f>FS!K8</f>
        <v>-275.30881552170297</v>
      </c>
      <c r="K29" s="4">
        <f>FS!L8</f>
        <v>-328.70883655049698</v>
      </c>
      <c r="L29" s="4">
        <f>FS!M8</f>
        <v>-400.93266483235902</v>
      </c>
      <c r="M29" s="4">
        <f>FS!N8</f>
        <v>-464.07239271768009</v>
      </c>
    </row>
    <row r="30" spans="1:13" ht="14.25" customHeight="1">
      <c r="A30" s="3" t="s">
        <v>47</v>
      </c>
      <c r="B30" s="4">
        <f>FS!C9</f>
        <v>91.202506</v>
      </c>
      <c r="C30" s="4">
        <f>FS!D9</f>
        <v>129.086882</v>
      </c>
      <c r="D30" s="4">
        <f>FS!E9</f>
        <v>182</v>
      </c>
      <c r="E30" s="4">
        <f>FS!F9</f>
        <v>93</v>
      </c>
      <c r="F30" s="4">
        <f>FS!G9</f>
        <v>112.91895099999999</v>
      </c>
      <c r="G30" s="4">
        <f>FS!H9</f>
        <v>165.15101379000001</v>
      </c>
      <c r="H30" s="4">
        <f>FS!I9</f>
        <v>196.82415918732698</v>
      </c>
      <c r="I30" s="4">
        <f>FS!J9</f>
        <v>138.88972366211743</v>
      </c>
      <c r="J30" s="4">
        <f>FS!K9</f>
        <v>215.33723621186118</v>
      </c>
      <c r="K30" s="4">
        <f>FS!L9</f>
        <v>321.83888519937489</v>
      </c>
      <c r="L30" s="4">
        <f>FS!M9</f>
        <v>452.36672436707443</v>
      </c>
      <c r="M30" s="4">
        <f>FS!N9</f>
        <v>619.5113235011022</v>
      </c>
    </row>
    <row r="31" spans="1:13" ht="14.25" customHeight="1" thickBot="1">
      <c r="A31" s="25" t="s">
        <v>48</v>
      </c>
      <c r="B31" s="28">
        <f>FS!C10</f>
        <v>619.1810119999999</v>
      </c>
      <c r="C31" s="28">
        <f>FS!D10</f>
        <v>269.39697800000016</v>
      </c>
      <c r="D31" s="28">
        <f>FS!E10</f>
        <v>565.84896499999968</v>
      </c>
      <c r="E31" s="28">
        <f>FS!F10</f>
        <v>637.11727299999893</v>
      </c>
      <c r="F31" s="28">
        <f>FS!G10</f>
        <v>995.36918399999865</v>
      </c>
      <c r="G31" s="28">
        <f>FS!H10</f>
        <v>949.37937999251062</v>
      </c>
      <c r="H31" s="28">
        <f>FS!I10</f>
        <v>1049.4095555301415</v>
      </c>
      <c r="I31" s="28">
        <f>FS!J10</f>
        <v>2770.3457665616097</v>
      </c>
      <c r="J31" s="28">
        <f>FS!K10</f>
        <v>3513.6994258117234</v>
      </c>
      <c r="K31" s="29">
        <f>FS!L10</f>
        <v>4204.2072013528632</v>
      </c>
      <c r="L31" s="29">
        <f>FS!M10</f>
        <v>5122.4749081971668</v>
      </c>
      <c r="M31" s="4">
        <f>FS!N10</f>
        <v>5932.3429014244193</v>
      </c>
    </row>
    <row r="32" spans="1:13" ht="14.25" customHeight="1" thickBot="1">
      <c r="A32" s="30" t="s">
        <v>49</v>
      </c>
      <c r="B32" s="4">
        <f>FS!C11</f>
        <v>-16.293572999999999</v>
      </c>
      <c r="C32" s="4">
        <f>FS!D11</f>
        <v>-11</v>
      </c>
      <c r="D32" s="4">
        <f>FS!E11</f>
        <v>-23.429964999999999</v>
      </c>
      <c r="E32" s="4">
        <f>FS!F11</f>
        <v>-27.133699999999997</v>
      </c>
      <c r="F32" s="4">
        <f>FS!G11</f>
        <v>-21.739709999999999</v>
      </c>
      <c r="G32" s="4">
        <f>FS!H11</f>
        <v>-9.3331139529999998</v>
      </c>
      <c r="H32" s="4">
        <f>FS!I11</f>
        <v>-7.1866331735464994</v>
      </c>
      <c r="I32" s="4">
        <f>FS!J11</f>
        <v>-6.8367871263639906</v>
      </c>
      <c r="J32" s="4">
        <f>FS!K11</f>
        <v>-6.7838943579212208</v>
      </c>
      <c r="K32" s="4">
        <f>FS!L11</f>
        <v>-6.7758907104494392</v>
      </c>
      <c r="L32" s="4">
        <f>FS!M11</f>
        <v>-6.7746785856982372</v>
      </c>
      <c r="M32" s="4">
        <f>FS!N11</f>
        <v>-6.774494860275289</v>
      </c>
    </row>
    <row r="33" spans="1:13" ht="14.25" customHeight="1" thickBot="1">
      <c r="A33" s="31" t="s">
        <v>50</v>
      </c>
      <c r="B33" s="28">
        <f>FS!C12</f>
        <v>602.88743899999986</v>
      </c>
      <c r="C33" s="28">
        <f>FS!D12</f>
        <v>258.39697800000016</v>
      </c>
      <c r="D33" s="28">
        <f>FS!E12</f>
        <v>542.41899999999964</v>
      </c>
      <c r="E33" s="28">
        <f>FS!F12</f>
        <v>609.98357299999896</v>
      </c>
      <c r="F33" s="28">
        <f>FS!G12</f>
        <v>973.62947399999871</v>
      </c>
      <c r="G33" s="28">
        <f>FS!H12</f>
        <v>940.04626603951067</v>
      </c>
      <c r="H33" s="28">
        <f>FS!I12</f>
        <v>1042.2229223565951</v>
      </c>
      <c r="I33" s="28">
        <f>FS!J12</f>
        <v>2763.5089794352457</v>
      </c>
      <c r="J33" s="28">
        <f>FS!K12</f>
        <v>3506.915531453802</v>
      </c>
      <c r="K33" s="29">
        <f>FS!L12</f>
        <v>4197.4313106424133</v>
      </c>
      <c r="L33" s="29">
        <f>FS!M12</f>
        <v>5115.7002296114688</v>
      </c>
      <c r="M33" s="4">
        <f>FS!N12</f>
        <v>5925.5684065641444</v>
      </c>
    </row>
    <row r="34" spans="1:13" ht="14.25" customHeight="1" thickBot="1">
      <c r="A34" s="30" t="s">
        <v>51</v>
      </c>
      <c r="B34" s="4">
        <f>FS!C13</f>
        <v>-208.553225</v>
      </c>
      <c r="C34" s="4">
        <f>FS!D13</f>
        <v>-111.85964199999999</v>
      </c>
      <c r="D34" s="4">
        <f>FS!E13</f>
        <v>-167.672113</v>
      </c>
      <c r="E34" s="4">
        <f>FS!F13</f>
        <v>-164.874799</v>
      </c>
      <c r="F34" s="4">
        <f>FS!G13</f>
        <v>-255.63210699999999</v>
      </c>
      <c r="G34" s="4">
        <f>FS!H13</f>
        <v>-426.03061026557918</v>
      </c>
      <c r="H34" s="4">
        <f>FS!I13</f>
        <v>-438.79335053485426</v>
      </c>
      <c r="I34" s="4">
        <f>FS!J13</f>
        <v>-1101.2683075083455</v>
      </c>
      <c r="J34" s="4">
        <f>FS!K13</f>
        <v>-1402.6433614983514</v>
      </c>
      <c r="K34" s="4">
        <f>FS!L13</f>
        <v>-1687.9166413075229</v>
      </c>
      <c r="L34" s="4">
        <f>FS!M13</f>
        <v>-2065.6202228519564</v>
      </c>
      <c r="M34" s="4">
        <f>FS!N13</f>
        <v>-2406.540430080689</v>
      </c>
    </row>
    <row r="35" spans="1:13" ht="14.25" customHeight="1" thickBot="1">
      <c r="A35" s="31" t="s">
        <v>52</v>
      </c>
      <c r="B35" s="26">
        <f>FS!C14</f>
        <v>394.33421399999986</v>
      </c>
      <c r="C35" s="26">
        <f>FS!D14</f>
        <v>146.53733600000015</v>
      </c>
      <c r="D35" s="26">
        <f>FS!E14</f>
        <v>374.74688699999967</v>
      </c>
      <c r="E35" s="26">
        <f>FS!F14</f>
        <v>395.655081</v>
      </c>
      <c r="F35" s="26">
        <f>FS!G14</f>
        <v>725.23525800000004</v>
      </c>
      <c r="G35" s="26">
        <f>FS!H14</f>
        <v>514.01565577393148</v>
      </c>
      <c r="H35" s="26">
        <f>FS!I14</f>
        <v>603.42957182174086</v>
      </c>
      <c r="I35" s="26">
        <f>FS!J14</f>
        <v>1662.2406719269002</v>
      </c>
      <c r="J35" s="26">
        <f>FS!K14</f>
        <v>2104.2721699554504</v>
      </c>
      <c r="K35" s="27">
        <f>FS!L14</f>
        <v>2509.5146693348906</v>
      </c>
      <c r="L35" s="27">
        <f>FS!M14</f>
        <v>3050.0800067595123</v>
      </c>
      <c r="M35" s="4">
        <f>FS!N14</f>
        <v>3519.0279764834554</v>
      </c>
    </row>
    <row r="36" spans="1:13" ht="14.25" customHeight="1">
      <c r="M36" s="4"/>
    </row>
    <row r="37" spans="1:13" ht="14.25" customHeight="1">
      <c r="A37" s="32" t="s">
        <v>53</v>
      </c>
      <c r="B37" s="4">
        <f>FS!C16</f>
        <v>10.885993098498231</v>
      </c>
      <c r="C37" s="4">
        <f>FS!D16</f>
        <v>4.045310733215552</v>
      </c>
      <c r="D37" s="4">
        <f>FS!E16</f>
        <v>10.345265210909886</v>
      </c>
      <c r="E37" s="4">
        <f>FS!F16</f>
        <v>10.922456962234984</v>
      </c>
      <c r="F37" s="4">
        <f>FS!G16</f>
        <v>20.020849657685517</v>
      </c>
      <c r="G37" s="4">
        <f>FS!H16</f>
        <v>14.189919825914629</v>
      </c>
      <c r="H37" s="4">
        <f>FS!I16</f>
        <v>16.658281024230924</v>
      </c>
      <c r="I37" s="4">
        <f>FS!J16</f>
        <v>45.887827736497911</v>
      </c>
      <c r="J37" s="4">
        <f>FS!K16</f>
        <v>58.090552394971581</v>
      </c>
      <c r="K37" s="4">
        <f>FS!L16</f>
        <v>69.277679696744997</v>
      </c>
      <c r="L37" s="4">
        <f>FS!M16</f>
        <v>84.200530221938848</v>
      </c>
      <c r="M37" s="4">
        <f>FS!N16</f>
        <v>97.14631118825794</v>
      </c>
    </row>
    <row r="38" spans="1:13" ht="14.25" customHeight="1">
      <c r="A38" s="32" t="s">
        <v>54</v>
      </c>
      <c r="B38" s="4">
        <f>FS!C17</f>
        <v>6</v>
      </c>
      <c r="C38" s="4">
        <f>FS!D17</f>
        <v>3</v>
      </c>
      <c r="D38" s="4">
        <f>FS!E17</f>
        <v>7</v>
      </c>
      <c r="E38" s="4">
        <f>FS!F17</f>
        <v>4</v>
      </c>
      <c r="F38" s="4">
        <f>FS!G17</f>
        <v>10</v>
      </c>
      <c r="G38" s="4">
        <f>FS!H17</f>
        <v>6</v>
      </c>
      <c r="H38" s="4">
        <f>FS!I17</f>
        <v>7</v>
      </c>
      <c r="I38" s="4">
        <f>FS!J17</f>
        <v>20</v>
      </c>
      <c r="J38" s="4">
        <f>FS!K17</f>
        <v>25</v>
      </c>
      <c r="K38" s="4">
        <f>FS!L17</f>
        <v>30</v>
      </c>
      <c r="L38" s="4">
        <f>FS!M17</f>
        <v>36</v>
      </c>
      <c r="M38" s="4">
        <f>FS!N17</f>
        <v>42</v>
      </c>
    </row>
    <row r="39" spans="1:13" ht="14.25" customHeight="1">
      <c r="M39" s="4"/>
    </row>
    <row r="40" spans="1:13" ht="14.25" customHeight="1"/>
    <row r="41" spans="1:13" ht="14.25" customHeight="1"/>
    <row r="42" spans="1:13" ht="14.25" customHeight="1"/>
    <row r="43" spans="1:13" ht="14.25" customHeight="1"/>
    <row r="44" spans="1:13" ht="14.25" customHeight="1"/>
    <row r="45" spans="1:13" ht="14.25" customHeight="1"/>
    <row r="46" spans="1:13" ht="14.25" customHeight="1"/>
    <row r="47" spans="1:13" ht="14.25" customHeight="1"/>
    <row r="48" spans="1:13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R229"/>
  <sheetViews>
    <sheetView workbookViewId="0">
      <pane xSplit="1" ySplit="2" topLeftCell="E219" activePane="bottomRight" state="frozen"/>
      <selection pane="topRight" activeCell="B1" sqref="B1"/>
      <selection pane="bottomLeft" activeCell="A3" sqref="A3"/>
      <selection pane="bottomRight" activeCell="N245" sqref="N245"/>
    </sheetView>
  </sheetViews>
  <sheetFormatPr defaultColWidth="12.7109375" defaultRowHeight="15" customHeight="1"/>
  <cols>
    <col min="1" max="1" width="43.42578125" customWidth="1"/>
    <col min="2" max="2" width="3.28515625" customWidth="1"/>
    <col min="3" max="3" width="14" customWidth="1"/>
    <col min="4" max="5" width="11.140625" customWidth="1"/>
    <col min="6" max="6" width="13.140625" customWidth="1"/>
    <col min="7" max="7" width="12" customWidth="1"/>
    <col min="8" max="8" width="12.7109375" customWidth="1"/>
    <col min="9" max="11" width="12.42578125" customWidth="1"/>
    <col min="12" max="12" width="13" customWidth="1"/>
    <col min="13" max="13" width="13.85546875" customWidth="1"/>
    <col min="14" max="14" width="16.28515625" customWidth="1"/>
    <col min="15" max="15" width="8" customWidth="1"/>
    <col min="16" max="18" width="7.7109375" customWidth="1"/>
  </cols>
  <sheetData>
    <row r="1" spans="1:14" ht="14.25" customHeight="1" thickBot="1">
      <c r="C1" s="299" t="s">
        <v>55</v>
      </c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</row>
    <row r="2" spans="1:14" ht="14.25" customHeight="1" thickBot="1">
      <c r="A2" s="33"/>
      <c r="B2" s="33"/>
      <c r="C2" s="34" t="s">
        <v>56</v>
      </c>
      <c r="D2" s="35" t="s">
        <v>57</v>
      </c>
      <c r="E2" s="35" t="s">
        <v>58</v>
      </c>
      <c r="F2" s="35" t="s">
        <v>59</v>
      </c>
      <c r="G2" s="36" t="s">
        <v>60</v>
      </c>
      <c r="H2" s="37" t="s">
        <v>61</v>
      </c>
      <c r="I2" s="37" t="s">
        <v>62</v>
      </c>
      <c r="J2" s="37" t="s">
        <v>63</v>
      </c>
      <c r="K2" s="37" t="s">
        <v>64</v>
      </c>
      <c r="L2" s="38" t="s">
        <v>65</v>
      </c>
      <c r="M2" s="38" t="s">
        <v>66</v>
      </c>
      <c r="N2" s="38" t="s">
        <v>371</v>
      </c>
    </row>
    <row r="3" spans="1:14" ht="14.25" customHeight="1">
      <c r="A3" s="39" t="s">
        <v>67</v>
      </c>
      <c r="B3" s="33"/>
      <c r="C3" s="40">
        <v>5.2200000000000003E-2</v>
      </c>
      <c r="D3" s="41">
        <v>5.5300000000000002E-2</v>
      </c>
      <c r="E3" s="41">
        <v>2.0799999999999999E-2</v>
      </c>
      <c r="F3" s="41">
        <v>-4.7000000000000002E-3</v>
      </c>
      <c r="G3" s="41">
        <v>5.2999999999999999E-2</v>
      </c>
      <c r="H3" s="41">
        <v>0.04</v>
      </c>
      <c r="I3" s="41">
        <v>0.05</v>
      </c>
      <c r="J3" s="41">
        <v>0.05</v>
      </c>
      <c r="K3" s="41">
        <v>0.05</v>
      </c>
      <c r="L3" s="41">
        <v>0.05</v>
      </c>
      <c r="M3" s="41">
        <v>0.05</v>
      </c>
      <c r="N3" s="41">
        <v>0.05</v>
      </c>
    </row>
    <row r="4" spans="1:14" ht="14.25" customHeight="1">
      <c r="A4" s="39" t="s">
        <v>68</v>
      </c>
      <c r="B4" s="33"/>
      <c r="C4" s="40">
        <v>5.7500000000000002E-2</v>
      </c>
      <c r="D4" s="40">
        <v>0.10249999999999999</v>
      </c>
      <c r="E4" s="40">
        <v>0.11890000000000001</v>
      </c>
      <c r="F4" s="40">
        <v>7.0000000000000007E-2</v>
      </c>
      <c r="G4" s="40">
        <v>0.13750000000000001</v>
      </c>
      <c r="H4" s="40">
        <v>0.16</v>
      </c>
      <c r="I4" s="40">
        <v>0.15</v>
      </c>
      <c r="J4" s="40">
        <v>0.14000000000000001</v>
      </c>
      <c r="K4" s="40">
        <v>0.14000000000000001</v>
      </c>
      <c r="L4" s="40">
        <v>0.14000000000000001</v>
      </c>
      <c r="M4" s="40">
        <v>0.14000000000000001</v>
      </c>
      <c r="N4" s="40">
        <v>0.14000000000000001</v>
      </c>
    </row>
    <row r="5" spans="1:14" ht="14.25" customHeight="1">
      <c r="A5" s="39" t="s">
        <v>69</v>
      </c>
      <c r="B5" s="33"/>
      <c r="C5" s="42">
        <v>105.35033100775181</v>
      </c>
      <c r="D5" s="42">
        <v>121.78473429752067</v>
      </c>
      <c r="E5" s="42">
        <v>150.3564366795367</v>
      </c>
      <c r="F5" s="42">
        <v>161.85688167938935</v>
      </c>
      <c r="G5" s="42">
        <v>163.04839384615389</v>
      </c>
      <c r="H5" s="42">
        <v>225</v>
      </c>
      <c r="I5" s="42">
        <f t="shared" ref="I5:M5" si="0">H5*(1+I6)</f>
        <v>247.50000000000003</v>
      </c>
      <c r="J5" s="42">
        <f t="shared" si="0"/>
        <v>272.25000000000006</v>
      </c>
      <c r="K5" s="42">
        <f t="shared" si="0"/>
        <v>299.47500000000008</v>
      </c>
      <c r="L5" s="42">
        <f t="shared" si="0"/>
        <v>329.42250000000013</v>
      </c>
      <c r="M5" s="42">
        <f t="shared" si="0"/>
        <v>362.36475000000019</v>
      </c>
      <c r="N5" s="42">
        <f t="shared" ref="N5" si="1">M5*(1+N6)</f>
        <v>398.60122500000023</v>
      </c>
    </row>
    <row r="6" spans="1:14" ht="14.25" customHeight="1">
      <c r="A6" s="39" t="s">
        <v>70</v>
      </c>
      <c r="B6" s="33"/>
      <c r="C6" s="42"/>
      <c r="D6" s="43">
        <f t="shared" ref="D6:H6" si="2">D5/C5-1</f>
        <v>0.15599764265154148</v>
      </c>
      <c r="E6" s="43">
        <f t="shared" si="2"/>
        <v>0.23460824172112749</v>
      </c>
      <c r="F6" s="43">
        <f t="shared" si="2"/>
        <v>7.6487879427231897E-2</v>
      </c>
      <c r="G6" s="43">
        <f t="shared" si="2"/>
        <v>7.3615168808498499E-3</v>
      </c>
      <c r="H6" s="43">
        <f t="shared" si="2"/>
        <v>0.37995839574047707</v>
      </c>
      <c r="I6" s="40">
        <v>0.1</v>
      </c>
      <c r="J6" s="40">
        <f t="shared" ref="J6:M6" si="3">I6</f>
        <v>0.1</v>
      </c>
      <c r="K6" s="40">
        <f t="shared" si="3"/>
        <v>0.1</v>
      </c>
      <c r="L6" s="40">
        <f t="shared" si="3"/>
        <v>0.1</v>
      </c>
      <c r="M6" s="40">
        <f t="shared" si="3"/>
        <v>0.1</v>
      </c>
      <c r="N6" s="40">
        <f t="shared" ref="N6:N8" si="4">M6</f>
        <v>0.1</v>
      </c>
    </row>
    <row r="7" spans="1:14" ht="14.25" customHeight="1">
      <c r="A7" s="39" t="s">
        <v>71</v>
      </c>
      <c r="B7" s="33"/>
      <c r="C7" s="40">
        <v>4.1599999999999998E-2</v>
      </c>
      <c r="D7" s="40">
        <v>4.6800000000000001E-2</v>
      </c>
      <c r="E7" s="40">
        <v>6.8000000000000005E-2</v>
      </c>
      <c r="F7" s="40">
        <v>0.1074</v>
      </c>
      <c r="G7" s="40">
        <v>8.8999999999999996E-2</v>
      </c>
      <c r="H7" s="40">
        <v>0.25</v>
      </c>
      <c r="I7" s="40">
        <v>0.2</v>
      </c>
      <c r="J7" s="40">
        <v>0.08</v>
      </c>
      <c r="K7" s="40">
        <f t="shared" ref="K7:M7" si="5">J7</f>
        <v>0.08</v>
      </c>
      <c r="L7" s="40">
        <f t="shared" si="5"/>
        <v>0.08</v>
      </c>
      <c r="M7" s="40">
        <f t="shared" si="5"/>
        <v>0.08</v>
      </c>
      <c r="N7" s="40">
        <f t="shared" si="4"/>
        <v>0.08</v>
      </c>
    </row>
    <row r="8" spans="1:14" ht="14.25" customHeight="1">
      <c r="A8" s="39" t="s">
        <v>72</v>
      </c>
      <c r="B8" s="33"/>
      <c r="C8" s="44"/>
      <c r="D8" s="40">
        <v>0.3</v>
      </c>
      <c r="E8" s="40">
        <v>0.28999999999999998</v>
      </c>
      <c r="F8" s="40">
        <v>0.28999999999999998</v>
      </c>
      <c r="G8" s="40">
        <v>0.28999999999999998</v>
      </c>
      <c r="H8" s="40">
        <v>0.39</v>
      </c>
      <c r="I8" s="40">
        <f t="shared" ref="I8:M8" si="6">H8</f>
        <v>0.39</v>
      </c>
      <c r="J8" s="40">
        <f t="shared" si="6"/>
        <v>0.39</v>
      </c>
      <c r="K8" s="40">
        <f t="shared" si="6"/>
        <v>0.39</v>
      </c>
      <c r="L8" s="40">
        <f t="shared" si="6"/>
        <v>0.39</v>
      </c>
      <c r="M8" s="40">
        <f t="shared" si="6"/>
        <v>0.39</v>
      </c>
      <c r="N8" s="40">
        <f t="shared" si="4"/>
        <v>0.39</v>
      </c>
    </row>
    <row r="9" spans="1:14" ht="14.25" customHeight="1">
      <c r="A9" s="39" t="s">
        <v>73</v>
      </c>
      <c r="B9" s="33"/>
      <c r="C9" s="44"/>
      <c r="D9" s="44"/>
      <c r="E9" s="44"/>
      <c r="F9" s="44"/>
      <c r="G9" s="44"/>
      <c r="H9" s="40">
        <v>0.15</v>
      </c>
      <c r="I9" s="40">
        <v>0.15</v>
      </c>
      <c r="J9" s="40">
        <v>0.15</v>
      </c>
      <c r="K9" s="40">
        <v>0.15</v>
      </c>
      <c r="L9" s="40">
        <v>0.15</v>
      </c>
      <c r="M9" s="40">
        <v>0.15</v>
      </c>
      <c r="N9" s="40">
        <v>0.15</v>
      </c>
    </row>
    <row r="10" spans="1:14" ht="14.25" customHeight="1">
      <c r="A10" s="39" t="s">
        <v>74</v>
      </c>
      <c r="B10" s="33"/>
      <c r="C10" s="44"/>
      <c r="D10" s="44"/>
      <c r="E10" s="44"/>
      <c r="F10" s="44"/>
      <c r="G10" s="44"/>
      <c r="H10" s="40">
        <v>0.15</v>
      </c>
      <c r="I10" s="40">
        <v>0.15</v>
      </c>
      <c r="J10" s="40">
        <v>0.15</v>
      </c>
      <c r="K10" s="40">
        <v>0.15</v>
      </c>
      <c r="L10" s="40">
        <v>0.15</v>
      </c>
      <c r="M10" s="40">
        <v>0.15</v>
      </c>
      <c r="N10" s="40">
        <v>0.15</v>
      </c>
    </row>
    <row r="11" spans="1:14" ht="14.25" customHeight="1"/>
    <row r="12" spans="1:14" ht="14.25" customHeight="1">
      <c r="A12" s="45" t="s">
        <v>75</v>
      </c>
    </row>
    <row r="13" spans="1:14" ht="14.25" customHeight="1">
      <c r="A13" s="46" t="s">
        <v>76</v>
      </c>
      <c r="C13" s="6">
        <v>0.73</v>
      </c>
      <c r="D13" s="6">
        <v>0.73</v>
      </c>
      <c r="E13" s="6">
        <v>0.73</v>
      </c>
      <c r="F13" s="6">
        <v>0.73</v>
      </c>
      <c r="G13" s="6">
        <v>0.73</v>
      </c>
      <c r="H13" s="6">
        <v>0.73</v>
      </c>
      <c r="I13" s="6">
        <v>0.73</v>
      </c>
      <c r="J13" s="6">
        <v>0.73</v>
      </c>
      <c r="K13" s="6">
        <v>0.73</v>
      </c>
      <c r="L13" s="6">
        <v>0.73</v>
      </c>
      <c r="M13" s="6">
        <v>0.73</v>
      </c>
      <c r="N13" s="6">
        <v>0.73</v>
      </c>
    </row>
    <row r="14" spans="1:14" ht="14.25" customHeight="1">
      <c r="A14" s="47" t="s">
        <v>77</v>
      </c>
      <c r="C14" s="6">
        <v>0.18</v>
      </c>
      <c r="D14" s="6">
        <v>0.18</v>
      </c>
      <c r="E14" s="6">
        <v>0.18</v>
      </c>
      <c r="F14" s="6">
        <v>0.18</v>
      </c>
      <c r="G14" s="6">
        <v>0.18</v>
      </c>
      <c r="H14" s="6">
        <v>0.18</v>
      </c>
      <c r="I14" s="6">
        <v>0.18</v>
      </c>
      <c r="J14" s="6">
        <v>0.18</v>
      </c>
      <c r="K14" s="6">
        <v>0.18</v>
      </c>
      <c r="L14" s="6">
        <v>0.18</v>
      </c>
      <c r="M14" s="6">
        <v>0.18</v>
      </c>
      <c r="N14" s="6">
        <v>0.18</v>
      </c>
    </row>
    <row r="15" spans="1:14" ht="14.25" customHeight="1">
      <c r="A15" s="47" t="s">
        <v>78</v>
      </c>
      <c r="C15" s="6">
        <v>0.09</v>
      </c>
      <c r="D15" s="6">
        <v>0.09</v>
      </c>
      <c r="E15" s="6">
        <v>0.09</v>
      </c>
      <c r="F15" s="6">
        <v>0.09</v>
      </c>
      <c r="G15" s="6">
        <v>0.09</v>
      </c>
      <c r="H15" s="6">
        <v>0.09</v>
      </c>
      <c r="I15" s="6">
        <v>0.09</v>
      </c>
      <c r="J15" s="6">
        <v>0.09</v>
      </c>
      <c r="K15" s="6">
        <v>0.09</v>
      </c>
      <c r="L15" s="6">
        <v>0.09</v>
      </c>
      <c r="M15" s="6">
        <v>0.09</v>
      </c>
      <c r="N15" s="6">
        <v>0.09</v>
      </c>
    </row>
    <row r="16" spans="1:14" ht="14.25" customHeight="1">
      <c r="A16" s="48"/>
    </row>
    <row r="17" spans="1:18" ht="14.25" customHeight="1">
      <c r="A17" s="45" t="s">
        <v>79</v>
      </c>
    </row>
    <row r="18" spans="1:18" ht="14.25" customHeight="1">
      <c r="A18" s="46" t="s">
        <v>76</v>
      </c>
      <c r="C18" s="43">
        <v>0.7</v>
      </c>
      <c r="D18" s="43">
        <v>0.7</v>
      </c>
      <c r="E18" s="43">
        <v>0.7</v>
      </c>
      <c r="F18" s="43">
        <v>0.7</v>
      </c>
      <c r="G18" s="43">
        <v>0.7</v>
      </c>
      <c r="H18" s="43">
        <v>0.7</v>
      </c>
      <c r="I18" s="43">
        <v>0.7</v>
      </c>
      <c r="J18" s="43">
        <v>0.7</v>
      </c>
      <c r="K18" s="43">
        <v>0.7</v>
      </c>
      <c r="L18" s="43">
        <v>0.7</v>
      </c>
      <c r="M18" s="43">
        <v>0.7</v>
      </c>
      <c r="N18" s="43">
        <v>0.7</v>
      </c>
    </row>
    <row r="19" spans="1:18" ht="14.25" customHeight="1">
      <c r="A19" s="47" t="s">
        <v>77</v>
      </c>
      <c r="C19" s="43">
        <v>1</v>
      </c>
      <c r="D19" s="43">
        <v>1</v>
      </c>
      <c r="E19" s="43">
        <v>1</v>
      </c>
      <c r="F19" s="43">
        <v>1</v>
      </c>
      <c r="G19" s="43">
        <v>1</v>
      </c>
      <c r="H19" s="43">
        <v>1</v>
      </c>
      <c r="I19" s="43">
        <v>1</v>
      </c>
      <c r="J19" s="43">
        <v>1</v>
      </c>
      <c r="K19" s="43">
        <v>1</v>
      </c>
      <c r="L19" s="43">
        <v>1</v>
      </c>
      <c r="M19" s="43">
        <v>1</v>
      </c>
      <c r="N19" s="43">
        <v>1</v>
      </c>
    </row>
    <row r="20" spans="1:18" ht="14.25" customHeight="1">
      <c r="A20" s="47" t="s">
        <v>78</v>
      </c>
    </row>
    <row r="21" spans="1:18" ht="14.25" customHeight="1">
      <c r="A21" s="49"/>
    </row>
    <row r="22" spans="1:18" ht="14.25" customHeight="1">
      <c r="A22" s="45" t="s">
        <v>80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</row>
    <row r="23" spans="1:18" ht="14.25" customHeight="1">
      <c r="A23" s="51" t="s">
        <v>76</v>
      </c>
      <c r="C23" s="52">
        <f t="shared" ref="C23:M23" si="7">C18*B7</f>
        <v>0</v>
      </c>
      <c r="D23" s="52">
        <f t="shared" si="7"/>
        <v>2.9119999999999997E-2</v>
      </c>
      <c r="E23" s="52">
        <f t="shared" si="7"/>
        <v>3.2759999999999997E-2</v>
      </c>
      <c r="F23" s="52">
        <f t="shared" si="7"/>
        <v>4.7600000000000003E-2</v>
      </c>
      <c r="G23" s="52">
        <f t="shared" si="7"/>
        <v>7.5179999999999997E-2</v>
      </c>
      <c r="H23" s="52">
        <f t="shared" si="7"/>
        <v>6.2299999999999994E-2</v>
      </c>
      <c r="I23" s="52">
        <f t="shared" si="7"/>
        <v>0.17499999999999999</v>
      </c>
      <c r="J23" s="52">
        <f t="shared" si="7"/>
        <v>0.13999999999999999</v>
      </c>
      <c r="K23" s="52">
        <f t="shared" si="7"/>
        <v>5.5999999999999994E-2</v>
      </c>
      <c r="L23" s="52">
        <f t="shared" si="7"/>
        <v>5.5999999999999994E-2</v>
      </c>
      <c r="M23" s="52">
        <f t="shared" si="7"/>
        <v>5.5999999999999994E-2</v>
      </c>
      <c r="N23" s="55">
        <f t="shared" ref="N23" si="8">N18*M7</f>
        <v>5.5999999999999994E-2</v>
      </c>
    </row>
    <row r="24" spans="1:18" ht="14.25" customHeight="1">
      <c r="A24" s="51" t="s">
        <v>77</v>
      </c>
      <c r="C24" s="52">
        <f t="shared" ref="C24:M24" si="9">C19*B7</f>
        <v>0</v>
      </c>
      <c r="D24" s="52">
        <f t="shared" si="9"/>
        <v>4.1599999999999998E-2</v>
      </c>
      <c r="E24" s="52">
        <f t="shared" si="9"/>
        <v>4.6800000000000001E-2</v>
      </c>
      <c r="F24" s="52">
        <f t="shared" si="9"/>
        <v>6.8000000000000005E-2</v>
      </c>
      <c r="G24" s="52">
        <f t="shared" si="9"/>
        <v>0.1074</v>
      </c>
      <c r="H24" s="52">
        <f t="shared" si="9"/>
        <v>8.8999999999999996E-2</v>
      </c>
      <c r="I24" s="52">
        <f t="shared" si="9"/>
        <v>0.25</v>
      </c>
      <c r="J24" s="52">
        <f t="shared" si="9"/>
        <v>0.2</v>
      </c>
      <c r="K24" s="52">
        <f t="shared" si="9"/>
        <v>0.08</v>
      </c>
      <c r="L24" s="52">
        <f t="shared" si="9"/>
        <v>0.08</v>
      </c>
      <c r="M24" s="52">
        <f t="shared" si="9"/>
        <v>0.08</v>
      </c>
      <c r="N24" s="55">
        <f t="shared" ref="N24" si="10">N19*M7</f>
        <v>0.08</v>
      </c>
    </row>
    <row r="25" spans="1:18" ht="14.25" customHeight="1">
      <c r="A25" s="53" t="s">
        <v>78</v>
      </c>
      <c r="C25" s="43">
        <v>0</v>
      </c>
      <c r="D25" s="43">
        <v>0.3</v>
      </c>
      <c r="E25" s="43">
        <v>0</v>
      </c>
      <c r="F25" s="43">
        <v>0</v>
      </c>
      <c r="G25" s="43">
        <v>0.4</v>
      </c>
      <c r="H25" s="43">
        <v>0</v>
      </c>
      <c r="I25" s="43">
        <v>0</v>
      </c>
      <c r="J25" s="43">
        <v>0.3</v>
      </c>
      <c r="K25" s="43">
        <v>0</v>
      </c>
      <c r="L25" s="43">
        <v>0</v>
      </c>
      <c r="M25" s="43">
        <v>0</v>
      </c>
      <c r="N25" s="43">
        <v>0</v>
      </c>
    </row>
    <row r="26" spans="1:18" ht="14.25" customHeight="1">
      <c r="A26" s="33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</row>
    <row r="27" spans="1:18" ht="14.25" customHeight="1">
      <c r="A27" s="45" t="s">
        <v>81</v>
      </c>
      <c r="C27" s="55">
        <f t="shared" ref="C27:M27" si="11">(C23*C13)+(C14*C24)+(C15*C25)</f>
        <v>0</v>
      </c>
      <c r="D27" s="55">
        <f t="shared" si="11"/>
        <v>5.5745599999999992E-2</v>
      </c>
      <c r="E27" s="55">
        <f t="shared" si="11"/>
        <v>3.2338799999999994E-2</v>
      </c>
      <c r="F27" s="55">
        <f t="shared" si="11"/>
        <v>4.6988000000000002E-2</v>
      </c>
      <c r="G27" s="55">
        <f t="shared" si="11"/>
        <v>0.11021339999999999</v>
      </c>
      <c r="H27" s="55">
        <f t="shared" si="11"/>
        <v>6.1498999999999991E-2</v>
      </c>
      <c r="I27" s="55">
        <f t="shared" si="11"/>
        <v>0.17275000000000001</v>
      </c>
      <c r="J27" s="55">
        <f t="shared" si="11"/>
        <v>0.16519999999999999</v>
      </c>
      <c r="K27" s="55">
        <f t="shared" si="11"/>
        <v>5.5279999999999996E-2</v>
      </c>
      <c r="L27" s="55">
        <f t="shared" si="11"/>
        <v>5.5279999999999996E-2</v>
      </c>
      <c r="M27" s="55">
        <f t="shared" si="11"/>
        <v>5.5279999999999996E-2</v>
      </c>
      <c r="N27" s="55">
        <f t="shared" ref="N27" si="12">(N23*N13)+(N14*N24)+(N15*N25)</f>
        <v>5.5279999999999996E-2</v>
      </c>
    </row>
    <row r="28" spans="1:18" ht="14.25" customHeight="1">
      <c r="A28" s="33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</row>
    <row r="29" spans="1:18" ht="14.25" customHeight="1">
      <c r="A29" s="45" t="s">
        <v>82</v>
      </c>
      <c r="C29" s="56"/>
      <c r="D29" s="55">
        <f t="shared" ref="D29:G29" si="13">(1+D31)/(1+D27)-1</f>
        <v>-2.0313433690483329E-2</v>
      </c>
      <c r="E29" s="55">
        <f t="shared" si="13"/>
        <v>0.12539744333017389</v>
      </c>
      <c r="F29" s="55">
        <f t="shared" si="13"/>
        <v>-4.1494364391332361E-3</v>
      </c>
      <c r="G29" s="55">
        <f t="shared" si="13"/>
        <v>0.17284205308347245</v>
      </c>
      <c r="H29" s="55">
        <v>0.05</v>
      </c>
      <c r="I29" s="55">
        <v>7.0000000000000007E-2</v>
      </c>
      <c r="J29" s="55">
        <v>0.15</v>
      </c>
      <c r="K29" s="55">
        <v>0.1</v>
      </c>
      <c r="L29" s="55">
        <v>0.09</v>
      </c>
      <c r="M29" s="55">
        <v>0.09</v>
      </c>
      <c r="N29" s="55">
        <v>0.09</v>
      </c>
    </row>
    <row r="30" spans="1:18" ht="14.25" customHeight="1">
      <c r="A30" s="33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</row>
    <row r="31" spans="1:18" ht="14.25" customHeight="1">
      <c r="A31" s="45" t="s">
        <v>83</v>
      </c>
      <c r="B31" s="57"/>
      <c r="C31" s="55">
        <f>FS!C3/FS!B3-1</f>
        <v>35728.372179628124</v>
      </c>
      <c r="D31" s="55">
        <f>FS!D3/FS!C3-1</f>
        <v>3.429978176038051E-2</v>
      </c>
      <c r="E31" s="55">
        <f>FS!E3/FS!D3-1</f>
        <v>0.16179144617053964</v>
      </c>
      <c r="F31" s="55">
        <f>FS!F3/FS!E3-1</f>
        <v>4.2643589841464768E-2</v>
      </c>
      <c r="G31" s="55">
        <f>FS!G3/FS!F3-1</f>
        <v>0.30210496341678228</v>
      </c>
      <c r="H31" s="55">
        <f t="shared" ref="H31:M31" si="14">(H29+1)*(1+H27)-1</f>
        <v>0.11457395000000004</v>
      </c>
      <c r="I31" s="55">
        <f t="shared" si="14"/>
        <v>0.25484250000000008</v>
      </c>
      <c r="J31" s="55">
        <f t="shared" si="14"/>
        <v>0.33997999999999995</v>
      </c>
      <c r="K31" s="55">
        <f t="shared" si="14"/>
        <v>0.16080800000000006</v>
      </c>
      <c r="L31" s="55">
        <f t="shared" si="14"/>
        <v>0.15025520000000014</v>
      </c>
      <c r="M31" s="55">
        <f t="shared" si="14"/>
        <v>0.15025520000000014</v>
      </c>
      <c r="N31" s="55">
        <f t="shared" ref="N31" si="15">(N29+1)*(1+N27)-1</f>
        <v>0.15025520000000014</v>
      </c>
      <c r="O31" s="57"/>
      <c r="P31" s="57"/>
      <c r="Q31" s="57"/>
      <c r="R31" s="57"/>
    </row>
    <row r="32" spans="1:18" ht="14.25" customHeight="1"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</row>
    <row r="33" spans="1:18" ht="14.25" customHeight="1">
      <c r="A33" s="47" t="s">
        <v>84</v>
      </c>
      <c r="C33" s="58">
        <v>4476.1393459999999</v>
      </c>
      <c r="D33" s="58">
        <v>4635.4931150000002</v>
      </c>
      <c r="E33" s="58">
        <v>5340.9316859999999</v>
      </c>
      <c r="F33" s="58">
        <f>5570269813/1000000</f>
        <v>5570.2698129999999</v>
      </c>
      <c r="G33" s="58">
        <f>7119103649/1000000</f>
        <v>7119.1036489999997</v>
      </c>
      <c r="H33" s="58">
        <f t="shared" ref="H33:M33" si="16">G33*(1+H31)</f>
        <v>7934.7674745253435</v>
      </c>
      <c r="I33" s="58">
        <f t="shared" si="16"/>
        <v>9956.8834546520684</v>
      </c>
      <c r="J33" s="58">
        <f t="shared" si="16"/>
        <v>13342.024691564679</v>
      </c>
      <c r="K33" s="58">
        <f t="shared" si="16"/>
        <v>15487.528998165812</v>
      </c>
      <c r="L33" s="58">
        <f t="shared" si="16"/>
        <v>17814.610765291018</v>
      </c>
      <c r="M33" s="58">
        <f t="shared" si="16"/>
        <v>20491.348668751976</v>
      </c>
      <c r="N33" s="58">
        <f t="shared" ref="N33" si="17">M33*(1+N31)</f>
        <v>23570.280361245041</v>
      </c>
      <c r="O33" s="59"/>
      <c r="P33" s="59"/>
      <c r="Q33" s="59"/>
      <c r="R33" s="59"/>
    </row>
    <row r="34" spans="1:18" ht="14.25" customHeight="1">
      <c r="A34" s="47" t="s">
        <v>85</v>
      </c>
      <c r="C34" s="58">
        <v>180.179417</v>
      </c>
      <c r="D34" s="58">
        <v>145.35146</v>
      </c>
      <c r="E34" s="58">
        <v>164.58592100000001</v>
      </c>
      <c r="F34" s="58">
        <f>209166945/1000000</f>
        <v>209.166945</v>
      </c>
      <c r="G34" s="58">
        <f>310951657/1000000</f>
        <v>310.95165700000001</v>
      </c>
      <c r="H34" s="58">
        <f t="shared" ref="H34:M34" si="18">G34*(1+H35)</f>
        <v>346.80904453039403</v>
      </c>
      <c r="I34" s="58">
        <f t="shared" si="18"/>
        <v>388.42612987404135</v>
      </c>
      <c r="J34" s="58">
        <f t="shared" si="18"/>
        <v>435.03726545892636</v>
      </c>
      <c r="K34" s="58">
        <f t="shared" si="18"/>
        <v>487.24173731399759</v>
      </c>
      <c r="L34" s="58">
        <f t="shared" si="18"/>
        <v>545.71074579167737</v>
      </c>
      <c r="M34" s="58">
        <f t="shared" si="18"/>
        <v>611.19603528667869</v>
      </c>
      <c r="N34" s="58">
        <f t="shared" ref="N34" si="19">M34*(1+N35)</f>
        <v>684.53955952108015</v>
      </c>
      <c r="O34" s="59"/>
      <c r="P34" s="59"/>
      <c r="Q34" s="59"/>
      <c r="R34" s="59"/>
    </row>
    <row r="35" spans="1:18" ht="14.25" customHeight="1">
      <c r="A35" s="47" t="s">
        <v>86</v>
      </c>
      <c r="C35" s="50"/>
      <c r="D35" s="50"/>
      <c r="E35" s="50"/>
      <c r="F35" s="50"/>
      <c r="G35" s="50"/>
      <c r="H35" s="60">
        <f>((G34/C34)^(1/5))-1</f>
        <v>0.1153149910064446</v>
      </c>
      <c r="I35" s="60">
        <v>0.12</v>
      </c>
      <c r="J35" s="60">
        <v>0.12</v>
      </c>
      <c r="K35" s="60">
        <v>0.12</v>
      </c>
      <c r="L35" s="60">
        <v>0.12</v>
      </c>
      <c r="M35" s="60">
        <v>0.12</v>
      </c>
      <c r="N35" s="60">
        <v>0.12</v>
      </c>
    </row>
    <row r="36" spans="1:18" ht="14.25" customHeight="1">
      <c r="A36" s="61" t="s">
        <v>87</v>
      </c>
      <c r="C36" s="50"/>
      <c r="D36" s="58">
        <f t="shared" ref="D36:M36" si="20">D33+D34</f>
        <v>4780.8445750000001</v>
      </c>
      <c r="E36" s="58">
        <f t="shared" si="20"/>
        <v>5505.5176069999998</v>
      </c>
      <c r="F36" s="58">
        <f t="shared" si="20"/>
        <v>5779.4367579999998</v>
      </c>
      <c r="G36" s="58">
        <f t="shared" si="20"/>
        <v>7430.0553059999993</v>
      </c>
      <c r="H36" s="58">
        <f t="shared" si="20"/>
        <v>8281.5765190557377</v>
      </c>
      <c r="I36" s="58">
        <f t="shared" si="20"/>
        <v>10345.30958452611</v>
      </c>
      <c r="J36" s="58">
        <f t="shared" si="20"/>
        <v>13777.061957023605</v>
      </c>
      <c r="K36" s="58">
        <f t="shared" si="20"/>
        <v>15974.770735479809</v>
      </c>
      <c r="L36" s="58">
        <f t="shared" si="20"/>
        <v>18360.321511082697</v>
      </c>
      <c r="M36" s="58">
        <f t="shared" si="20"/>
        <v>21102.544704038653</v>
      </c>
      <c r="N36" s="58">
        <f t="shared" ref="N36" si="21">N33+N34</f>
        <v>24254.81992076612</v>
      </c>
    </row>
    <row r="37" spans="1:18" ht="14.25" customHeight="1">
      <c r="A37" s="62"/>
      <c r="C37" s="50"/>
      <c r="D37" s="50"/>
      <c r="E37" s="50"/>
      <c r="F37" s="50"/>
      <c r="G37" s="50"/>
      <c r="H37" s="50">
        <v>636.79</v>
      </c>
      <c r="I37" s="50"/>
      <c r="J37" s="50"/>
      <c r="K37" s="50"/>
      <c r="L37" s="50"/>
      <c r="M37" s="50"/>
      <c r="N37" s="50"/>
    </row>
    <row r="38" spans="1:18" ht="14.25" customHeight="1">
      <c r="A38" s="47" t="s">
        <v>88</v>
      </c>
      <c r="B38" s="63">
        <v>0.01</v>
      </c>
      <c r="C38" s="64"/>
      <c r="D38" s="58">
        <v>-26.371639999999999</v>
      </c>
      <c r="E38" s="58">
        <v>-5.3294280000000001</v>
      </c>
      <c r="F38" s="58">
        <v>-4.7766999999999999</v>
      </c>
      <c r="G38" s="58">
        <v>-5.9288480000000003</v>
      </c>
      <c r="H38" s="58">
        <f t="shared" ref="H38:M38" si="22">-$B$38*H33</f>
        <v>-79.347674745253443</v>
      </c>
      <c r="I38" s="58">
        <f t="shared" si="22"/>
        <v>-99.568834546520691</v>
      </c>
      <c r="J38" s="58">
        <f t="shared" si="22"/>
        <v>-133.4202469156468</v>
      </c>
      <c r="K38" s="58">
        <f t="shared" si="22"/>
        <v>-154.87528998165811</v>
      </c>
      <c r="L38" s="58">
        <f t="shared" si="22"/>
        <v>-178.14610765291019</v>
      </c>
      <c r="M38" s="58">
        <f t="shared" si="22"/>
        <v>-204.91348668751976</v>
      </c>
      <c r="N38" s="58">
        <f t="shared" ref="N38" si="23">-$B$38*N33</f>
        <v>-235.70280361245042</v>
      </c>
    </row>
    <row r="39" spans="1:18" ht="14.25" customHeight="1">
      <c r="A39" s="47" t="s">
        <v>89</v>
      </c>
      <c r="B39" s="63">
        <v>7.0000000000000007E-2</v>
      </c>
      <c r="C39" s="59"/>
      <c r="D39" s="65">
        <v>-234.849356</v>
      </c>
      <c r="E39" s="65">
        <v>-239.64783800000001</v>
      </c>
      <c r="F39" s="65">
        <v>-325.38353899999998</v>
      </c>
      <c r="G39" s="65">
        <v>-341.60548799999998</v>
      </c>
      <c r="H39" s="58">
        <f t="shared" ref="H39:M39" si="24">-(H36-H38)*$B$39</f>
        <v>-585.26469356606947</v>
      </c>
      <c r="I39" s="58">
        <f t="shared" si="24"/>
        <v>-731.1414893350842</v>
      </c>
      <c r="J39" s="58">
        <f t="shared" si="24"/>
        <v>-973.73375427574763</v>
      </c>
      <c r="K39" s="58">
        <f t="shared" si="24"/>
        <v>-1129.0752217823028</v>
      </c>
      <c r="L39" s="58">
        <f t="shared" si="24"/>
        <v>-1297.6927333114925</v>
      </c>
      <c r="M39" s="58">
        <f t="shared" si="24"/>
        <v>-1491.5220733508324</v>
      </c>
      <c r="N39" s="58">
        <f t="shared" ref="N39" si="25">-(N36-N38)*$B$39</f>
        <v>-1714.3365907065001</v>
      </c>
    </row>
    <row r="40" spans="1:18" ht="14.25" customHeight="1" thickBot="1">
      <c r="A40" s="48" t="s">
        <v>90</v>
      </c>
      <c r="B40" s="63">
        <v>0.05</v>
      </c>
      <c r="C40" s="59"/>
      <c r="D40" s="65">
        <v>-60.300350999999999</v>
      </c>
      <c r="E40" s="65">
        <v>-63.362175000000001</v>
      </c>
      <c r="F40" s="65">
        <v>-47.544874</v>
      </c>
      <c r="G40" s="65">
        <v>-48.899383999999998</v>
      </c>
      <c r="H40" s="58">
        <f t="shared" ref="H40:M40" si="26">-(H36-H38-H39)*$B$40</f>
        <v>-447.30944436835301</v>
      </c>
      <c r="I40" s="58">
        <f t="shared" si="26"/>
        <v>-558.80099542038579</v>
      </c>
      <c r="J40" s="58">
        <f t="shared" si="26"/>
        <v>-744.21079791074999</v>
      </c>
      <c r="K40" s="58">
        <f t="shared" si="26"/>
        <v>-862.93606236218841</v>
      </c>
      <c r="L40" s="58">
        <f t="shared" si="26"/>
        <v>-991.80801760235488</v>
      </c>
      <c r="M40" s="58">
        <f t="shared" si="26"/>
        <v>-1139.9490132038504</v>
      </c>
      <c r="N40" s="58">
        <f t="shared" ref="N40" si="27">-(N36-N38-N39)*$B$40</f>
        <v>-1310.2429657542536</v>
      </c>
    </row>
    <row r="41" spans="1:18" ht="14.25" customHeight="1" thickBot="1">
      <c r="A41" s="66" t="s">
        <v>91</v>
      </c>
      <c r="B41" s="67"/>
      <c r="C41" s="67"/>
      <c r="D41" s="68">
        <f t="shared" ref="D41:N41" si="28">SUM(D36:D40)</f>
        <v>4459.3232280000002</v>
      </c>
      <c r="E41" s="68">
        <f t="shared" si="28"/>
        <v>5197.1781659999997</v>
      </c>
      <c r="F41" s="68">
        <f t="shared" si="28"/>
        <v>5401.7316449999989</v>
      </c>
      <c r="G41" s="68">
        <f t="shared" si="28"/>
        <v>7033.6215859999993</v>
      </c>
      <c r="H41" s="68">
        <f t="shared" si="28"/>
        <v>7806.4447063760617</v>
      </c>
      <c r="I41" s="68">
        <f t="shared" si="28"/>
        <v>8955.7982652241189</v>
      </c>
      <c r="J41" s="68">
        <f t="shared" si="28"/>
        <v>11925.697157921462</v>
      </c>
      <c r="K41" s="68">
        <f t="shared" si="28"/>
        <v>13827.884161353661</v>
      </c>
      <c r="L41" s="69">
        <f t="shared" si="28"/>
        <v>15892.674652515943</v>
      </c>
      <c r="M41" s="69">
        <f t="shared" si="28"/>
        <v>18266.160130796448</v>
      </c>
      <c r="N41" s="69">
        <f t="shared" si="28"/>
        <v>20994.537560692916</v>
      </c>
    </row>
    <row r="42" spans="1:18" ht="14.25" customHeight="1" thickBot="1"/>
    <row r="43" spans="1:18" ht="14.25" customHeight="1">
      <c r="A43" s="70" t="s">
        <v>92</v>
      </c>
      <c r="F43" s="59"/>
    </row>
    <row r="44" spans="1:18" ht="14.25" customHeight="1">
      <c r="A44" s="71"/>
      <c r="G44" s="72"/>
    </row>
    <row r="45" spans="1:18" ht="14.25" customHeight="1">
      <c r="A45" s="39" t="s">
        <v>93</v>
      </c>
      <c r="D45" s="6">
        <v>-3.1269896220062265E-2</v>
      </c>
      <c r="E45" s="6">
        <v>0.1380658994313646</v>
      </c>
      <c r="F45" s="6">
        <v>-4.1298537670989566E-3</v>
      </c>
      <c r="G45" s="6">
        <v>0.18248312770838759</v>
      </c>
      <c r="H45" s="6">
        <v>0.05</v>
      </c>
      <c r="I45" s="6">
        <v>0.05</v>
      </c>
      <c r="J45" s="6">
        <v>0.04</v>
      </c>
      <c r="K45" s="6">
        <v>0.04</v>
      </c>
      <c r="L45" s="6">
        <v>0.04</v>
      </c>
      <c r="M45" s="6">
        <v>0.04</v>
      </c>
      <c r="N45" s="6">
        <v>0.04</v>
      </c>
    </row>
    <row r="46" spans="1:18" ht="14.25" customHeight="1">
      <c r="A46" s="33"/>
    </row>
    <row r="47" spans="1:18" ht="14.25" customHeight="1">
      <c r="A47" s="73" t="s">
        <v>84</v>
      </c>
      <c r="H47" s="52">
        <f t="shared" ref="H47:M47" si="29">H48*H49</f>
        <v>3.125E-2</v>
      </c>
      <c r="I47" s="52">
        <f t="shared" si="29"/>
        <v>2.5000000000000001E-2</v>
      </c>
      <c r="J47" s="52">
        <f t="shared" si="29"/>
        <v>0.01</v>
      </c>
      <c r="K47" s="52">
        <f t="shared" si="29"/>
        <v>0.01</v>
      </c>
      <c r="L47" s="52">
        <f t="shared" si="29"/>
        <v>0.01</v>
      </c>
      <c r="M47" s="52">
        <f t="shared" si="29"/>
        <v>0.01</v>
      </c>
      <c r="N47" s="55">
        <f t="shared" ref="N47" si="30">N48*N49</f>
        <v>0.01</v>
      </c>
    </row>
    <row r="48" spans="1:18" ht="14.25" customHeight="1">
      <c r="A48" s="61" t="s">
        <v>94</v>
      </c>
      <c r="H48" s="74">
        <v>0.25</v>
      </c>
      <c r="I48" s="74">
        <v>0.25</v>
      </c>
      <c r="J48" s="74">
        <v>0.25</v>
      </c>
      <c r="K48" s="74">
        <v>0.25</v>
      </c>
      <c r="L48" s="74">
        <v>0.25</v>
      </c>
      <c r="M48" s="74">
        <v>0.25</v>
      </c>
      <c r="N48" s="74">
        <v>0.25</v>
      </c>
    </row>
    <row r="49" spans="1:14" ht="14.25" customHeight="1">
      <c r="A49" s="61" t="s">
        <v>95</v>
      </c>
      <c r="H49" s="52">
        <f t="shared" ref="H49:M49" si="31">50%*H7</f>
        <v>0.125</v>
      </c>
      <c r="I49" s="52">
        <f t="shared" si="31"/>
        <v>0.1</v>
      </c>
      <c r="J49" s="52">
        <f t="shared" si="31"/>
        <v>0.04</v>
      </c>
      <c r="K49" s="52">
        <f t="shared" si="31"/>
        <v>0.04</v>
      </c>
      <c r="L49" s="52">
        <f t="shared" si="31"/>
        <v>0.04</v>
      </c>
      <c r="M49" s="52">
        <f t="shared" si="31"/>
        <v>0.04</v>
      </c>
      <c r="N49" s="55">
        <f t="shared" ref="N49" si="32">50%*N7</f>
        <v>0.04</v>
      </c>
    </row>
    <row r="50" spans="1:14" ht="14.25" customHeight="1">
      <c r="A50" s="33"/>
    </row>
    <row r="51" spans="1:14" ht="14.25" customHeight="1">
      <c r="A51" s="75" t="s">
        <v>96</v>
      </c>
      <c r="H51" s="52">
        <f t="shared" ref="H51:M51" si="33">H52*((H53+1)*(H54+1)-1)</f>
        <v>5.8025249999999973E-2</v>
      </c>
      <c r="I51" s="52">
        <f t="shared" si="33"/>
        <v>5.8025249999999973E-2</v>
      </c>
      <c r="J51" s="52">
        <f t="shared" si="33"/>
        <v>5.8025249999999973E-2</v>
      </c>
      <c r="K51" s="52">
        <f t="shared" si="33"/>
        <v>5.8025249999999973E-2</v>
      </c>
      <c r="L51" s="52">
        <f t="shared" si="33"/>
        <v>5.8025249999999973E-2</v>
      </c>
      <c r="M51" s="52">
        <f t="shared" si="33"/>
        <v>5.8025249999999973E-2</v>
      </c>
      <c r="N51" s="55">
        <f t="shared" ref="N51" si="34">N52*((N53+1)*(N54+1)-1)</f>
        <v>5.8025249999999973E-2</v>
      </c>
    </row>
    <row r="52" spans="1:14" ht="14.25" customHeight="1">
      <c r="A52" s="61" t="s">
        <v>94</v>
      </c>
      <c r="H52" s="76">
        <v>0.75</v>
      </c>
      <c r="I52" s="52">
        <v>0.75</v>
      </c>
      <c r="J52" s="52">
        <v>0.75</v>
      </c>
      <c r="K52" s="52">
        <v>0.75</v>
      </c>
      <c r="L52" s="52">
        <v>0.75</v>
      </c>
      <c r="M52" s="52">
        <v>0.75</v>
      </c>
      <c r="N52" s="55">
        <v>0.75</v>
      </c>
    </row>
    <row r="53" spans="1:14" ht="14.25" customHeight="1">
      <c r="A53" s="61" t="s">
        <v>95</v>
      </c>
      <c r="D53" s="6">
        <v>0.01</v>
      </c>
      <c r="E53" s="6">
        <v>0.01</v>
      </c>
      <c r="F53" s="6">
        <v>0.01</v>
      </c>
      <c r="G53" s="6">
        <v>0.01</v>
      </c>
      <c r="H53" s="52">
        <v>0.01</v>
      </c>
      <c r="I53" s="52">
        <v>0.01</v>
      </c>
      <c r="J53" s="52">
        <v>0.01</v>
      </c>
      <c r="K53" s="52">
        <v>0.01</v>
      </c>
      <c r="L53" s="52">
        <v>0.01</v>
      </c>
      <c r="M53" s="52">
        <v>0.01</v>
      </c>
      <c r="N53" s="55">
        <v>0.01</v>
      </c>
    </row>
    <row r="54" spans="1:14" ht="14.25" customHeight="1">
      <c r="A54" s="61" t="s">
        <v>97</v>
      </c>
      <c r="H54" s="77">
        <v>6.6699999999999995E-2</v>
      </c>
      <c r="I54" s="78">
        <v>6.6699999999999995E-2</v>
      </c>
      <c r="J54" s="78">
        <v>6.6699999999999995E-2</v>
      </c>
      <c r="K54" s="78">
        <v>6.6699999999999995E-2</v>
      </c>
      <c r="L54" s="78">
        <v>6.6699999999999995E-2</v>
      </c>
      <c r="M54" s="78">
        <v>6.6699999999999995E-2</v>
      </c>
      <c r="N54" s="78">
        <v>6.6699999999999995E-2</v>
      </c>
    </row>
    <row r="55" spans="1:14" ht="14.25" customHeight="1">
      <c r="A55" s="79"/>
      <c r="F55" s="72"/>
      <c r="G55" s="72"/>
      <c r="H55" s="80"/>
      <c r="I55" s="80"/>
      <c r="J55" s="80"/>
      <c r="K55" s="80"/>
      <c r="L55" s="80"/>
      <c r="M55" s="80"/>
      <c r="N55" s="80"/>
    </row>
    <row r="56" spans="1:14" ht="14.25" customHeight="1">
      <c r="A56" s="70" t="s">
        <v>98</v>
      </c>
      <c r="F56" s="72"/>
      <c r="G56" s="72"/>
      <c r="H56" s="80"/>
      <c r="I56" s="80"/>
      <c r="J56" s="80"/>
      <c r="K56" s="80"/>
      <c r="L56" s="80"/>
      <c r="M56" s="80"/>
      <c r="N56" s="80"/>
    </row>
    <row r="57" spans="1:14" ht="14.25" customHeight="1">
      <c r="A57" s="81" t="s">
        <v>99</v>
      </c>
      <c r="H57" s="80"/>
      <c r="I57" s="80"/>
      <c r="J57" s="80"/>
      <c r="K57" s="80"/>
      <c r="L57" s="80"/>
      <c r="M57" s="80"/>
      <c r="N57" s="80"/>
    </row>
    <row r="58" spans="1:14" ht="14.25" customHeight="1">
      <c r="A58" s="5" t="s">
        <v>100</v>
      </c>
      <c r="F58" s="4">
        <v>370.003918</v>
      </c>
      <c r="G58" s="4">
        <v>539.74665400000004</v>
      </c>
      <c r="H58" s="80"/>
      <c r="I58" s="80"/>
      <c r="J58" s="80"/>
      <c r="K58" s="80"/>
      <c r="L58" s="80"/>
      <c r="M58" s="80"/>
      <c r="N58" s="80"/>
    </row>
    <row r="59" spans="1:14" ht="14.25" customHeight="1">
      <c r="A59" s="5" t="s">
        <v>101</v>
      </c>
      <c r="F59" s="4">
        <v>1294.160658</v>
      </c>
      <c r="G59" s="4">
        <v>1644.8048120000001</v>
      </c>
      <c r="H59" s="4">
        <f t="shared" ref="H59:M59" si="35">G59*(1+H60)</f>
        <v>1833.2565962898475</v>
      </c>
      <c r="I59" s="4">
        <f t="shared" si="35"/>
        <v>2300.4482904298429</v>
      </c>
      <c r="J59" s="4">
        <f t="shared" si="35"/>
        <v>3082.5547002101807</v>
      </c>
      <c r="K59" s="4">
        <f t="shared" si="35"/>
        <v>3578.2541564415797</v>
      </c>
      <c r="L59" s="4">
        <f t="shared" si="35"/>
        <v>4115.9054503685411</v>
      </c>
      <c r="M59" s="4">
        <f t="shared" si="35"/>
        <v>4734.341646994757</v>
      </c>
      <c r="N59" s="4">
        <f t="shared" ref="N59" si="36">M59*(1+N60)</f>
        <v>5445.7010980322839</v>
      </c>
    </row>
    <row r="60" spans="1:14" ht="14.25" customHeight="1">
      <c r="A60" s="82" t="s">
        <v>102</v>
      </c>
      <c r="F60" s="5"/>
      <c r="G60" s="5"/>
      <c r="H60" s="6">
        <f t="shared" ref="H60:M60" si="37">(H27+1)*(H29+1)-1</f>
        <v>0.11457395000000004</v>
      </c>
      <c r="I60" s="6">
        <f t="shared" si="37"/>
        <v>0.25484250000000008</v>
      </c>
      <c r="J60" s="6">
        <f t="shared" si="37"/>
        <v>0.33997999999999995</v>
      </c>
      <c r="K60" s="6">
        <f t="shared" si="37"/>
        <v>0.16080800000000006</v>
      </c>
      <c r="L60" s="6">
        <f t="shared" si="37"/>
        <v>0.15025520000000014</v>
      </c>
      <c r="M60" s="6">
        <f t="shared" si="37"/>
        <v>0.15025520000000014</v>
      </c>
      <c r="N60" s="6">
        <f t="shared" ref="N60" si="38">(N27+1)*(N29+1)-1</f>
        <v>0.15025520000000014</v>
      </c>
    </row>
    <row r="61" spans="1:14" ht="14.25" customHeight="1">
      <c r="A61" s="83"/>
      <c r="H61" s="80"/>
      <c r="I61" s="80"/>
      <c r="J61" s="80"/>
      <c r="K61" s="80"/>
      <c r="L61" s="80"/>
      <c r="M61" s="80"/>
      <c r="N61" s="80"/>
    </row>
    <row r="62" spans="1:14" ht="14.25" customHeight="1">
      <c r="A62" s="5" t="s">
        <v>103</v>
      </c>
      <c r="F62" s="4">
        <v>1664.1645759999999</v>
      </c>
      <c r="G62" s="4">
        <v>2184.5514659999999</v>
      </c>
      <c r="H62" s="4">
        <v>1800.7020802335853</v>
      </c>
      <c r="I62" s="4">
        <v>2034.4521176197475</v>
      </c>
      <c r="J62" s="4">
        <v>2304.541098069863</v>
      </c>
      <c r="K62" s="4">
        <v>2529.2135751700116</v>
      </c>
      <c r="L62" s="4">
        <v>2775.7896416696262</v>
      </c>
      <c r="M62" s="4">
        <v>2775.7896416696262</v>
      </c>
      <c r="N62" s="4">
        <v>2775.7896416696262</v>
      </c>
    </row>
    <row r="63" spans="1:14" ht="14.25" customHeight="1">
      <c r="A63" s="5" t="s">
        <v>104</v>
      </c>
      <c r="F63" s="4">
        <v>-539.74665400000004</v>
      </c>
      <c r="G63" s="4">
        <v>-584.71142699999996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</row>
    <row r="64" spans="1:14" ht="14.25" customHeight="1">
      <c r="A64" t="s">
        <v>105</v>
      </c>
      <c r="B64" s="1"/>
      <c r="D64" s="4">
        <v>876.30896700000005</v>
      </c>
      <c r="E64" s="4">
        <v>1036.405023</v>
      </c>
      <c r="F64" s="4">
        <v>1124.4179220000001</v>
      </c>
      <c r="G64" s="4">
        <v>1599.8400389999999</v>
      </c>
      <c r="H64" s="4">
        <f t="shared" ref="H64:M64" si="39">SUM(H62:H63)</f>
        <v>1800.7020802335853</v>
      </c>
      <c r="I64" s="4">
        <f t="shared" si="39"/>
        <v>2034.4521176197475</v>
      </c>
      <c r="J64" s="4">
        <f t="shared" si="39"/>
        <v>2304.541098069863</v>
      </c>
      <c r="K64" s="4">
        <f t="shared" si="39"/>
        <v>2529.2135751700116</v>
      </c>
      <c r="L64" s="4">
        <f t="shared" si="39"/>
        <v>2775.7896416696262</v>
      </c>
      <c r="M64" s="4">
        <f t="shared" si="39"/>
        <v>2775.7896416696262</v>
      </c>
      <c r="N64" s="4">
        <f t="shared" ref="N64" si="40">SUM(N62:N63)</f>
        <v>2775.7896416696262</v>
      </c>
    </row>
    <row r="65" spans="1:14" ht="14.25" customHeight="1">
      <c r="A65" s="79"/>
      <c r="F65" s="72"/>
      <c r="G65" s="72"/>
      <c r="H65" s="72"/>
      <c r="I65" s="72"/>
      <c r="J65" s="72"/>
      <c r="K65" s="72"/>
      <c r="L65" s="72"/>
      <c r="M65" s="72"/>
      <c r="N65" s="72"/>
    </row>
    <row r="66" spans="1:14" ht="14.25" customHeight="1">
      <c r="A66" s="84"/>
      <c r="I66" s="72"/>
      <c r="K66" s="72"/>
    </row>
    <row r="67" spans="1:14" ht="14.25" customHeight="1">
      <c r="A67" s="5" t="s">
        <v>106</v>
      </c>
      <c r="D67" s="5">
        <v>226.36658800000001</v>
      </c>
      <c r="E67" s="85">
        <v>264.07352800000001</v>
      </c>
      <c r="F67" s="4">
        <v>281.86376799999999</v>
      </c>
      <c r="G67" s="4">
        <v>339.77073300000001</v>
      </c>
      <c r="H67" s="4">
        <f t="shared" ref="H67:M67" si="41">G67*(1+H68)</f>
        <v>431.50883091000003</v>
      </c>
      <c r="I67" s="4">
        <f t="shared" si="41"/>
        <v>526.44077371020001</v>
      </c>
      <c r="J67" s="4">
        <f t="shared" si="41"/>
        <v>579.08485108122011</v>
      </c>
      <c r="K67" s="4">
        <f t="shared" si="41"/>
        <v>636.99333618934213</v>
      </c>
      <c r="L67" s="4">
        <f t="shared" si="41"/>
        <v>700.69266980827638</v>
      </c>
      <c r="M67" s="4">
        <f t="shared" si="41"/>
        <v>770.76193678910408</v>
      </c>
      <c r="N67" s="4">
        <f t="shared" ref="N67" si="42">M67*(1+N68)</f>
        <v>847.83813046801458</v>
      </c>
    </row>
    <row r="68" spans="1:14" ht="14.25" customHeight="1">
      <c r="A68" s="5"/>
      <c r="C68" s="86"/>
      <c r="D68" s="6">
        <f t="shared" ref="D68:M68" si="43">2%+D7</f>
        <v>6.6799999999999998E-2</v>
      </c>
      <c r="E68" s="87">
        <f t="shared" si="43"/>
        <v>8.8000000000000009E-2</v>
      </c>
      <c r="F68" s="6">
        <f t="shared" si="43"/>
        <v>0.12739999999999999</v>
      </c>
      <c r="G68" s="6">
        <f t="shared" si="43"/>
        <v>0.109</v>
      </c>
      <c r="H68" s="6">
        <f t="shared" si="43"/>
        <v>0.27</v>
      </c>
      <c r="I68" s="6">
        <f t="shared" si="43"/>
        <v>0.22</v>
      </c>
      <c r="J68" s="6">
        <f t="shared" si="43"/>
        <v>0.1</v>
      </c>
      <c r="K68" s="6">
        <f t="shared" si="43"/>
        <v>0.1</v>
      </c>
      <c r="L68" s="6">
        <f t="shared" si="43"/>
        <v>0.1</v>
      </c>
      <c r="M68" s="6">
        <f t="shared" si="43"/>
        <v>0.1</v>
      </c>
      <c r="N68" s="6">
        <f t="shared" ref="N68" si="44">2%+N7</f>
        <v>0.1</v>
      </c>
    </row>
    <row r="69" spans="1:14" ht="14.25" customHeight="1">
      <c r="A69" s="5" t="s">
        <v>107</v>
      </c>
      <c r="C69" s="86"/>
      <c r="D69" s="5">
        <v>25.700771</v>
      </c>
      <c r="E69" s="88">
        <v>30.244432</v>
      </c>
      <c r="F69" s="4">
        <v>41.350476999999998</v>
      </c>
      <c r="G69" s="4">
        <v>44.876935000000003</v>
      </c>
      <c r="H69" s="4">
        <f t="shared" ref="H69:M69" si="45">G69*(1+$H$7)</f>
        <v>56.096168750000004</v>
      </c>
      <c r="I69" s="4">
        <f t="shared" si="45"/>
        <v>70.120210937500005</v>
      </c>
      <c r="J69" s="4">
        <f t="shared" si="45"/>
        <v>87.65026367187501</v>
      </c>
      <c r="K69" s="4">
        <f t="shared" si="45"/>
        <v>109.56282958984376</v>
      </c>
      <c r="L69" s="4">
        <f t="shared" si="45"/>
        <v>136.95353698730469</v>
      </c>
      <c r="M69" s="4">
        <f t="shared" si="45"/>
        <v>171.19192123413086</v>
      </c>
      <c r="N69" s="4">
        <f t="shared" ref="N69:N79" si="46">M69*(1+$H$7)</f>
        <v>213.98990154266357</v>
      </c>
    </row>
    <row r="70" spans="1:14" ht="14.25" customHeight="1">
      <c r="A70" s="5" t="s">
        <v>108</v>
      </c>
      <c r="C70" s="86"/>
      <c r="D70" s="5">
        <v>10.856873999999999</v>
      </c>
      <c r="E70" s="88">
        <v>11.229013999999999</v>
      </c>
      <c r="F70" s="4">
        <v>14.597846000000001</v>
      </c>
      <c r="G70" s="4">
        <v>17.704204000000001</v>
      </c>
      <c r="H70" s="4">
        <f t="shared" ref="H70:M70" si="47">G70*(1+$H$7)</f>
        <v>22.130255000000002</v>
      </c>
      <c r="I70" s="4">
        <f t="shared" si="47"/>
        <v>27.662818750000003</v>
      </c>
      <c r="J70" s="4">
        <f t="shared" si="47"/>
        <v>34.578523437500003</v>
      </c>
      <c r="K70" s="4">
        <f t="shared" si="47"/>
        <v>43.223154296875002</v>
      </c>
      <c r="L70" s="4">
        <f t="shared" si="47"/>
        <v>54.028942871093754</v>
      </c>
      <c r="M70" s="4">
        <f t="shared" si="47"/>
        <v>67.536178588867187</v>
      </c>
      <c r="N70" s="4">
        <f t="shared" si="46"/>
        <v>84.420223236083984</v>
      </c>
    </row>
    <row r="71" spans="1:14" ht="14.25" customHeight="1">
      <c r="A71" s="5" t="s">
        <v>109</v>
      </c>
      <c r="C71" s="86"/>
      <c r="D71" s="5">
        <v>42.999231999999999</v>
      </c>
      <c r="E71" s="88">
        <v>79.864829</v>
      </c>
      <c r="F71" s="4">
        <v>72.704634999999996</v>
      </c>
      <c r="G71" s="4">
        <v>107.89767000000001</v>
      </c>
      <c r="H71" s="4">
        <f t="shared" ref="H71:M71" si="48">G71*(1+$H$7)</f>
        <v>134.87208750000002</v>
      </c>
      <c r="I71" s="4">
        <f t="shared" si="48"/>
        <v>168.59010937500003</v>
      </c>
      <c r="J71" s="4">
        <f t="shared" si="48"/>
        <v>210.73763671875003</v>
      </c>
      <c r="K71" s="4">
        <f t="shared" si="48"/>
        <v>263.42204589843755</v>
      </c>
      <c r="L71" s="4">
        <f t="shared" si="48"/>
        <v>329.27755737304693</v>
      </c>
      <c r="M71" s="4">
        <f t="shared" si="48"/>
        <v>411.59694671630865</v>
      </c>
      <c r="N71" s="4">
        <f t="shared" si="46"/>
        <v>514.49618339538586</v>
      </c>
    </row>
    <row r="72" spans="1:14" ht="14.25" customHeight="1">
      <c r="A72" s="5" t="s">
        <v>110</v>
      </c>
      <c r="C72" s="86"/>
      <c r="D72" s="5">
        <v>14.570053</v>
      </c>
      <c r="E72" s="88">
        <v>34.648522999999997</v>
      </c>
      <c r="F72" s="4">
        <v>35.344911000000003</v>
      </c>
      <c r="G72" s="4">
        <v>45.499353999999997</v>
      </c>
      <c r="H72" s="4">
        <f t="shared" ref="H72:M72" si="49">G72*(1+$H$7)</f>
        <v>56.874192499999992</v>
      </c>
      <c r="I72" s="4">
        <f t="shared" si="49"/>
        <v>71.09274062499999</v>
      </c>
      <c r="J72" s="4">
        <f t="shared" si="49"/>
        <v>88.865925781249985</v>
      </c>
      <c r="K72" s="4">
        <f t="shared" si="49"/>
        <v>111.08240722656248</v>
      </c>
      <c r="L72" s="4">
        <f t="shared" si="49"/>
        <v>138.85300903320311</v>
      </c>
      <c r="M72" s="4">
        <f t="shared" si="49"/>
        <v>173.56626129150388</v>
      </c>
      <c r="N72" s="4">
        <f t="shared" si="46"/>
        <v>216.95782661437985</v>
      </c>
    </row>
    <row r="73" spans="1:14" ht="14.25" customHeight="1">
      <c r="A73" s="5" t="s">
        <v>111</v>
      </c>
      <c r="C73" s="86"/>
      <c r="D73" s="5">
        <v>0.13701199999999999</v>
      </c>
      <c r="E73" s="88">
        <v>17.0947</v>
      </c>
      <c r="F73" s="4">
        <v>13.366515</v>
      </c>
      <c r="G73" s="4">
        <v>13.163600000000001</v>
      </c>
      <c r="H73" s="4">
        <f t="shared" ref="H73:M73" si="50">G73*(1+$H$7)</f>
        <v>16.454499999999999</v>
      </c>
      <c r="I73" s="4">
        <f t="shared" si="50"/>
        <v>20.568124999999998</v>
      </c>
      <c r="J73" s="4">
        <f t="shared" si="50"/>
        <v>25.710156249999997</v>
      </c>
      <c r="K73" s="4">
        <f t="shared" si="50"/>
        <v>32.1376953125</v>
      </c>
      <c r="L73" s="4">
        <f t="shared" si="50"/>
        <v>40.172119140625</v>
      </c>
      <c r="M73" s="4">
        <f t="shared" si="50"/>
        <v>50.21514892578125</v>
      </c>
      <c r="N73" s="4">
        <f t="shared" si="46"/>
        <v>62.768936157226563</v>
      </c>
    </row>
    <row r="74" spans="1:14" ht="14.25" customHeight="1">
      <c r="A74" s="5" t="s">
        <v>112</v>
      </c>
      <c r="C74" s="86"/>
      <c r="D74" s="5">
        <v>2.330816</v>
      </c>
      <c r="E74" s="88">
        <v>4.8476319999999999</v>
      </c>
      <c r="F74" s="4">
        <v>4.6466459999999996</v>
      </c>
      <c r="G74" s="4">
        <v>5.0679999999999996</v>
      </c>
      <c r="H74" s="4">
        <f t="shared" ref="H74:M74" si="51">G74*(1+$H$7)</f>
        <v>6.3349999999999991</v>
      </c>
      <c r="I74" s="4">
        <f t="shared" si="51"/>
        <v>7.9187499999999993</v>
      </c>
      <c r="J74" s="4">
        <f t="shared" si="51"/>
        <v>9.8984375</v>
      </c>
      <c r="K74" s="4">
        <f t="shared" si="51"/>
        <v>12.373046875</v>
      </c>
      <c r="L74" s="4">
        <f t="shared" si="51"/>
        <v>15.46630859375</v>
      </c>
      <c r="M74" s="4">
        <f t="shared" si="51"/>
        <v>19.3328857421875</v>
      </c>
      <c r="N74" s="4">
        <f t="shared" si="46"/>
        <v>24.166107177734375</v>
      </c>
    </row>
    <row r="75" spans="1:14" ht="14.25" customHeight="1">
      <c r="A75" s="5" t="s">
        <v>113</v>
      </c>
      <c r="C75" s="86"/>
      <c r="D75" s="5">
        <v>4.0738909999999997</v>
      </c>
      <c r="E75" s="88">
        <v>3.9453070000000001</v>
      </c>
      <c r="F75" s="4">
        <v>3.9869870000000001</v>
      </c>
      <c r="G75" s="4">
        <v>4.7137190000000002</v>
      </c>
      <c r="H75" s="4">
        <f t="shared" ref="H75:M75" si="52">G75*(1+$H$7)</f>
        <v>5.8921487500000005</v>
      </c>
      <c r="I75" s="4">
        <f t="shared" si="52"/>
        <v>7.3651859375000006</v>
      </c>
      <c r="J75" s="4">
        <f t="shared" si="52"/>
        <v>9.2064824218750001</v>
      </c>
      <c r="K75" s="4">
        <f t="shared" si="52"/>
        <v>11.508103027343751</v>
      </c>
      <c r="L75" s="4">
        <f t="shared" si="52"/>
        <v>14.385128784179688</v>
      </c>
      <c r="M75" s="4">
        <f t="shared" si="52"/>
        <v>17.981410980224609</v>
      </c>
      <c r="N75" s="4">
        <f t="shared" si="46"/>
        <v>22.476763725280762</v>
      </c>
    </row>
    <row r="76" spans="1:14" ht="14.25" customHeight="1">
      <c r="A76" s="5" t="s">
        <v>114</v>
      </c>
      <c r="C76" s="86"/>
      <c r="D76" s="5">
        <v>9.6717739999999992</v>
      </c>
      <c r="E76" s="88">
        <v>4.7933180000000002</v>
      </c>
      <c r="F76" s="4">
        <v>4.4018040000000003</v>
      </c>
      <c r="G76" s="4">
        <v>7.5306009999999999</v>
      </c>
      <c r="H76" s="4">
        <f t="shared" ref="H76:M76" si="53">G76*(1+$H$7)</f>
        <v>9.4132512500000001</v>
      </c>
      <c r="I76" s="4">
        <f t="shared" si="53"/>
        <v>11.766564062500001</v>
      </c>
      <c r="J76" s="4">
        <f t="shared" si="53"/>
        <v>14.708205078125001</v>
      </c>
      <c r="K76" s="4">
        <f t="shared" si="53"/>
        <v>18.385256347656252</v>
      </c>
      <c r="L76" s="4">
        <f t="shared" si="53"/>
        <v>22.981570434570315</v>
      </c>
      <c r="M76" s="4">
        <f t="shared" si="53"/>
        <v>28.726963043212894</v>
      </c>
      <c r="N76" s="4">
        <f t="shared" si="46"/>
        <v>35.90870380401612</v>
      </c>
    </row>
    <row r="77" spans="1:14" ht="14.25" customHeight="1">
      <c r="A77" s="5" t="s">
        <v>115</v>
      </c>
      <c r="C77" s="86"/>
      <c r="D77" s="5">
        <v>6.7560710000000004</v>
      </c>
      <c r="E77" s="88">
        <v>10.948437999999999</v>
      </c>
      <c r="F77" s="4">
        <v>14.465724</v>
      </c>
      <c r="G77" s="4">
        <v>14.969657</v>
      </c>
      <c r="H77" s="4">
        <f t="shared" ref="H77:M77" si="54">G77*(1+$H$7)</f>
        <v>18.712071250000001</v>
      </c>
      <c r="I77" s="4">
        <f t="shared" si="54"/>
        <v>23.390089062500003</v>
      </c>
      <c r="J77" s="4">
        <f t="shared" si="54"/>
        <v>29.237611328125006</v>
      </c>
      <c r="K77" s="4">
        <f t="shared" si="54"/>
        <v>36.547014160156259</v>
      </c>
      <c r="L77" s="4">
        <f t="shared" si="54"/>
        <v>45.683767700195325</v>
      </c>
      <c r="M77" s="4">
        <f t="shared" si="54"/>
        <v>57.104709625244155</v>
      </c>
      <c r="N77" s="4">
        <f t="shared" si="46"/>
        <v>71.38088703155519</v>
      </c>
    </row>
    <row r="78" spans="1:14" ht="14.25" customHeight="1">
      <c r="A78" s="5" t="s">
        <v>116</v>
      </c>
      <c r="C78" s="86"/>
      <c r="D78" s="5">
        <v>11.625069</v>
      </c>
      <c r="E78" s="88">
        <v>7.8410539999999997</v>
      </c>
      <c r="F78" s="4">
        <v>10.942735000000001</v>
      </c>
      <c r="G78" s="4">
        <v>11.340194</v>
      </c>
      <c r="H78" s="4">
        <f t="shared" ref="H78:M78" si="55">G78*(1+$H$7)</f>
        <v>14.1752425</v>
      </c>
      <c r="I78" s="4">
        <f t="shared" si="55"/>
        <v>17.719053124999999</v>
      </c>
      <c r="J78" s="4">
        <f t="shared" si="55"/>
        <v>22.148816406249999</v>
      </c>
      <c r="K78" s="4">
        <f t="shared" si="55"/>
        <v>27.686020507812501</v>
      </c>
      <c r="L78" s="4">
        <f t="shared" si="55"/>
        <v>34.607525634765622</v>
      </c>
      <c r="M78" s="4">
        <f t="shared" si="55"/>
        <v>43.259407043457031</v>
      </c>
      <c r="N78" s="4">
        <f t="shared" si="46"/>
        <v>54.074258804321289</v>
      </c>
    </row>
    <row r="79" spans="1:14" ht="14.25" customHeight="1">
      <c r="A79" s="5" t="s">
        <v>117</v>
      </c>
      <c r="C79" s="86"/>
      <c r="D79" s="5">
        <v>2.4097E-2</v>
      </c>
      <c r="E79" s="88">
        <v>12.362133999999999</v>
      </c>
      <c r="F79" s="4">
        <v>13.094538</v>
      </c>
      <c r="G79" s="4">
        <v>15.956474</v>
      </c>
      <c r="H79" s="4">
        <f t="shared" ref="H79:M79" si="56">G79*(1+$H$7)</f>
        <v>19.9455925</v>
      </c>
      <c r="I79" s="4">
        <f t="shared" si="56"/>
        <v>24.931990625000001</v>
      </c>
      <c r="J79" s="4">
        <f t="shared" si="56"/>
        <v>31.16498828125</v>
      </c>
      <c r="K79" s="4">
        <f t="shared" si="56"/>
        <v>38.956235351562498</v>
      </c>
      <c r="L79" s="4">
        <f t="shared" si="56"/>
        <v>48.695294189453122</v>
      </c>
      <c r="M79" s="4">
        <f t="shared" si="56"/>
        <v>60.869117736816406</v>
      </c>
      <c r="N79" s="4">
        <f t="shared" si="46"/>
        <v>76.086397171020508</v>
      </c>
    </row>
    <row r="80" spans="1:14" ht="14.25" customHeight="1">
      <c r="A80" s="5" t="s">
        <v>118</v>
      </c>
      <c r="C80" s="86"/>
      <c r="D80" s="5">
        <v>160.548574</v>
      </c>
      <c r="E80" s="88">
        <v>184.601843</v>
      </c>
      <c r="F80" s="4">
        <v>224.48336900000001</v>
      </c>
      <c r="G80" s="4">
        <v>220.595269</v>
      </c>
      <c r="H80" s="4">
        <f t="shared" ref="H80:M80" si="57">H171*H176</f>
        <v>38.012531929400318</v>
      </c>
      <c r="I80" s="4">
        <f t="shared" si="57"/>
        <v>40.570435443155368</v>
      </c>
      <c r="J80" s="4">
        <f t="shared" si="57"/>
        <v>44.443713768212881</v>
      </c>
      <c r="K80" s="4">
        <f t="shared" si="57"/>
        <v>48.05500354505061</v>
      </c>
      <c r="L80" s="4">
        <f t="shared" si="57"/>
        <v>52.29975612775614</v>
      </c>
      <c r="M80" s="4">
        <f t="shared" si="57"/>
        <v>56.734009240132274</v>
      </c>
      <c r="N80" s="4">
        <f>M80+4.43</f>
        <v>61.164009240132273</v>
      </c>
    </row>
    <row r="81" spans="1:14" ht="14.25" customHeight="1" thickBot="1">
      <c r="A81" s="89" t="s">
        <v>119</v>
      </c>
      <c r="C81" s="86"/>
      <c r="D81" s="89">
        <v>13.101974999999999</v>
      </c>
      <c r="E81" s="90">
        <v>22.185873000000001</v>
      </c>
      <c r="F81" s="91">
        <v>15.262397999999999</v>
      </c>
      <c r="G81" s="91">
        <v>9.3314190000000004</v>
      </c>
      <c r="H81" s="91">
        <f t="shared" ref="H81:M81" si="58">G81*(1+$H$7)</f>
        <v>11.66427375</v>
      </c>
      <c r="I81" s="91">
        <f t="shared" si="58"/>
        <v>14.580342187499999</v>
      </c>
      <c r="J81" s="91">
        <f t="shared" si="58"/>
        <v>18.225427734375</v>
      </c>
      <c r="K81" s="91">
        <f t="shared" si="58"/>
        <v>22.781784667968751</v>
      </c>
      <c r="L81" s="91">
        <f t="shared" si="58"/>
        <v>28.477230834960938</v>
      </c>
      <c r="M81" s="91">
        <f t="shared" si="58"/>
        <v>35.596538543701172</v>
      </c>
      <c r="N81" s="91">
        <f t="shared" ref="N81" si="59">M81*(1+$H$7)</f>
        <v>44.495673179626465</v>
      </c>
    </row>
    <row r="82" spans="1:14" ht="14.25" customHeight="1" thickBot="1">
      <c r="A82" s="92" t="s">
        <v>120</v>
      </c>
      <c r="B82" s="93"/>
      <c r="C82" s="94"/>
      <c r="D82" s="95">
        <v>1405.071764</v>
      </c>
      <c r="E82" s="96">
        <v>1725.085648</v>
      </c>
      <c r="F82" s="97">
        <f t="shared" ref="F82:N82" si="60">SUM(F67:F81)</f>
        <v>750.63975300000004</v>
      </c>
      <c r="G82" s="98">
        <f t="shared" si="60"/>
        <v>858.52682899999991</v>
      </c>
      <c r="H82" s="98">
        <f t="shared" si="60"/>
        <v>842.35614658940051</v>
      </c>
      <c r="I82" s="98">
        <f t="shared" si="60"/>
        <v>1032.9371888408555</v>
      </c>
      <c r="J82" s="98">
        <f t="shared" si="60"/>
        <v>1205.7610394588082</v>
      </c>
      <c r="K82" s="98">
        <f t="shared" si="60"/>
        <v>1412.8139329961118</v>
      </c>
      <c r="L82" s="98">
        <f t="shared" si="60"/>
        <v>1662.674417513181</v>
      </c>
      <c r="M82" s="98">
        <f t="shared" si="60"/>
        <v>1964.5734355006721</v>
      </c>
      <c r="N82" s="98">
        <f t="shared" si="60"/>
        <v>2330.3240015474412</v>
      </c>
    </row>
    <row r="83" spans="1:14" ht="14.25" customHeight="1">
      <c r="A83" s="1"/>
      <c r="B83" s="1"/>
      <c r="C83" s="99"/>
      <c r="E83" s="1"/>
      <c r="F83" s="100"/>
      <c r="G83" s="101"/>
    </row>
    <row r="84" spans="1:14" ht="14.25" customHeight="1">
      <c r="A84" s="5" t="s">
        <v>121</v>
      </c>
      <c r="B84" s="1"/>
      <c r="C84" s="99"/>
      <c r="E84" s="1"/>
      <c r="F84" s="100"/>
      <c r="G84" s="100"/>
      <c r="M84" s="293"/>
    </row>
    <row r="85" spans="1:14" ht="14.25" customHeight="1">
      <c r="A85" s="5" t="s">
        <v>122</v>
      </c>
      <c r="C85" s="99"/>
      <c r="D85" s="4">
        <v>33.156171000000001</v>
      </c>
      <c r="E85" s="4">
        <v>50.818086000000001</v>
      </c>
      <c r="F85" s="4">
        <v>58.928282000000003</v>
      </c>
      <c r="G85" s="4">
        <v>93.642719999999997</v>
      </c>
    </row>
    <row r="86" spans="1:14" ht="14.25" customHeight="1">
      <c r="A86" s="5" t="s">
        <v>123</v>
      </c>
      <c r="C86" s="86"/>
      <c r="D86" s="4">
        <v>-50.818086000000001</v>
      </c>
      <c r="E86" s="4">
        <v>-58.928282000000003</v>
      </c>
      <c r="F86" s="4">
        <v>-93.642719999999997</v>
      </c>
      <c r="G86" s="4">
        <v>-90.888802999999996</v>
      </c>
    </row>
    <row r="87" spans="1:14" ht="14.25" customHeight="1" thickBot="1">
      <c r="C87" s="86"/>
      <c r="D87" s="91">
        <v>-17.661915</v>
      </c>
      <c r="E87" s="91">
        <v>-8.1101960000000002</v>
      </c>
      <c r="F87" s="91">
        <v>-34.714438000000001</v>
      </c>
      <c r="G87" s="91">
        <v>2.7539169999999999</v>
      </c>
    </row>
    <row r="88" spans="1:14" ht="14.25" customHeight="1" thickBot="1">
      <c r="A88" s="102" t="s">
        <v>124</v>
      </c>
      <c r="B88" s="103"/>
      <c r="C88" s="103"/>
      <c r="D88" s="102">
        <v>1387.41</v>
      </c>
      <c r="E88" s="104">
        <v>1716.9754519999999</v>
      </c>
      <c r="F88" s="104">
        <v>715.93</v>
      </c>
      <c r="G88" s="104">
        <f>G87+G82+G64</f>
        <v>2461.1207850000001</v>
      </c>
      <c r="H88" s="105">
        <f t="shared" ref="H88:N88" si="61">H82+H87+H64</f>
        <v>2643.0582268229859</v>
      </c>
      <c r="I88" s="105">
        <f t="shared" si="61"/>
        <v>3067.3893064606027</v>
      </c>
      <c r="J88" s="105">
        <f t="shared" si="61"/>
        <v>3510.3021375286712</v>
      </c>
      <c r="K88" s="105">
        <f t="shared" si="61"/>
        <v>3942.0275081661234</v>
      </c>
      <c r="L88" s="106">
        <f t="shared" si="61"/>
        <v>4438.4640591828074</v>
      </c>
      <c r="M88" s="106">
        <f t="shared" si="61"/>
        <v>4740.3630771702983</v>
      </c>
      <c r="N88" s="106">
        <f t="shared" si="61"/>
        <v>5106.1136432170679</v>
      </c>
    </row>
    <row r="89" spans="1:14" ht="14.25" customHeight="1"/>
    <row r="90" spans="1:14" ht="14.25" customHeight="1">
      <c r="A90" t="s">
        <v>125</v>
      </c>
    </row>
    <row r="91" spans="1:14" ht="14.25" customHeight="1"/>
    <row r="92" spans="1:14" ht="14.25" customHeight="1">
      <c r="A92" t="s">
        <v>122</v>
      </c>
      <c r="D92" s="4">
        <v>1079.2268899999999</v>
      </c>
      <c r="E92" s="4">
        <v>730.28949299999999</v>
      </c>
      <c r="F92" s="4">
        <v>587.93228499999998</v>
      </c>
      <c r="G92" s="4">
        <v>1007.744405</v>
      </c>
      <c r="H92" s="72"/>
    </row>
    <row r="93" spans="1:14" ht="14.25" customHeight="1">
      <c r="A93" t="s">
        <v>126</v>
      </c>
      <c r="D93" s="4">
        <v>1153.3212289999999</v>
      </c>
      <c r="E93" s="4">
        <v>1275.6219570000001</v>
      </c>
      <c r="F93" s="4">
        <v>1755.685242</v>
      </c>
      <c r="G93" s="4">
        <v>1397.529587</v>
      </c>
      <c r="H93" s="72">
        <f t="shared" ref="H93:M93" si="62">G93*(1+H7)</f>
        <v>1746.91198375</v>
      </c>
      <c r="I93" s="72">
        <f t="shared" si="62"/>
        <v>2096.2943805</v>
      </c>
      <c r="J93" s="72">
        <f t="shared" si="62"/>
        <v>2263.9979309400001</v>
      </c>
      <c r="K93" s="72">
        <f t="shared" si="62"/>
        <v>2445.1177654152002</v>
      </c>
      <c r="L93" s="72">
        <f t="shared" si="62"/>
        <v>2640.7271866484166</v>
      </c>
      <c r="M93" s="72">
        <f t="shared" si="62"/>
        <v>2851.9853615802899</v>
      </c>
      <c r="N93" s="72">
        <f t="shared" ref="N93" si="63">M93*(1+N7)</f>
        <v>3080.1441905067131</v>
      </c>
    </row>
    <row r="94" spans="1:14" ht="14.25" customHeight="1">
      <c r="A94" t="s">
        <v>123</v>
      </c>
      <c r="D94" s="4">
        <v>-730.28949299999999</v>
      </c>
      <c r="E94" s="4">
        <v>-587.93228499999998</v>
      </c>
      <c r="F94" s="4">
        <v>-1007.744405</v>
      </c>
      <c r="G94" s="4">
        <v>-719.60684100000003</v>
      </c>
    </row>
    <row r="95" spans="1:14" ht="14.25" customHeight="1" thickBot="1">
      <c r="D95" s="91">
        <v>1502.258626</v>
      </c>
      <c r="E95" s="91">
        <v>1417.979165</v>
      </c>
      <c r="F95" s="91">
        <v>1335.873122</v>
      </c>
      <c r="G95" s="91">
        <v>1685.6671510000001</v>
      </c>
    </row>
    <row r="96" spans="1:14" ht="14.25" customHeight="1" thickBot="1">
      <c r="A96" s="107" t="s">
        <v>127</v>
      </c>
      <c r="B96" s="108"/>
      <c r="C96" s="108"/>
      <c r="D96" s="104">
        <v>2908.8955639999999</v>
      </c>
      <c r="E96" s="104">
        <v>3134.9546169999999</v>
      </c>
      <c r="F96" s="104">
        <v>3176.0889590000002</v>
      </c>
      <c r="G96" s="104">
        <f>G88+G95</f>
        <v>4146.7879360000006</v>
      </c>
      <c r="H96" s="104">
        <f t="shared" ref="H96:N96" si="64">H88+H95+H93</f>
        <v>4389.9702105729857</v>
      </c>
      <c r="I96" s="104">
        <f t="shared" si="64"/>
        <v>5163.6836869606032</v>
      </c>
      <c r="J96" s="104">
        <f t="shared" si="64"/>
        <v>5774.3000684686713</v>
      </c>
      <c r="K96" s="104">
        <f t="shared" si="64"/>
        <v>6387.1452735813236</v>
      </c>
      <c r="L96" s="109">
        <f t="shared" si="64"/>
        <v>7079.1912458312236</v>
      </c>
      <c r="M96" s="109">
        <f t="shared" si="64"/>
        <v>7592.3484387505887</v>
      </c>
      <c r="N96" s="109">
        <f t="shared" si="64"/>
        <v>8186.257833723781</v>
      </c>
    </row>
    <row r="97" spans="1:15" ht="14.25" customHeight="1" thickBot="1"/>
    <row r="98" spans="1:15" ht="14.25" customHeight="1">
      <c r="A98" s="70" t="s">
        <v>128</v>
      </c>
    </row>
    <row r="99" spans="1:15" ht="14.25" customHeight="1">
      <c r="A99" s="110" t="s">
        <v>129</v>
      </c>
      <c r="C99" s="86"/>
      <c r="D99" s="111">
        <v>168.99044799999999</v>
      </c>
      <c r="E99" s="5">
        <v>204.20982799999999</v>
      </c>
      <c r="F99" s="5">
        <v>204.14022199999999</v>
      </c>
      <c r="G99" s="112">
        <v>247.77020300000001</v>
      </c>
      <c r="H99" s="113">
        <f t="shared" ref="H99:M99" si="65">G99*(1+H68)</f>
        <v>314.66815781000003</v>
      </c>
      <c r="I99" s="113">
        <f t="shared" si="65"/>
        <v>383.89515252820001</v>
      </c>
      <c r="J99" s="113">
        <f t="shared" si="65"/>
        <v>422.28466778102006</v>
      </c>
      <c r="K99" s="113">
        <f t="shared" si="65"/>
        <v>464.51313455912208</v>
      </c>
      <c r="L99" s="113">
        <f t="shared" si="65"/>
        <v>510.96444801503435</v>
      </c>
      <c r="M99" s="113">
        <f t="shared" si="65"/>
        <v>562.06089281653783</v>
      </c>
      <c r="N99" s="113">
        <f t="shared" ref="N99" si="66">M99*(1+N68)</f>
        <v>618.26698209819165</v>
      </c>
      <c r="O99" s="72"/>
    </row>
    <row r="100" spans="1:15" ht="14.25" customHeight="1">
      <c r="A100" s="5" t="s">
        <v>130</v>
      </c>
      <c r="C100" s="86"/>
      <c r="D100" s="111">
        <v>1.428736</v>
      </c>
      <c r="E100" s="5">
        <v>1.2134229999999999</v>
      </c>
      <c r="F100" s="5">
        <v>1.1336120000000001</v>
      </c>
      <c r="G100" s="112">
        <v>0.53</v>
      </c>
      <c r="H100" s="114">
        <f t="shared" ref="H100:M100" si="67">G100*(1+H7)</f>
        <v>0.66250000000000009</v>
      </c>
      <c r="I100" s="114">
        <f t="shared" si="67"/>
        <v>0.79500000000000004</v>
      </c>
      <c r="J100" s="114">
        <f t="shared" si="67"/>
        <v>0.85860000000000014</v>
      </c>
      <c r="K100" s="114">
        <f t="shared" si="67"/>
        <v>0.92728800000000022</v>
      </c>
      <c r="L100" s="114">
        <f t="shared" si="67"/>
        <v>1.0014710400000002</v>
      </c>
      <c r="M100" s="114">
        <f t="shared" si="67"/>
        <v>1.0815887232000003</v>
      </c>
      <c r="N100" s="114">
        <f t="shared" ref="N100:N112" si="68">M100*(1+N7)</f>
        <v>1.1681158210560005</v>
      </c>
      <c r="O100" s="72"/>
    </row>
    <row r="101" spans="1:15" ht="14.25" customHeight="1">
      <c r="A101" s="5" t="s">
        <v>112</v>
      </c>
      <c r="C101" s="86"/>
      <c r="D101" s="111">
        <v>0.88070800000000005</v>
      </c>
      <c r="E101" s="5">
        <v>0.86146999999999996</v>
      </c>
      <c r="F101" s="5">
        <v>0.74521400000000004</v>
      </c>
      <c r="G101" s="112">
        <v>0.544817</v>
      </c>
      <c r="H101" s="114">
        <f t="shared" ref="H101:M101" si="69">G101*(1+H8)</f>
        <v>0.75729563000000011</v>
      </c>
      <c r="I101" s="114">
        <f t="shared" si="69"/>
        <v>1.0526409257000002</v>
      </c>
      <c r="J101" s="114">
        <f t="shared" si="69"/>
        <v>1.4631708867230004</v>
      </c>
      <c r="K101" s="114">
        <f t="shared" si="69"/>
        <v>2.0338075325449707</v>
      </c>
      <c r="L101" s="114">
        <f t="shared" si="69"/>
        <v>2.8269924702375095</v>
      </c>
      <c r="M101" s="114">
        <f t="shared" si="69"/>
        <v>3.9295195336301387</v>
      </c>
      <c r="N101" s="114">
        <f t="shared" si="68"/>
        <v>5.462032151745893</v>
      </c>
      <c r="O101" s="72"/>
    </row>
    <row r="102" spans="1:15" ht="14.25" customHeight="1">
      <c r="A102" s="5" t="s">
        <v>114</v>
      </c>
      <c r="C102" s="86"/>
      <c r="D102" s="111">
        <v>7.038278</v>
      </c>
      <c r="E102" s="5">
        <v>8.6157299999999992</v>
      </c>
      <c r="F102" s="5">
        <v>8.2993970000000008</v>
      </c>
      <c r="G102" s="112">
        <v>11.947022</v>
      </c>
      <c r="H102" s="114">
        <f t="shared" ref="H102:M102" si="70">G102*(1+H9)</f>
        <v>13.7390753</v>
      </c>
      <c r="I102" s="114">
        <f t="shared" si="70"/>
        <v>15.799936594999998</v>
      </c>
      <c r="J102" s="114">
        <f t="shared" si="70"/>
        <v>18.169927084249998</v>
      </c>
      <c r="K102" s="114">
        <f t="shared" si="70"/>
        <v>20.895416146887495</v>
      </c>
      <c r="L102" s="114">
        <f t="shared" si="70"/>
        <v>24.029728568920618</v>
      </c>
      <c r="M102" s="114">
        <f t="shared" si="70"/>
        <v>27.634187854258709</v>
      </c>
      <c r="N102" s="114">
        <f t="shared" si="68"/>
        <v>31.779316032397514</v>
      </c>
      <c r="O102" s="72"/>
    </row>
    <row r="103" spans="1:15" ht="14.25" customHeight="1">
      <c r="A103" s="5" t="s">
        <v>131</v>
      </c>
      <c r="C103" s="86"/>
      <c r="D103" s="111">
        <v>4.2087969999999997</v>
      </c>
      <c r="E103" s="5">
        <v>3.5653920000000001</v>
      </c>
      <c r="F103" s="5">
        <v>2.4465919999999999</v>
      </c>
      <c r="G103" s="112">
        <v>3.6105939999999999</v>
      </c>
      <c r="H103" s="114">
        <f t="shared" ref="H103:M103" si="71">G103*(1+H10)</f>
        <v>4.1521830999999993</v>
      </c>
      <c r="I103" s="114">
        <f t="shared" si="71"/>
        <v>4.7750105649999988</v>
      </c>
      <c r="J103" s="114">
        <f t="shared" si="71"/>
        <v>5.491262149749998</v>
      </c>
      <c r="K103" s="114">
        <f t="shared" si="71"/>
        <v>6.3149514722124973</v>
      </c>
      <c r="L103" s="114">
        <f t="shared" si="71"/>
        <v>7.2621941930443716</v>
      </c>
      <c r="M103" s="114">
        <f t="shared" si="71"/>
        <v>8.351523322001027</v>
      </c>
      <c r="N103" s="114">
        <f t="shared" si="68"/>
        <v>9.6042518203011795</v>
      </c>
      <c r="O103" s="72"/>
    </row>
    <row r="104" spans="1:15" ht="14.25" customHeight="1">
      <c r="A104" s="5" t="s">
        <v>116</v>
      </c>
      <c r="C104" s="86"/>
      <c r="D104" s="111">
        <v>14.252215</v>
      </c>
      <c r="E104" s="5">
        <v>22.949238999999999</v>
      </c>
      <c r="F104" s="5">
        <v>22.311433000000001</v>
      </c>
      <c r="G104" s="112">
        <v>21.910744000000001</v>
      </c>
      <c r="H104" s="114">
        <f t="shared" ref="H104:M104" si="72">G104*(1+H11)</f>
        <v>21.910744000000001</v>
      </c>
      <c r="I104" s="114">
        <f t="shared" si="72"/>
        <v>21.910744000000001</v>
      </c>
      <c r="J104" s="114">
        <f t="shared" si="72"/>
        <v>21.910744000000001</v>
      </c>
      <c r="K104" s="114">
        <f t="shared" si="72"/>
        <v>21.910744000000001</v>
      </c>
      <c r="L104" s="114">
        <f t="shared" si="72"/>
        <v>21.910744000000001</v>
      </c>
      <c r="M104" s="114">
        <f t="shared" si="72"/>
        <v>21.910744000000001</v>
      </c>
      <c r="N104" s="114">
        <f t="shared" si="68"/>
        <v>21.910744000000001</v>
      </c>
      <c r="O104" s="72"/>
    </row>
    <row r="105" spans="1:15" ht="14.25" customHeight="1">
      <c r="A105" s="5" t="s">
        <v>132</v>
      </c>
      <c r="C105" s="86"/>
      <c r="D105" s="111">
        <v>8.7681389999999997</v>
      </c>
      <c r="E105" s="5">
        <v>9.5543379999999996</v>
      </c>
      <c r="F105" s="5">
        <v>7.5566000000000004</v>
      </c>
      <c r="G105" s="112">
        <v>4.8173250000000003</v>
      </c>
      <c r="H105" s="114">
        <f t="shared" ref="H105:M105" si="73">G105*(1+H12)</f>
        <v>4.8173250000000003</v>
      </c>
      <c r="I105" s="114">
        <f t="shared" si="73"/>
        <v>4.8173250000000003</v>
      </c>
      <c r="J105" s="114">
        <f t="shared" si="73"/>
        <v>4.8173250000000003</v>
      </c>
      <c r="K105" s="114">
        <f t="shared" si="73"/>
        <v>4.8173250000000003</v>
      </c>
      <c r="L105" s="114">
        <f t="shared" si="73"/>
        <v>4.8173250000000003</v>
      </c>
      <c r="M105" s="114">
        <f t="shared" si="73"/>
        <v>4.8173250000000003</v>
      </c>
      <c r="N105" s="114">
        <f t="shared" si="68"/>
        <v>4.8173250000000003</v>
      </c>
      <c r="O105" s="72"/>
    </row>
    <row r="106" spans="1:15" ht="14.25" customHeight="1">
      <c r="A106" s="5" t="s">
        <v>133</v>
      </c>
      <c r="C106" s="86"/>
      <c r="D106" s="111">
        <v>6.480137</v>
      </c>
      <c r="E106" s="5">
        <v>6.2425430000000004</v>
      </c>
      <c r="F106" s="5">
        <v>5.7170909999999999</v>
      </c>
      <c r="G106" s="112">
        <v>4.058745</v>
      </c>
      <c r="H106" s="114">
        <f t="shared" ref="H106:M106" si="74">G106*(1+H13)</f>
        <v>7.0216288499999999</v>
      </c>
      <c r="I106" s="114">
        <f t="shared" si="74"/>
        <v>12.1474179105</v>
      </c>
      <c r="J106" s="114">
        <f t="shared" si="74"/>
        <v>21.015032985165</v>
      </c>
      <c r="K106" s="114">
        <f t="shared" si="74"/>
        <v>36.356007064335451</v>
      </c>
      <c r="L106" s="114">
        <f t="shared" si="74"/>
        <v>62.895892221300329</v>
      </c>
      <c r="M106" s="114">
        <f t="shared" si="74"/>
        <v>108.80989354284957</v>
      </c>
      <c r="N106" s="114">
        <f t="shared" si="68"/>
        <v>188.24111582912974</v>
      </c>
      <c r="O106" s="72"/>
    </row>
    <row r="107" spans="1:15" ht="14.25" customHeight="1">
      <c r="A107" s="5" t="s">
        <v>107</v>
      </c>
      <c r="C107" s="86"/>
      <c r="D107" s="111">
        <v>4.605442</v>
      </c>
      <c r="E107" s="5">
        <v>4.8825479999999999</v>
      </c>
      <c r="F107" s="5">
        <v>5.7419909999999996</v>
      </c>
      <c r="G107" s="112">
        <v>6.0991200000000001</v>
      </c>
      <c r="H107" s="114">
        <f t="shared" ref="H107:M107" si="75">G107*(1+H14)</f>
        <v>7.1969615999999998</v>
      </c>
      <c r="I107" s="114">
        <f t="shared" si="75"/>
        <v>8.4924146880000002</v>
      </c>
      <c r="J107" s="114">
        <f t="shared" si="75"/>
        <v>10.02104933184</v>
      </c>
      <c r="K107" s="114">
        <f t="shared" si="75"/>
        <v>11.824838211571199</v>
      </c>
      <c r="L107" s="114">
        <f t="shared" si="75"/>
        <v>13.953309089654015</v>
      </c>
      <c r="M107" s="114">
        <f t="shared" si="75"/>
        <v>16.464904725791737</v>
      </c>
      <c r="N107" s="114">
        <f t="shared" si="68"/>
        <v>19.42858757643425</v>
      </c>
      <c r="O107" s="72"/>
    </row>
    <row r="108" spans="1:15" ht="14.25" customHeight="1">
      <c r="A108" s="5" t="s">
        <v>134</v>
      </c>
      <c r="C108" s="86"/>
      <c r="D108" s="111">
        <v>1.289061</v>
      </c>
      <c r="E108" s="5">
        <v>1.4030659999999999</v>
      </c>
      <c r="F108" s="5">
        <v>2.3052929999999998</v>
      </c>
      <c r="G108" s="112">
        <v>2</v>
      </c>
      <c r="H108" s="114">
        <f t="shared" ref="H108:M108" si="76">G108*(1+H15)</f>
        <v>2.1800000000000002</v>
      </c>
      <c r="I108" s="114">
        <f t="shared" si="76"/>
        <v>2.3762000000000003</v>
      </c>
      <c r="J108" s="114">
        <f t="shared" si="76"/>
        <v>2.5900580000000004</v>
      </c>
      <c r="K108" s="114">
        <f t="shared" si="76"/>
        <v>2.8231632200000005</v>
      </c>
      <c r="L108" s="114">
        <f t="shared" si="76"/>
        <v>3.077247909800001</v>
      </c>
      <c r="M108" s="114">
        <f t="shared" si="76"/>
        <v>3.3542002216820013</v>
      </c>
      <c r="N108" s="114">
        <f t="shared" si="68"/>
        <v>3.6560782416333817</v>
      </c>
      <c r="O108" s="72"/>
    </row>
    <row r="109" spans="1:15" ht="14.25" customHeight="1">
      <c r="A109" s="5" t="s">
        <v>108</v>
      </c>
      <c r="C109" s="86"/>
      <c r="D109" s="111">
        <v>12.225678</v>
      </c>
      <c r="E109" s="5">
        <v>12.881667999999999</v>
      </c>
      <c r="F109" s="5">
        <v>11.986253</v>
      </c>
      <c r="G109" s="112">
        <v>14.423614000000001</v>
      </c>
      <c r="H109" s="114">
        <f t="shared" ref="H109:M109" si="77">G109*(1+H16)</f>
        <v>14.423614000000001</v>
      </c>
      <c r="I109" s="114">
        <f t="shared" si="77"/>
        <v>14.423614000000001</v>
      </c>
      <c r="J109" s="114">
        <f t="shared" si="77"/>
        <v>14.423614000000001</v>
      </c>
      <c r="K109" s="114">
        <f t="shared" si="77"/>
        <v>14.423614000000001</v>
      </c>
      <c r="L109" s="114">
        <f t="shared" si="77"/>
        <v>14.423614000000001</v>
      </c>
      <c r="M109" s="114">
        <f t="shared" si="77"/>
        <v>14.423614000000001</v>
      </c>
      <c r="N109" s="114">
        <f t="shared" si="68"/>
        <v>14.423614000000001</v>
      </c>
      <c r="O109" s="72"/>
    </row>
    <row r="110" spans="1:15" ht="14.25" customHeight="1">
      <c r="A110" s="5" t="s">
        <v>135</v>
      </c>
      <c r="C110" s="86"/>
      <c r="D110" s="111">
        <v>4.0087849999999996</v>
      </c>
      <c r="E110" s="5">
        <v>6.5566779999999998</v>
      </c>
      <c r="F110" s="5">
        <v>8.3299579999999995</v>
      </c>
      <c r="G110" s="112">
        <v>12.402644</v>
      </c>
      <c r="H110" s="114">
        <f t="shared" ref="H110:M110" si="78">G110*(1+H17)</f>
        <v>12.402644</v>
      </c>
      <c r="I110" s="114">
        <f t="shared" si="78"/>
        <v>12.402644</v>
      </c>
      <c r="J110" s="114">
        <f t="shared" si="78"/>
        <v>12.402644</v>
      </c>
      <c r="K110" s="114">
        <f t="shared" si="78"/>
        <v>12.402644</v>
      </c>
      <c r="L110" s="114">
        <f t="shared" si="78"/>
        <v>12.402644</v>
      </c>
      <c r="M110" s="114">
        <f t="shared" si="78"/>
        <v>12.402644</v>
      </c>
      <c r="N110" s="114">
        <f t="shared" si="68"/>
        <v>12.402644</v>
      </c>
      <c r="O110" s="72"/>
    </row>
    <row r="111" spans="1:15" ht="14.25" customHeight="1">
      <c r="A111" s="5" t="s">
        <v>136</v>
      </c>
      <c r="C111" s="86"/>
      <c r="D111" s="111">
        <v>8.0120699999999996</v>
      </c>
      <c r="E111" s="5">
        <v>5.4803689999999996</v>
      </c>
      <c r="F111" s="5">
        <v>6.6176209999999998</v>
      </c>
      <c r="G111" s="112">
        <v>14.629961</v>
      </c>
      <c r="H111" s="114">
        <f t="shared" ref="H111:M111" si="79">G111*(1+H18)</f>
        <v>24.870933699999998</v>
      </c>
      <c r="I111" s="114">
        <f t="shared" si="79"/>
        <v>42.280587289999993</v>
      </c>
      <c r="J111" s="114">
        <f t="shared" si="79"/>
        <v>71.87699839299998</v>
      </c>
      <c r="K111" s="114">
        <f t="shared" si="79"/>
        <v>122.19089726809996</v>
      </c>
      <c r="L111" s="114">
        <f t="shared" si="79"/>
        <v>207.72452535576991</v>
      </c>
      <c r="M111" s="114">
        <f t="shared" si="79"/>
        <v>353.13169310480885</v>
      </c>
      <c r="N111" s="114">
        <f t="shared" si="68"/>
        <v>600.32387827817502</v>
      </c>
      <c r="O111" s="72"/>
    </row>
    <row r="112" spans="1:15" ht="14.25" customHeight="1">
      <c r="A112" s="5" t="s">
        <v>115</v>
      </c>
      <c r="C112" s="86"/>
      <c r="D112" s="111">
        <v>4.1311749999999998</v>
      </c>
      <c r="E112" s="5">
        <v>5.7244299999999999</v>
      </c>
      <c r="F112" s="5">
        <v>5.5959079999999997</v>
      </c>
      <c r="G112" s="112">
        <v>5.320233</v>
      </c>
      <c r="H112" s="114">
        <f t="shared" ref="H112:M112" si="80">G112*(1+H19)</f>
        <v>10.640466</v>
      </c>
      <c r="I112" s="114">
        <f t="shared" si="80"/>
        <v>21.280932</v>
      </c>
      <c r="J112" s="114">
        <f t="shared" si="80"/>
        <v>42.561864</v>
      </c>
      <c r="K112" s="114">
        <f t="shared" si="80"/>
        <v>85.123728</v>
      </c>
      <c r="L112" s="114">
        <f t="shared" si="80"/>
        <v>170.247456</v>
      </c>
      <c r="M112" s="114">
        <f t="shared" si="80"/>
        <v>340.494912</v>
      </c>
      <c r="N112" s="114">
        <f t="shared" si="68"/>
        <v>680.989824</v>
      </c>
      <c r="O112" s="72"/>
    </row>
    <row r="113" spans="1:15" ht="14.25" customHeight="1">
      <c r="A113" s="5" t="s">
        <v>118</v>
      </c>
      <c r="C113" s="86"/>
      <c r="D113" s="111">
        <v>45.442289000000002</v>
      </c>
      <c r="E113" s="5">
        <v>48.550451000000002</v>
      </c>
      <c r="F113" s="5">
        <v>48.536447000000003</v>
      </c>
      <c r="G113" s="112">
        <v>45.315967999999998</v>
      </c>
      <c r="H113" s="114">
        <f t="shared" ref="H113:M113" si="81">H171*H178</f>
        <v>7.8087562272774003</v>
      </c>
      <c r="I113" s="114">
        <f t="shared" si="81"/>
        <v>8.3342157001929831</v>
      </c>
      <c r="J113" s="114">
        <f t="shared" si="81"/>
        <v>9.1298871460452506</v>
      </c>
      <c r="K113" s="114">
        <f t="shared" si="81"/>
        <v>9.8717393748249442</v>
      </c>
      <c r="L113" s="114">
        <f t="shared" si="81"/>
        <v>10.7437212313615</v>
      </c>
      <c r="M113" s="114">
        <f t="shared" si="81"/>
        <v>11.654631393012961</v>
      </c>
      <c r="N113" s="114">
        <f t="shared" ref="N113" si="82">N171*N178</f>
        <v>12.663412678502747</v>
      </c>
      <c r="O113" s="72"/>
    </row>
    <row r="114" spans="1:15" ht="14.25" customHeight="1">
      <c r="A114" s="5" t="s">
        <v>137</v>
      </c>
      <c r="C114" s="86"/>
      <c r="D114" s="111">
        <v>2.0443419999999999</v>
      </c>
      <c r="E114" s="5">
        <v>1.285093</v>
      </c>
      <c r="F114" s="5">
        <v>0.58804400000000001</v>
      </c>
      <c r="G114" s="112">
        <f t="shared" ref="G114:M114" si="83">G172</f>
        <v>0.420879</v>
      </c>
      <c r="H114" s="112">
        <f t="shared" si="83"/>
        <v>0.4946342985769332</v>
      </c>
      <c r="I114" s="112">
        <f t="shared" si="83"/>
        <v>0.51327031773468768</v>
      </c>
      <c r="J114" s="112">
        <f t="shared" si="83"/>
        <v>0.53260847423117375</v>
      </c>
      <c r="K114" s="112">
        <f t="shared" si="83"/>
        <v>0.55267522204447916</v>
      </c>
      <c r="L114" s="112">
        <f t="shared" si="83"/>
        <v>0.5734980118422538</v>
      </c>
      <c r="M114" s="112">
        <f t="shared" si="83"/>
        <v>0.59510532853334253</v>
      </c>
      <c r="N114" s="112">
        <f t="shared" ref="N114" si="84">N172</f>
        <v>0.61752673023422799</v>
      </c>
      <c r="O114" s="72"/>
    </row>
    <row r="115" spans="1:15" ht="14.25" customHeight="1">
      <c r="A115" s="5" t="s">
        <v>117</v>
      </c>
      <c r="C115" s="86"/>
      <c r="D115" s="111">
        <v>7.0108839999999999</v>
      </c>
      <c r="E115" s="5">
        <v>6.955082</v>
      </c>
      <c r="F115" s="5">
        <v>6.8485810000000003</v>
      </c>
      <c r="G115" s="112">
        <v>8.5479310000000002</v>
      </c>
      <c r="H115" s="114">
        <f t="shared" ref="H115:M115" si="85">G115*(1+H22)</f>
        <v>8.5479310000000002</v>
      </c>
      <c r="I115" s="114">
        <f t="shared" si="85"/>
        <v>8.5479310000000002</v>
      </c>
      <c r="J115" s="114">
        <f t="shared" si="85"/>
        <v>8.5479310000000002</v>
      </c>
      <c r="K115" s="114">
        <f t="shared" si="85"/>
        <v>8.5479310000000002</v>
      </c>
      <c r="L115" s="114">
        <f t="shared" si="85"/>
        <v>8.5479310000000002</v>
      </c>
      <c r="M115" s="114">
        <f t="shared" si="85"/>
        <v>8.5479310000000002</v>
      </c>
      <c r="N115" s="114">
        <f t="shared" ref="N115" si="86">M115*(1+N22)</f>
        <v>8.5479310000000002</v>
      </c>
      <c r="O115" s="72"/>
    </row>
    <row r="116" spans="1:15" ht="14.25" customHeight="1">
      <c r="A116" s="5" t="s">
        <v>138</v>
      </c>
      <c r="C116" s="86"/>
      <c r="D116" s="111">
        <v>0.205794</v>
      </c>
      <c r="E116" s="5">
        <v>0.63765300000000003</v>
      </c>
      <c r="F116" s="5" t="s">
        <v>139</v>
      </c>
      <c r="G116" s="112" t="s">
        <v>139</v>
      </c>
      <c r="H116" s="114" t="s">
        <v>139</v>
      </c>
      <c r="I116" s="114" t="s">
        <v>139</v>
      </c>
      <c r="J116" s="114" t="s">
        <v>139</v>
      </c>
      <c r="K116" s="114" t="s">
        <v>139</v>
      </c>
      <c r="L116" s="114" t="s">
        <v>139</v>
      </c>
      <c r="M116" s="114" t="s">
        <v>139</v>
      </c>
      <c r="N116" s="114" t="s">
        <v>139</v>
      </c>
      <c r="O116" s="72"/>
    </row>
    <row r="117" spans="1:15" ht="14.25" customHeight="1" thickBot="1">
      <c r="A117" s="5" t="s">
        <v>46</v>
      </c>
      <c r="C117" s="86"/>
      <c r="D117" s="111">
        <v>2.0730590000000002</v>
      </c>
      <c r="E117" s="5">
        <v>1.603863</v>
      </c>
      <c r="F117" s="5">
        <v>2.5146190000000002</v>
      </c>
      <c r="G117" s="112">
        <v>3.5300660000000001</v>
      </c>
      <c r="H117" s="114">
        <f t="shared" ref="H117:M117" si="87">G117*(1+H23)</f>
        <v>3.7499891118000002</v>
      </c>
      <c r="I117" s="114">
        <f t="shared" si="87"/>
        <v>4.4062372063650006</v>
      </c>
      <c r="J117" s="114">
        <f t="shared" si="87"/>
        <v>5.0231104152561006</v>
      </c>
      <c r="K117" s="114">
        <f t="shared" si="87"/>
        <v>5.3044045985104429</v>
      </c>
      <c r="L117" s="114">
        <f t="shared" si="87"/>
        <v>5.601451256027028</v>
      </c>
      <c r="M117" s="114">
        <f t="shared" si="87"/>
        <v>5.915132526364542</v>
      </c>
      <c r="N117" s="114">
        <f t="shared" ref="N117" si="88">M117*(1+N23)</f>
        <v>6.246379947840957</v>
      </c>
      <c r="O117" s="72"/>
    </row>
    <row r="118" spans="1:15" ht="14.25" customHeight="1" thickBot="1">
      <c r="A118" s="115" t="s">
        <v>140</v>
      </c>
      <c r="B118" s="103"/>
      <c r="C118" s="103"/>
      <c r="D118" s="116">
        <v>303.09603700000002</v>
      </c>
      <c r="E118" s="117">
        <v>353.172864</v>
      </c>
      <c r="F118" s="117">
        <v>351.41487599999999</v>
      </c>
      <c r="G118" s="118">
        <f t="shared" ref="G118:N118" si="89">SUM(G99:G117)</f>
        <v>407.87986599999994</v>
      </c>
      <c r="H118" s="118">
        <f t="shared" si="89"/>
        <v>460.04483962765448</v>
      </c>
      <c r="I118" s="118">
        <f t="shared" si="89"/>
        <v>568.25127372669272</v>
      </c>
      <c r="J118" s="118">
        <f t="shared" si="89"/>
        <v>673.12049464728068</v>
      </c>
      <c r="K118" s="118">
        <f t="shared" si="89"/>
        <v>830.83430867015363</v>
      </c>
      <c r="L118" s="118">
        <f t="shared" si="89"/>
        <v>1083.0041933629921</v>
      </c>
      <c r="M118" s="118">
        <f t="shared" si="89"/>
        <v>1505.5804430926705</v>
      </c>
      <c r="N118" s="118">
        <f t="shared" si="89"/>
        <v>2240.5497592056427</v>
      </c>
    </row>
    <row r="119" spans="1:15" ht="14.25" customHeight="1" thickBot="1">
      <c r="A119" s="1"/>
      <c r="B119" s="1"/>
      <c r="E119" s="1"/>
      <c r="F119" s="1"/>
      <c r="G119" s="99"/>
      <c r="H119" s="1"/>
      <c r="I119" s="1"/>
      <c r="J119" s="1"/>
      <c r="K119" s="1"/>
      <c r="L119" s="1"/>
      <c r="M119" s="1"/>
    </row>
    <row r="120" spans="1:15" ht="14.25" customHeight="1">
      <c r="A120" s="45" t="s">
        <v>141</v>
      </c>
      <c r="C120" s="1"/>
    </row>
    <row r="121" spans="1:15" ht="14.25" customHeight="1">
      <c r="A121" s="110" t="s">
        <v>129</v>
      </c>
      <c r="D121" s="119">
        <v>451.696775</v>
      </c>
      <c r="E121" s="5">
        <v>580.06743700000004</v>
      </c>
      <c r="F121" s="120">
        <v>598.41913099999999</v>
      </c>
      <c r="G121" s="113">
        <v>719.01234699999998</v>
      </c>
      <c r="H121" s="113">
        <f t="shared" ref="H121:M121" si="90">G121*(1+H68)</f>
        <v>913.14568068999995</v>
      </c>
      <c r="I121" s="113">
        <f t="shared" si="90"/>
        <v>1114.0377304418</v>
      </c>
      <c r="J121" s="113">
        <f t="shared" si="90"/>
        <v>1225.4415034859801</v>
      </c>
      <c r="K121" s="113">
        <f t="shared" si="90"/>
        <v>1347.9856538345782</v>
      </c>
      <c r="L121" s="113">
        <f t="shared" si="90"/>
        <v>1482.7842192180362</v>
      </c>
      <c r="M121" s="113">
        <f t="shared" si="90"/>
        <v>1631.06264113984</v>
      </c>
      <c r="N121" s="113">
        <f t="shared" ref="N121" si="91">M121*(1+N68)</f>
        <v>1794.1689052538243</v>
      </c>
    </row>
    <row r="122" spans="1:15" ht="14.25" customHeight="1">
      <c r="A122" s="5" t="s">
        <v>116</v>
      </c>
      <c r="D122" s="119">
        <v>176.64214799999999</v>
      </c>
      <c r="E122" s="5">
        <v>261.905641</v>
      </c>
      <c r="F122" s="120">
        <v>253.726462</v>
      </c>
      <c r="G122" s="113">
        <v>241.79716999999999</v>
      </c>
      <c r="H122" s="113">
        <f t="shared" ref="H122:M122" si="92">G122*(1+H7)</f>
        <v>302.24646250000001</v>
      </c>
      <c r="I122" s="113">
        <f t="shared" si="92"/>
        <v>362.69575500000002</v>
      </c>
      <c r="J122" s="113">
        <f t="shared" si="92"/>
        <v>391.71141540000002</v>
      </c>
      <c r="K122" s="113">
        <f t="shared" si="92"/>
        <v>423.04832863200005</v>
      </c>
      <c r="L122" s="113">
        <f t="shared" si="92"/>
        <v>456.89219492256007</v>
      </c>
      <c r="M122" s="113">
        <f t="shared" si="92"/>
        <v>493.4435705163649</v>
      </c>
      <c r="N122" s="113">
        <f t="shared" ref="N122" si="93">M122*(1+N7)</f>
        <v>532.91905615767416</v>
      </c>
    </row>
    <row r="123" spans="1:15" ht="14.25" customHeight="1">
      <c r="A123" s="5" t="s">
        <v>142</v>
      </c>
      <c r="D123" s="119" t="s">
        <v>139</v>
      </c>
      <c r="E123" s="5">
        <v>38.876781000000001</v>
      </c>
      <c r="F123" s="120">
        <v>0</v>
      </c>
      <c r="G123" s="113" t="s">
        <v>139</v>
      </c>
      <c r="H123" s="113" t="s">
        <v>139</v>
      </c>
      <c r="I123" s="113" t="s">
        <v>139</v>
      </c>
      <c r="J123" s="113" t="s">
        <v>139</v>
      </c>
      <c r="K123" s="113" t="s">
        <v>139</v>
      </c>
      <c r="L123" s="113" t="s">
        <v>139</v>
      </c>
      <c r="M123" s="113" t="s">
        <v>139</v>
      </c>
      <c r="N123" s="113" t="s">
        <v>139</v>
      </c>
    </row>
    <row r="124" spans="1:15" ht="14.25" customHeight="1">
      <c r="A124" s="5" t="s">
        <v>143</v>
      </c>
      <c r="D124" s="119">
        <v>7.4308899999999998</v>
      </c>
      <c r="E124" s="5" t="s">
        <v>139</v>
      </c>
      <c r="F124" s="120">
        <v>1.065159</v>
      </c>
      <c r="G124" s="113" t="s">
        <v>139</v>
      </c>
      <c r="H124" s="113" t="s">
        <v>139</v>
      </c>
      <c r="I124" s="113" t="s">
        <v>139</v>
      </c>
      <c r="J124" s="113" t="s">
        <v>139</v>
      </c>
      <c r="K124" s="113" t="s">
        <v>139</v>
      </c>
      <c r="L124" s="113" t="s">
        <v>139</v>
      </c>
      <c r="M124" s="113" t="s">
        <v>139</v>
      </c>
      <c r="N124" s="113" t="s">
        <v>139</v>
      </c>
    </row>
    <row r="125" spans="1:15" ht="14.25" customHeight="1">
      <c r="A125" s="5" t="s">
        <v>107</v>
      </c>
      <c r="D125" s="119">
        <v>5.7596959999999999</v>
      </c>
      <c r="E125" s="5">
        <v>6.0968660000000003</v>
      </c>
      <c r="F125" s="120">
        <v>7.3568429999999996</v>
      </c>
      <c r="G125" s="113">
        <v>8.5078519999999997</v>
      </c>
      <c r="H125" s="113">
        <f t="shared" ref="H125:M125" si="94">G125*(1+$H$7)</f>
        <v>10.634815</v>
      </c>
      <c r="I125" s="113">
        <f t="shared" si="94"/>
        <v>13.29351875</v>
      </c>
      <c r="J125" s="113">
        <f t="shared" si="94"/>
        <v>16.616898437500002</v>
      </c>
      <c r="K125" s="113">
        <f t="shared" si="94"/>
        <v>20.771123046875001</v>
      </c>
      <c r="L125" s="113">
        <f t="shared" si="94"/>
        <v>25.963903808593752</v>
      </c>
      <c r="M125" s="113">
        <f t="shared" si="94"/>
        <v>32.454879760742187</v>
      </c>
      <c r="N125" s="113">
        <f t="shared" ref="N125:N128" si="95">M125*(1+$H$7)</f>
        <v>40.568599700927734</v>
      </c>
    </row>
    <row r="126" spans="1:15" ht="14.25" customHeight="1">
      <c r="A126" s="5" t="s">
        <v>144</v>
      </c>
      <c r="D126" s="119">
        <v>9.46143</v>
      </c>
      <c r="E126" s="5" t="s">
        <v>139</v>
      </c>
      <c r="F126" s="120">
        <v>7.6886359999999998</v>
      </c>
      <c r="G126" s="113">
        <v>27.757649000000001</v>
      </c>
      <c r="H126" s="113">
        <f t="shared" ref="H126:M126" si="96">G126*(1+$H$7)</f>
        <v>34.697061250000004</v>
      </c>
      <c r="I126" s="113">
        <f t="shared" si="96"/>
        <v>43.371326562500002</v>
      </c>
      <c r="J126" s="113">
        <f t="shared" si="96"/>
        <v>54.214158203125002</v>
      </c>
      <c r="K126" s="113">
        <f t="shared" si="96"/>
        <v>67.767697753906248</v>
      </c>
      <c r="L126" s="113">
        <f t="shared" si="96"/>
        <v>84.70962219238281</v>
      </c>
      <c r="M126" s="113">
        <f t="shared" si="96"/>
        <v>105.88702774047852</v>
      </c>
      <c r="N126" s="113">
        <f t="shared" si="95"/>
        <v>132.35878467559814</v>
      </c>
    </row>
    <row r="127" spans="1:15" ht="14.25" customHeight="1">
      <c r="A127" s="5" t="s">
        <v>112</v>
      </c>
      <c r="D127" s="119">
        <v>134.05105</v>
      </c>
      <c r="E127" s="5">
        <v>7.7835890000000001</v>
      </c>
      <c r="F127" s="120">
        <v>9.5890900000000006</v>
      </c>
      <c r="G127" s="113">
        <v>11.676261999999999</v>
      </c>
      <c r="H127" s="113">
        <f t="shared" ref="H127:M127" si="97">G127*(1+$H$7)</f>
        <v>14.5953275</v>
      </c>
      <c r="I127" s="113">
        <f t="shared" si="97"/>
        <v>18.244159374999999</v>
      </c>
      <c r="J127" s="113">
        <f t="shared" si="97"/>
        <v>22.805199218749998</v>
      </c>
      <c r="K127" s="113">
        <f t="shared" si="97"/>
        <v>28.506499023437499</v>
      </c>
      <c r="L127" s="113">
        <f t="shared" si="97"/>
        <v>35.633123779296874</v>
      </c>
      <c r="M127" s="113">
        <f t="shared" si="97"/>
        <v>44.541404724121094</v>
      </c>
      <c r="N127" s="113">
        <f t="shared" si="95"/>
        <v>55.676755905151367</v>
      </c>
    </row>
    <row r="128" spans="1:15" ht="14.25" customHeight="1">
      <c r="A128" s="5" t="s">
        <v>145</v>
      </c>
      <c r="D128" s="119">
        <v>19.227088999999999</v>
      </c>
      <c r="E128" s="5">
        <v>140.401554</v>
      </c>
      <c r="F128" s="120">
        <v>143.10057599999999</v>
      </c>
      <c r="G128" s="113">
        <v>270.02775400000002</v>
      </c>
      <c r="H128" s="113">
        <f t="shared" ref="H128:M128" si="98">G128*(1+$H$7)</f>
        <v>337.53469250000001</v>
      </c>
      <c r="I128" s="113">
        <f t="shared" si="98"/>
        <v>421.91836562499998</v>
      </c>
      <c r="J128" s="113">
        <f t="shared" si="98"/>
        <v>527.39795703124992</v>
      </c>
      <c r="K128" s="113">
        <f t="shared" si="98"/>
        <v>659.2474462890624</v>
      </c>
      <c r="L128" s="113">
        <f t="shared" si="98"/>
        <v>824.05930786132797</v>
      </c>
      <c r="M128" s="113">
        <f t="shared" si="98"/>
        <v>1030.0741348266599</v>
      </c>
      <c r="N128" s="113">
        <f t="shared" si="95"/>
        <v>1287.592668533325</v>
      </c>
    </row>
    <row r="129" spans="1:14" ht="14.25" customHeight="1">
      <c r="A129" s="5" t="s">
        <v>110</v>
      </c>
      <c r="D129" s="119">
        <v>4.5492100000000004</v>
      </c>
      <c r="E129" s="5" t="s">
        <v>139</v>
      </c>
      <c r="F129" s="120">
        <v>0</v>
      </c>
      <c r="G129" s="113" t="s">
        <v>139</v>
      </c>
      <c r="H129" s="113">
        <f>162.531+70</f>
        <v>232.53100000000001</v>
      </c>
      <c r="I129" s="113" t="s">
        <v>139</v>
      </c>
      <c r="J129" s="113" t="s">
        <v>139</v>
      </c>
      <c r="K129" s="113" t="s">
        <v>139</v>
      </c>
      <c r="L129" s="113" t="s">
        <v>139</v>
      </c>
      <c r="M129" s="113" t="s">
        <v>139</v>
      </c>
      <c r="N129" s="113" t="s">
        <v>139</v>
      </c>
    </row>
    <row r="130" spans="1:14" ht="14.25" customHeight="1">
      <c r="A130" s="5" t="s">
        <v>146</v>
      </c>
      <c r="D130" s="119">
        <v>14.426746</v>
      </c>
      <c r="E130" s="5">
        <v>4.8569110000000002</v>
      </c>
      <c r="F130" s="120">
        <v>5.2391829999999997</v>
      </c>
      <c r="G130" s="113">
        <v>7.4807889999999997</v>
      </c>
      <c r="H130" s="113">
        <f t="shared" ref="H130:M130" si="99">G130*(1+$H$7)</f>
        <v>9.3509862500000001</v>
      </c>
      <c r="I130" s="113">
        <f t="shared" si="99"/>
        <v>11.6887328125</v>
      </c>
      <c r="J130" s="113">
        <f t="shared" si="99"/>
        <v>14.610916015625</v>
      </c>
      <c r="K130" s="113">
        <f t="shared" si="99"/>
        <v>18.26364501953125</v>
      </c>
      <c r="L130" s="113">
        <f t="shared" si="99"/>
        <v>22.829556274414063</v>
      </c>
      <c r="M130" s="113">
        <f t="shared" si="99"/>
        <v>28.536945343017578</v>
      </c>
      <c r="N130" s="113">
        <f t="shared" ref="N130:N136" si="100">M130*(1+$H$7)</f>
        <v>35.671181678771973</v>
      </c>
    </row>
    <row r="131" spans="1:14" ht="14.25" customHeight="1">
      <c r="A131" s="5" t="s">
        <v>114</v>
      </c>
      <c r="D131" s="119">
        <v>15.264355999999999</v>
      </c>
      <c r="E131" s="5">
        <v>17.317589000000002</v>
      </c>
      <c r="F131" s="120">
        <v>19.857206999999999</v>
      </c>
      <c r="G131" s="113">
        <v>25.766939000000001</v>
      </c>
      <c r="H131" s="113">
        <f t="shared" ref="H131:M131" si="101">G131*(1+$H$7)</f>
        <v>32.208673750000003</v>
      </c>
      <c r="I131" s="113">
        <f t="shared" si="101"/>
        <v>40.260842187500003</v>
      </c>
      <c r="J131" s="113">
        <f t="shared" si="101"/>
        <v>50.326052734375004</v>
      </c>
      <c r="K131" s="113">
        <f t="shared" si="101"/>
        <v>62.907565917968753</v>
      </c>
      <c r="L131" s="113">
        <f t="shared" si="101"/>
        <v>78.634457397460949</v>
      </c>
      <c r="M131" s="113">
        <f t="shared" si="101"/>
        <v>98.293071746826186</v>
      </c>
      <c r="N131" s="113">
        <f t="shared" si="100"/>
        <v>122.86633968353273</v>
      </c>
    </row>
    <row r="132" spans="1:14" ht="14.25" customHeight="1">
      <c r="A132" s="5" t="s">
        <v>147</v>
      </c>
      <c r="D132" s="119">
        <v>20.506858999999999</v>
      </c>
      <c r="E132" s="5">
        <v>26.848192999999998</v>
      </c>
      <c r="F132" s="120">
        <v>34.829467999999999</v>
      </c>
      <c r="G132" s="113">
        <v>40.214458</v>
      </c>
      <c r="H132" s="113">
        <f t="shared" ref="H132:M132" si="102">G132*(1+$H$7)</f>
        <v>50.268072500000002</v>
      </c>
      <c r="I132" s="113">
        <f t="shared" si="102"/>
        <v>62.835090625000007</v>
      </c>
      <c r="J132" s="113">
        <f t="shared" si="102"/>
        <v>78.543863281250012</v>
      </c>
      <c r="K132" s="113">
        <f t="shared" si="102"/>
        <v>98.179829101562518</v>
      </c>
      <c r="L132" s="113">
        <f t="shared" si="102"/>
        <v>122.72478637695315</v>
      </c>
      <c r="M132" s="113">
        <f t="shared" si="102"/>
        <v>153.40598297119143</v>
      </c>
      <c r="N132" s="113">
        <f t="shared" si="100"/>
        <v>191.75747871398929</v>
      </c>
    </row>
    <row r="133" spans="1:14" ht="14.25" customHeight="1">
      <c r="A133" s="5" t="s">
        <v>115</v>
      </c>
      <c r="D133" s="119">
        <v>12.949954999999999</v>
      </c>
      <c r="E133" s="5">
        <v>23.527082</v>
      </c>
      <c r="F133" s="120">
        <v>22.268778999999999</v>
      </c>
      <c r="G133" s="113">
        <v>26.216857000000001</v>
      </c>
      <c r="H133" s="113">
        <f t="shared" ref="H133:M133" si="103">G133*(1+$H$7)</f>
        <v>32.771071249999999</v>
      </c>
      <c r="I133" s="113">
        <f t="shared" si="103"/>
        <v>40.9638390625</v>
      </c>
      <c r="J133" s="113">
        <f t="shared" si="103"/>
        <v>51.204798828125</v>
      </c>
      <c r="K133" s="113">
        <f t="shared" si="103"/>
        <v>64.005998535156252</v>
      </c>
      <c r="L133" s="113">
        <f t="shared" si="103"/>
        <v>80.007498168945318</v>
      </c>
      <c r="M133" s="113">
        <f t="shared" si="103"/>
        <v>100.00937271118164</v>
      </c>
      <c r="N133" s="113">
        <f t="shared" si="100"/>
        <v>125.01171588897705</v>
      </c>
    </row>
    <row r="134" spans="1:14" ht="14.25" customHeight="1">
      <c r="A134" s="5" t="s">
        <v>148</v>
      </c>
      <c r="D134" s="119">
        <v>120.883617</v>
      </c>
      <c r="E134" s="5">
        <v>15.413800999999999</v>
      </c>
      <c r="F134" s="120">
        <v>23.087228</v>
      </c>
      <c r="G134" s="113">
        <v>16.441942000000001</v>
      </c>
      <c r="H134" s="113">
        <f t="shared" ref="H134:M134" si="104">G134*(1+$H$7)</f>
        <v>20.5524275</v>
      </c>
      <c r="I134" s="113">
        <f t="shared" si="104"/>
        <v>25.690534374999999</v>
      </c>
      <c r="J134" s="113">
        <f t="shared" si="104"/>
        <v>32.113167968749998</v>
      </c>
      <c r="K134" s="113">
        <f t="shared" si="104"/>
        <v>40.141459960937496</v>
      </c>
      <c r="L134" s="113">
        <f t="shared" si="104"/>
        <v>50.176824951171866</v>
      </c>
      <c r="M134" s="113">
        <f t="shared" si="104"/>
        <v>62.72103118896483</v>
      </c>
      <c r="N134" s="113">
        <f t="shared" si="100"/>
        <v>78.40128898620604</v>
      </c>
    </row>
    <row r="135" spans="1:14" ht="14.25" customHeight="1">
      <c r="A135" s="5" t="s">
        <v>149</v>
      </c>
      <c r="D135" s="119">
        <v>41.197682</v>
      </c>
      <c r="E135" s="5">
        <v>125.509646</v>
      </c>
      <c r="F135" s="120">
        <v>103.62520499999999</v>
      </c>
      <c r="G135" s="113">
        <v>73.674229999999994</v>
      </c>
      <c r="H135" s="113">
        <f t="shared" ref="H135:M135" si="105">G135*(1+$H$7)</f>
        <v>92.092787499999986</v>
      </c>
      <c r="I135" s="113">
        <f t="shared" si="105"/>
        <v>115.11598437499998</v>
      </c>
      <c r="J135" s="113">
        <f t="shared" si="105"/>
        <v>143.89498046874996</v>
      </c>
      <c r="K135" s="113">
        <f t="shared" si="105"/>
        <v>179.86872558593745</v>
      </c>
      <c r="L135" s="113">
        <f t="shared" si="105"/>
        <v>224.83590698242182</v>
      </c>
      <c r="M135" s="113">
        <f t="shared" si="105"/>
        <v>281.04488372802729</v>
      </c>
      <c r="N135" s="113">
        <f t="shared" si="100"/>
        <v>351.30610466003412</v>
      </c>
    </row>
    <row r="136" spans="1:14" ht="14.25" customHeight="1">
      <c r="A136" s="5" t="s">
        <v>150</v>
      </c>
      <c r="D136" s="119">
        <v>40.347450000000002</v>
      </c>
      <c r="E136" s="5">
        <v>8.3138330000000007</v>
      </c>
      <c r="F136" s="120">
        <v>6.8300159999999996</v>
      </c>
      <c r="G136" s="113">
        <v>4.7454679999999998</v>
      </c>
      <c r="H136" s="113">
        <f t="shared" ref="H136:M136" si="106">G136*(1+$H$7)</f>
        <v>5.9318349999999995</v>
      </c>
      <c r="I136" s="113">
        <f t="shared" si="106"/>
        <v>7.4147937499999994</v>
      </c>
      <c r="J136" s="113">
        <f t="shared" si="106"/>
        <v>9.2684921874999997</v>
      </c>
      <c r="K136" s="113">
        <f t="shared" si="106"/>
        <v>11.585615234375</v>
      </c>
      <c r="L136" s="113">
        <f t="shared" si="106"/>
        <v>14.48201904296875</v>
      </c>
      <c r="M136" s="113">
        <f t="shared" si="106"/>
        <v>18.102523803710938</v>
      </c>
      <c r="N136" s="113">
        <f t="shared" si="100"/>
        <v>22.628154754638672</v>
      </c>
    </row>
    <row r="137" spans="1:14" ht="14.25" customHeight="1">
      <c r="A137" s="5" t="s">
        <v>118</v>
      </c>
      <c r="D137" s="119">
        <v>1.76416</v>
      </c>
      <c r="E137" s="5">
        <v>52.342810999999998</v>
      </c>
      <c r="F137" s="120">
        <v>52.541116000000002</v>
      </c>
      <c r="G137" s="113">
        <v>50.367027999999998</v>
      </c>
      <c r="H137" s="113">
        <f t="shared" ref="H137:M137" si="107">H171*H177</f>
        <v>8.6791447011449723</v>
      </c>
      <c r="I137" s="113">
        <f t="shared" si="107"/>
        <v>9.2631735358639933</v>
      </c>
      <c r="J137" s="113">
        <f t="shared" si="107"/>
        <v>10.147533017979473</v>
      </c>
      <c r="K137" s="113">
        <f t="shared" si="107"/>
        <v>10.972074424196574</v>
      </c>
      <c r="L137" s="113">
        <f t="shared" si="107"/>
        <v>11.94125011484206</v>
      </c>
      <c r="M137" s="113">
        <f t="shared" si="107"/>
        <v>12.953693181652055</v>
      </c>
      <c r="N137" s="113">
        <f t="shared" ref="N137" si="108">N171*N177</f>
        <v>14.07491639489424</v>
      </c>
    </row>
    <row r="138" spans="1:14" ht="14.25" customHeight="1" thickBot="1">
      <c r="A138" s="89" t="s">
        <v>46</v>
      </c>
      <c r="D138" s="121">
        <v>50.185544</v>
      </c>
      <c r="E138" s="89">
        <v>0.391764</v>
      </c>
      <c r="F138" s="122">
        <v>0.74011899999999997</v>
      </c>
      <c r="G138" s="123">
        <v>1.2213909999999999</v>
      </c>
      <c r="H138" s="123">
        <f t="shared" ref="H138:M138" si="109">G138*(1+$H$7)</f>
        <v>1.5267387499999998</v>
      </c>
      <c r="I138" s="123">
        <f t="shared" si="109"/>
        <v>1.9084234374999998</v>
      </c>
      <c r="J138" s="123">
        <f t="shared" si="109"/>
        <v>2.3855292968749997</v>
      </c>
      <c r="K138" s="123">
        <f t="shared" si="109"/>
        <v>2.9819116210937495</v>
      </c>
      <c r="L138" s="123">
        <f t="shared" si="109"/>
        <v>3.7273895263671868</v>
      </c>
      <c r="M138" s="123">
        <f t="shared" si="109"/>
        <v>4.6592369079589835</v>
      </c>
      <c r="N138" s="123">
        <f t="shared" ref="N138" si="110">M138*(1+$H$7)</f>
        <v>5.8240461349487296</v>
      </c>
    </row>
    <row r="139" spans="1:14" ht="14.25" customHeight="1" thickBot="1">
      <c r="A139" s="107" t="s">
        <v>151</v>
      </c>
      <c r="B139" s="124"/>
      <c r="C139" s="124"/>
      <c r="D139" s="125">
        <v>1126.3446570000001</v>
      </c>
      <c r="E139" s="125">
        <v>1309.6534979999999</v>
      </c>
      <c r="F139" s="125">
        <v>1289.9642180000001</v>
      </c>
      <c r="G139" s="125">
        <f t="shared" ref="G139:N139" si="111">SUM(G121:G138)</f>
        <v>1524.9081359999998</v>
      </c>
      <c r="H139" s="125">
        <f t="shared" si="111"/>
        <v>2098.7667766411441</v>
      </c>
      <c r="I139" s="125">
        <f t="shared" si="111"/>
        <v>2288.7022699151639</v>
      </c>
      <c r="J139" s="125">
        <f t="shared" si="111"/>
        <v>2630.6824655758355</v>
      </c>
      <c r="K139" s="125">
        <f t="shared" si="111"/>
        <v>3036.2335739806185</v>
      </c>
      <c r="L139" s="126">
        <f t="shared" si="111"/>
        <v>3519.4020606177432</v>
      </c>
      <c r="M139" s="126">
        <f t="shared" si="111"/>
        <v>4097.1904002907377</v>
      </c>
      <c r="N139" s="126">
        <f t="shared" si="111"/>
        <v>4790.8259971224934</v>
      </c>
    </row>
    <row r="140" spans="1:14" ht="14.25" customHeight="1" thickBot="1"/>
    <row r="141" spans="1:14" ht="14.25" customHeight="1">
      <c r="A141" s="45" t="s">
        <v>152</v>
      </c>
    </row>
    <row r="142" spans="1:14" ht="14.25" customHeight="1">
      <c r="A142" s="127" t="s">
        <v>153</v>
      </c>
      <c r="G142" s="72"/>
    </row>
    <row r="143" spans="1:14" ht="14.25" customHeight="1">
      <c r="A143" s="5" t="s">
        <v>154</v>
      </c>
      <c r="G143" s="4">
        <f>4252378/1000000</f>
        <v>4.2523780000000002</v>
      </c>
      <c r="H143" s="4">
        <f t="shared" ref="H143:M143" si="112">H145*H146</f>
        <v>55.912399340000007</v>
      </c>
      <c r="I143" s="4">
        <f t="shared" si="112"/>
        <v>86.984901214826976</v>
      </c>
      <c r="J143" s="4">
        <f t="shared" si="112"/>
        <v>28.419789990992427</v>
      </c>
      <c r="K143" s="4">
        <f t="shared" si="112"/>
        <v>104.20509305717995</v>
      </c>
      <c r="L143" s="4">
        <f t="shared" si="112"/>
        <v>210.01142208695958</v>
      </c>
      <c r="M143" s="4">
        <f t="shared" si="112"/>
        <v>339.80917529903837</v>
      </c>
      <c r="N143" s="4">
        <f t="shared" ref="N143" si="113">N145*N146</f>
        <v>506.18718417966431</v>
      </c>
    </row>
    <row r="144" spans="1:14" ht="14.25" customHeight="1">
      <c r="G144" s="72"/>
    </row>
    <row r="145" spans="1:14" ht="14.25" customHeight="1">
      <c r="A145" s="5" t="s">
        <v>155</v>
      </c>
      <c r="G145" s="128">
        <f>399374281/1000000</f>
        <v>399.374281</v>
      </c>
      <c r="H145" s="128">
        <f>BS!G62</f>
        <v>399.374281</v>
      </c>
      <c r="I145" s="128">
        <f>BS!H62</f>
        <v>669.11462472943822</v>
      </c>
      <c r="J145" s="128">
        <f>BS!I62</f>
        <v>236.8315832582702</v>
      </c>
      <c r="K145" s="128">
        <f>BS!J62</f>
        <v>868.37577547649948</v>
      </c>
      <c r="L145" s="128">
        <f>BS!K62</f>
        <v>1750.0951840579964</v>
      </c>
      <c r="M145" s="128">
        <f>BS!L62</f>
        <v>2831.7431274919863</v>
      </c>
      <c r="N145" s="128">
        <f>BS!M62</f>
        <v>4218.2265348305355</v>
      </c>
    </row>
    <row r="146" spans="1:14" ht="14.25" customHeight="1">
      <c r="A146" s="5" t="s">
        <v>156</v>
      </c>
      <c r="G146" s="52">
        <f t="shared" ref="G146:M146" si="114">G4-2%</f>
        <v>0.11750000000000001</v>
      </c>
      <c r="H146" s="52">
        <f t="shared" si="114"/>
        <v>0.14000000000000001</v>
      </c>
      <c r="I146" s="52">
        <f t="shared" si="114"/>
        <v>0.13</v>
      </c>
      <c r="J146" s="52">
        <f t="shared" si="114"/>
        <v>0.12000000000000001</v>
      </c>
      <c r="K146" s="52">
        <f t="shared" si="114"/>
        <v>0.12000000000000001</v>
      </c>
      <c r="L146" s="52">
        <f t="shared" si="114"/>
        <v>0.12000000000000001</v>
      </c>
      <c r="M146" s="52">
        <f t="shared" si="114"/>
        <v>0.12000000000000001</v>
      </c>
      <c r="N146" s="55">
        <f t="shared" ref="N146" si="115">N4-2%</f>
        <v>0.12000000000000001</v>
      </c>
    </row>
    <row r="147" spans="1:14" ht="14.25" customHeight="1">
      <c r="G147" s="72"/>
    </row>
    <row r="148" spans="1:14" ht="14.25" customHeight="1">
      <c r="A148" s="129" t="s">
        <v>157</v>
      </c>
      <c r="H148" s="130"/>
    </row>
    <row r="149" spans="1:14" ht="14.25" customHeight="1">
      <c r="A149" s="131" t="s">
        <v>158</v>
      </c>
      <c r="G149" s="4">
        <v>94.142590999999996</v>
      </c>
      <c r="H149" s="4">
        <v>94.142590999999996</v>
      </c>
      <c r="I149" s="4">
        <v>94.142590999999996</v>
      </c>
      <c r="J149" s="4">
        <v>94.142590999999996</v>
      </c>
      <c r="K149" s="4">
        <v>94.142590999999996</v>
      </c>
      <c r="L149" s="4">
        <v>94.142590999999996</v>
      </c>
      <c r="M149" s="4">
        <v>94.142590999999996</v>
      </c>
      <c r="N149" s="4">
        <v>94.142590999999996</v>
      </c>
    </row>
    <row r="150" spans="1:14" ht="14.25" customHeight="1">
      <c r="A150" s="5" t="s">
        <v>159</v>
      </c>
      <c r="G150" s="4">
        <v>3.0831529999999998</v>
      </c>
      <c r="H150" s="4">
        <v>3.0831529999999998</v>
      </c>
      <c r="I150" s="4">
        <v>3.0831529999999998</v>
      </c>
      <c r="J150" s="4">
        <v>3.0831529999999998</v>
      </c>
      <c r="K150" s="4">
        <v>3.0831529999999998</v>
      </c>
      <c r="L150" s="4">
        <v>3.0831529999999998</v>
      </c>
      <c r="M150" s="4">
        <v>3.0831529999999998</v>
      </c>
      <c r="N150" s="4">
        <v>3.0831529999999998</v>
      </c>
    </row>
    <row r="151" spans="1:14" ht="14.25" customHeight="1">
      <c r="A151" s="5" t="s">
        <v>160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</row>
    <row r="152" spans="1:14" ht="14.25" customHeight="1" thickBot="1">
      <c r="A152" s="89" t="s">
        <v>161</v>
      </c>
      <c r="G152" s="91">
        <v>11.440829000000001</v>
      </c>
      <c r="H152" s="132">
        <f t="shared" ref="H152:M152" si="116">G152*(1+5%)</f>
        <v>12.012870450000001</v>
      </c>
      <c r="I152" s="132">
        <f t="shared" si="116"/>
        <v>12.613513972500002</v>
      </c>
      <c r="J152" s="132">
        <f t="shared" si="116"/>
        <v>13.244189671125003</v>
      </c>
      <c r="K152" s="132">
        <f t="shared" si="116"/>
        <v>13.906399154681253</v>
      </c>
      <c r="L152" s="132">
        <f t="shared" si="116"/>
        <v>14.601719112415317</v>
      </c>
      <c r="M152" s="132">
        <f t="shared" si="116"/>
        <v>15.331805068036084</v>
      </c>
      <c r="N152" s="132">
        <f t="shared" ref="N152" si="117">M152*(1+5%)</f>
        <v>16.098395321437888</v>
      </c>
    </row>
    <row r="153" spans="1:14" ht="14.25" customHeight="1" thickBot="1">
      <c r="A153" s="133" t="s">
        <v>162</v>
      </c>
      <c r="B153" s="104"/>
      <c r="C153" s="104"/>
      <c r="D153" s="104"/>
      <c r="E153" s="104"/>
      <c r="F153" s="104"/>
      <c r="G153" s="104">
        <f t="shared" ref="G153:N153" si="118">SUM(G149:G152,G143)</f>
        <v>112.91895099999999</v>
      </c>
      <c r="H153" s="104">
        <f t="shared" si="118"/>
        <v>165.15101379000001</v>
      </c>
      <c r="I153" s="104">
        <f t="shared" si="118"/>
        <v>196.82415918732698</v>
      </c>
      <c r="J153" s="104">
        <f t="shared" si="118"/>
        <v>138.88972366211743</v>
      </c>
      <c r="K153" s="104">
        <f t="shared" si="118"/>
        <v>215.33723621186118</v>
      </c>
      <c r="L153" s="109">
        <f t="shared" si="118"/>
        <v>321.83888519937489</v>
      </c>
      <c r="M153" s="109">
        <f t="shared" si="118"/>
        <v>452.36672436707443</v>
      </c>
      <c r="N153" s="109">
        <f t="shared" si="118"/>
        <v>619.5113235011022</v>
      </c>
    </row>
    <row r="154" spans="1:14" ht="14.25" customHeight="1"/>
    <row r="155" spans="1:14" ht="14.25" customHeight="1"/>
    <row r="156" spans="1:14" ht="14.25" customHeight="1">
      <c r="A156" s="45" t="s">
        <v>163</v>
      </c>
    </row>
    <row r="157" spans="1:14" ht="14.25" customHeight="1">
      <c r="A157" s="110" t="s">
        <v>164</v>
      </c>
      <c r="D157" s="65">
        <f>BS!D55/-FS!D4*365</f>
        <v>154.08227090825707</v>
      </c>
      <c r="E157" s="65">
        <f>BS!E55/-FS!E4*365</f>
        <v>136.3298636916121</v>
      </c>
      <c r="F157" s="65">
        <f>BS!F55/-FS!F4*365</f>
        <v>210.67772372166246</v>
      </c>
      <c r="G157" s="65">
        <f>BS!G55/-FS!G4*365</f>
        <v>148.74989365383357</v>
      </c>
      <c r="H157" s="65">
        <f t="shared" ref="H157:N157" si="119">AVERAGE($F$157:$G$157)</f>
        <v>179.71380868774801</v>
      </c>
      <c r="I157" s="65">
        <f t="shared" si="119"/>
        <v>179.71380868774801</v>
      </c>
      <c r="J157" s="65">
        <f t="shared" si="119"/>
        <v>179.71380868774801</v>
      </c>
      <c r="K157" s="65">
        <f t="shared" si="119"/>
        <v>179.71380868774801</v>
      </c>
      <c r="L157" s="65">
        <f t="shared" si="119"/>
        <v>179.71380868774801</v>
      </c>
      <c r="M157" s="65">
        <f t="shared" si="119"/>
        <v>179.71380868774801</v>
      </c>
      <c r="N157" s="65">
        <f t="shared" si="119"/>
        <v>179.71380868774801</v>
      </c>
    </row>
    <row r="158" spans="1:14" ht="14.25" customHeight="1">
      <c r="A158" s="5" t="s">
        <v>165</v>
      </c>
      <c r="D158" s="4">
        <f>BS!D56/FS!D3*365</f>
        <v>43.905913262944125</v>
      </c>
      <c r="E158" s="4">
        <f>BS!E56/FS!E3*365</f>
        <v>62.523136845105746</v>
      </c>
      <c r="F158" s="4">
        <f>BS!F56/FS!F3*365</f>
        <v>69.387187148020587</v>
      </c>
      <c r="G158" s="4">
        <f>BS!G56/FS!G3*365</f>
        <v>68.167035841726047</v>
      </c>
      <c r="H158" s="4">
        <f t="shared" ref="H158:N158" si="120">AVERAGE($F$158:$G$158)</f>
        <v>68.77711149487331</v>
      </c>
      <c r="I158" s="4">
        <f t="shared" si="120"/>
        <v>68.77711149487331</v>
      </c>
      <c r="J158" s="4">
        <f t="shared" si="120"/>
        <v>68.77711149487331</v>
      </c>
      <c r="K158" s="4">
        <f t="shared" si="120"/>
        <v>68.77711149487331</v>
      </c>
      <c r="L158" s="4">
        <f t="shared" si="120"/>
        <v>68.77711149487331</v>
      </c>
      <c r="M158" s="4">
        <f t="shared" si="120"/>
        <v>68.77711149487331</v>
      </c>
      <c r="N158" s="4">
        <f t="shared" si="120"/>
        <v>68.77711149487331</v>
      </c>
    </row>
    <row r="159" spans="1:14" ht="14.25" customHeight="1">
      <c r="A159" s="5" t="s">
        <v>166</v>
      </c>
      <c r="D159" s="4">
        <f>BS!D89/-FS!D4*365</f>
        <v>100.12451980672282</v>
      </c>
      <c r="E159" s="4">
        <f>BS!E89/-FS!E4*365</f>
        <v>113.71946689172758</v>
      </c>
      <c r="F159" s="4">
        <f>BS!F89/-FS!F4*365</f>
        <v>154.310629031801</v>
      </c>
      <c r="G159" s="4">
        <f>BS!G89/-FS!G4*365</f>
        <v>154.79327357144118</v>
      </c>
      <c r="H159" s="4">
        <f t="shared" ref="H159:N159" si="121">AVERAGE($F$159:$G$159)</f>
        <v>154.5519513016211</v>
      </c>
      <c r="I159" s="4">
        <f t="shared" si="121"/>
        <v>154.5519513016211</v>
      </c>
      <c r="J159" s="4">
        <f t="shared" si="121"/>
        <v>154.5519513016211</v>
      </c>
      <c r="K159" s="4">
        <f t="shared" si="121"/>
        <v>154.5519513016211</v>
      </c>
      <c r="L159" s="4">
        <f t="shared" si="121"/>
        <v>154.5519513016211</v>
      </c>
      <c r="M159" s="4">
        <f t="shared" si="121"/>
        <v>154.5519513016211</v>
      </c>
      <c r="N159" s="4">
        <f t="shared" si="121"/>
        <v>154.5519513016211</v>
      </c>
    </row>
    <row r="160" spans="1:14" ht="14.25" customHeight="1">
      <c r="A160" s="5" t="s">
        <v>167</v>
      </c>
      <c r="D160" s="4">
        <f>BS!D54/-FS!D4*365</f>
        <v>5.8379147645994243</v>
      </c>
      <c r="E160" s="4">
        <f>BS!E54/-FS!E4*365</f>
        <v>2.4308214395436654</v>
      </c>
      <c r="F160" s="4">
        <f>BS!F54/-FS!F4*365</f>
        <v>3.4928581911209067</v>
      </c>
      <c r="G160" s="4">
        <f>BS!G54/-FS!G4*365</f>
        <v>3.9487331984945753</v>
      </c>
      <c r="H160" s="4">
        <f t="shared" ref="H160:N160" si="122">AVERAGE($F$160:$G$160)</f>
        <v>3.720795694807741</v>
      </c>
      <c r="I160" s="4">
        <f t="shared" si="122"/>
        <v>3.720795694807741</v>
      </c>
      <c r="J160" s="4">
        <f t="shared" si="122"/>
        <v>3.720795694807741</v>
      </c>
      <c r="K160" s="4">
        <f t="shared" si="122"/>
        <v>3.720795694807741</v>
      </c>
      <c r="L160" s="4">
        <f t="shared" si="122"/>
        <v>3.720795694807741</v>
      </c>
      <c r="M160" s="4">
        <f t="shared" si="122"/>
        <v>3.720795694807741</v>
      </c>
      <c r="N160" s="4">
        <f t="shared" si="122"/>
        <v>3.720795694807741</v>
      </c>
    </row>
    <row r="161" spans="1:14" ht="14.25" customHeight="1"/>
    <row r="162" spans="1:14" ht="14.25" customHeight="1">
      <c r="A162" s="5" t="s">
        <v>42</v>
      </c>
      <c r="D162" s="65">
        <f>FS!D4</f>
        <v>-2889.6684749999999</v>
      </c>
      <c r="E162" s="65">
        <f>FS!E4</f>
        <v>-3134.9546169999999</v>
      </c>
      <c r="F162" s="65">
        <f>FS!F4</f>
        <v>-3176</v>
      </c>
      <c r="G162" s="65">
        <f>FS!G4</f>
        <v>-4146.7879360000006</v>
      </c>
      <c r="H162" s="65">
        <f>FS!H4</f>
        <v>-4389.9702105729857</v>
      </c>
      <c r="I162" s="65">
        <f>FS!I4</f>
        <v>-5163.6836869606032</v>
      </c>
      <c r="J162" s="65">
        <f>FS!J4</f>
        <v>-5774.3000684686713</v>
      </c>
      <c r="K162" s="65">
        <f>FS!K4</f>
        <v>-6387.1452735813236</v>
      </c>
      <c r="L162" s="65">
        <f>FS!L4</f>
        <v>-7079.1912458312236</v>
      </c>
      <c r="M162" s="65">
        <f>FS!M4</f>
        <v>-7592.3484387505887</v>
      </c>
      <c r="N162" s="65">
        <f>FS!N4</f>
        <v>-8186.257833723781</v>
      </c>
    </row>
    <row r="163" spans="1:14" ht="14.25" customHeight="1">
      <c r="A163" s="5" t="s">
        <v>41</v>
      </c>
      <c r="D163" s="134">
        <f>FS!D3</f>
        <v>4459.3232280000002</v>
      </c>
      <c r="E163" s="134">
        <f>FS!E3</f>
        <v>5180.8035819999996</v>
      </c>
      <c r="F163" s="134">
        <f>FS!F3</f>
        <v>5401.7316449999989</v>
      </c>
      <c r="G163" s="134">
        <f>FS!G3</f>
        <v>7033.6215859999993</v>
      </c>
      <c r="H163" s="134">
        <f>FS!H3</f>
        <v>7806.4447063760617</v>
      </c>
      <c r="I163" s="134">
        <f>FS!I3</f>
        <v>8955.7982652241189</v>
      </c>
      <c r="J163" s="134">
        <f>FS!J3</f>
        <v>11925.697157921462</v>
      </c>
      <c r="K163" s="134">
        <f>FS!K3</f>
        <v>13827.884161353661</v>
      </c>
      <c r="L163" s="134">
        <f>FS!L3</f>
        <v>15892.674652515943</v>
      </c>
      <c r="M163" s="134">
        <f>FS!M3</f>
        <v>18266.160130796448</v>
      </c>
      <c r="N163" s="134">
        <f>FS!N3</f>
        <v>20994.537560692916</v>
      </c>
    </row>
    <row r="164" spans="1:14" ht="14.25" customHeight="1"/>
    <row r="165" spans="1:14" ht="14.25" customHeight="1">
      <c r="A165" s="5" t="s">
        <v>168</v>
      </c>
      <c r="D165" s="65">
        <f t="shared" ref="D165:M165" si="123">D157*-D162/365</f>
        <v>1219.8539200000002</v>
      </c>
      <c r="E165" s="65">
        <f t="shared" si="123"/>
        <v>1170.925851</v>
      </c>
      <c r="F165" s="65">
        <f t="shared" si="123"/>
        <v>1833.184796</v>
      </c>
      <c r="G165" s="65">
        <f t="shared" si="123"/>
        <v>1689.956889</v>
      </c>
      <c r="H165" s="65">
        <f t="shared" si="123"/>
        <v>2161.4747029255518</v>
      </c>
      <c r="I165" s="65">
        <f t="shared" si="123"/>
        <v>2542.4253760068032</v>
      </c>
      <c r="J165" s="65">
        <f t="shared" si="123"/>
        <v>2843.0724871518605</v>
      </c>
      <c r="K165" s="65">
        <f t="shared" si="123"/>
        <v>3144.8169965951997</v>
      </c>
      <c r="L165" s="65">
        <f t="shared" si="123"/>
        <v>3485.5573184035425</v>
      </c>
      <c r="M165" s="65">
        <f t="shared" si="123"/>
        <v>3738.2187803077964</v>
      </c>
      <c r="N165" s="65">
        <f t="shared" ref="N165" si="124">N157*-N162/365</f>
        <v>4030.6399293107238</v>
      </c>
    </row>
    <row r="166" spans="1:14" ht="14.25" customHeight="1">
      <c r="A166" s="5" t="s">
        <v>169</v>
      </c>
      <c r="D166" s="65">
        <f t="shared" ref="D166:M166" si="125">D158*D163/365</f>
        <v>536.41276400000004</v>
      </c>
      <c r="E166" s="65">
        <f t="shared" si="125"/>
        <v>887.45230499999991</v>
      </c>
      <c r="F166" s="65">
        <f t="shared" si="125"/>
        <v>1026.879355</v>
      </c>
      <c r="G166" s="65">
        <f t="shared" si="125"/>
        <v>1313.5921499999999</v>
      </c>
      <c r="H166" s="65">
        <f t="shared" si="125"/>
        <v>1470.9718299972328</v>
      </c>
      <c r="I166" s="65">
        <f t="shared" si="125"/>
        <v>1687.5450296244169</v>
      </c>
      <c r="J166" s="65">
        <f t="shared" si="125"/>
        <v>2247.1643920122142</v>
      </c>
      <c r="K166" s="65">
        <f t="shared" si="125"/>
        <v>2605.5943306948316</v>
      </c>
      <c r="L166" s="65">
        <f t="shared" si="125"/>
        <v>2994.663716514619</v>
      </c>
      <c r="M166" s="65">
        <f t="shared" si="125"/>
        <v>3441.9006353397176</v>
      </c>
      <c r="N166" s="65">
        <f t="shared" ref="N166" si="126">N158*N163/365</f>
        <v>3956.0100016303622</v>
      </c>
    </row>
    <row r="167" spans="1:14" ht="14.25" customHeight="1">
      <c r="A167" s="5" t="s">
        <v>170</v>
      </c>
      <c r="D167" s="65">
        <f t="shared" ref="D167:M167" si="127">D159*-D162/365</f>
        <v>792.67580400000008</v>
      </c>
      <c r="E167" s="65">
        <f t="shared" si="127"/>
        <v>976.727035</v>
      </c>
      <c r="F167" s="65">
        <f t="shared" si="127"/>
        <v>1342.713857</v>
      </c>
      <c r="G167" s="65">
        <f t="shared" si="127"/>
        <v>1758.6161079999999</v>
      </c>
      <c r="H167" s="65">
        <f t="shared" si="127"/>
        <v>1858.845101917927</v>
      </c>
      <c r="I167" s="65">
        <f t="shared" si="127"/>
        <v>2186.4586019838644</v>
      </c>
      <c r="J167" s="65">
        <f t="shared" si="127"/>
        <v>2445.0118985833356</v>
      </c>
      <c r="K167" s="65">
        <f t="shared" si="127"/>
        <v>2704.5089459696442</v>
      </c>
      <c r="L167" s="65">
        <f t="shared" si="127"/>
        <v>2997.541974467314</v>
      </c>
      <c r="M167" s="65">
        <f t="shared" si="127"/>
        <v>3214.8281264951238</v>
      </c>
      <c r="N167" s="65">
        <f t="shared" ref="N167" si="128">N159*-N162/365</f>
        <v>3466.3071837265534</v>
      </c>
    </row>
    <row r="168" spans="1:14" ht="14.25" customHeight="1">
      <c r="A168" s="5" t="s">
        <v>171</v>
      </c>
      <c r="D168" s="4">
        <f t="shared" ref="D168:M168" si="129">D160*-D162/365</f>
        <v>46.218187000000007</v>
      </c>
      <c r="E168" s="4">
        <f t="shared" si="129"/>
        <v>20.878122999999999</v>
      </c>
      <c r="F168" s="4">
        <f t="shared" si="129"/>
        <v>30.392651000000001</v>
      </c>
      <c r="G168" s="4">
        <f t="shared" si="129"/>
        <v>44.861806000000001</v>
      </c>
      <c r="H168" s="4">
        <f t="shared" si="129"/>
        <v>44.751184273518348</v>
      </c>
      <c r="I168" s="4">
        <f t="shared" si="129"/>
        <v>52.63838912819719</v>
      </c>
      <c r="J168" s="4">
        <f t="shared" si="129"/>
        <v>58.862988589825413</v>
      </c>
      <c r="K168" s="4">
        <f t="shared" si="129"/>
        <v>65.110308591926028</v>
      </c>
      <c r="L168" s="4">
        <f t="shared" si="129"/>
        <v>72.164998110162912</v>
      </c>
      <c r="M168" s="4">
        <f t="shared" si="129"/>
        <v>77.396102422968397</v>
      </c>
      <c r="N168" s="4">
        <f t="shared" ref="N168" si="130">N160*-N162/365</f>
        <v>83.450391518645446</v>
      </c>
    </row>
    <row r="169" spans="1:14" ht="14.25" customHeight="1"/>
    <row r="170" spans="1:14" ht="14.25" customHeight="1"/>
    <row r="171" spans="1:14" ht="14.25" customHeight="1">
      <c r="A171" s="5" t="s">
        <v>172</v>
      </c>
      <c r="D171" s="4">
        <f t="shared" ref="D171:F171" si="131">D80+D113+D137</f>
        <v>207.75502299999999</v>
      </c>
      <c r="E171" s="4">
        <f t="shared" si="131"/>
        <v>285.49510500000002</v>
      </c>
      <c r="F171" s="4">
        <f t="shared" si="131"/>
        <v>325.56093199999998</v>
      </c>
      <c r="G171" s="128">
        <f>BS!G18</f>
        <v>316.27826499999998</v>
      </c>
      <c r="H171" s="128">
        <f>BS!H18</f>
        <v>54.500432857822688</v>
      </c>
      <c r="I171" s="128">
        <f>BS!I18</f>
        <v>58.167824679212337</v>
      </c>
      <c r="J171" s="128">
        <f>BS!J18</f>
        <v>63.721133932237599</v>
      </c>
      <c r="K171" s="128">
        <f>BS!K18</f>
        <v>68.898817344072128</v>
      </c>
      <c r="L171" s="128">
        <f>BS!L18</f>
        <v>74.984727473959694</v>
      </c>
      <c r="M171" s="128">
        <f>BS!M18</f>
        <v>81.342333814797286</v>
      </c>
      <c r="N171" s="128">
        <f>BS!N18</f>
        <v>88.383021872904735</v>
      </c>
    </row>
    <row r="172" spans="1:14" ht="14.25" customHeight="1">
      <c r="A172" s="5" t="s">
        <v>173</v>
      </c>
      <c r="D172" s="111">
        <f t="shared" ref="D172:F172" si="132">D114</f>
        <v>2.0443419999999999</v>
      </c>
      <c r="E172" s="5">
        <f t="shared" si="132"/>
        <v>1.285093</v>
      </c>
      <c r="F172" s="5">
        <f t="shared" si="132"/>
        <v>0.58804400000000001</v>
      </c>
      <c r="G172" s="135">
        <f>BS!G41</f>
        <v>0.420879</v>
      </c>
      <c r="H172" s="135">
        <f>BS!H41</f>
        <v>0.4946342985769332</v>
      </c>
      <c r="I172" s="135">
        <f>BS!I41</f>
        <v>0.51327031773468768</v>
      </c>
      <c r="J172" s="135">
        <f>BS!J41</f>
        <v>0.53260847423117375</v>
      </c>
      <c r="K172" s="135">
        <f>BS!K41</f>
        <v>0.55267522204447916</v>
      </c>
      <c r="L172" s="135">
        <f>BS!L41</f>
        <v>0.5734980118422538</v>
      </c>
      <c r="M172" s="135">
        <f>BS!M41</f>
        <v>0.59510532853334253</v>
      </c>
      <c r="N172" s="135">
        <f>BS!N41</f>
        <v>0.61752673023422799</v>
      </c>
    </row>
    <row r="173" spans="1:14" ht="14.25" customHeight="1">
      <c r="G173" s="136"/>
      <c r="H173" s="136"/>
      <c r="I173" s="136"/>
      <c r="J173" s="136"/>
      <c r="K173" s="136"/>
      <c r="L173" s="136"/>
      <c r="M173" s="136"/>
      <c r="N173" s="136"/>
    </row>
    <row r="174" spans="1:14" ht="14.25" customHeight="1">
      <c r="A174" t="s">
        <v>174</v>
      </c>
      <c r="G174" s="136"/>
      <c r="H174" s="136"/>
      <c r="I174" s="136"/>
      <c r="J174" s="136"/>
      <c r="K174" s="136"/>
      <c r="L174" s="136"/>
      <c r="M174" s="136"/>
      <c r="N174" s="136"/>
    </row>
    <row r="175" spans="1:14" ht="14.25" customHeight="1">
      <c r="A175" t="s">
        <v>175</v>
      </c>
      <c r="G175" s="136"/>
      <c r="H175" s="136"/>
      <c r="I175" s="136"/>
      <c r="J175" s="136"/>
      <c r="K175" s="136"/>
      <c r="L175" s="136"/>
      <c r="M175" s="136"/>
      <c r="N175" s="136"/>
    </row>
    <row r="176" spans="1:14" ht="14.25" customHeight="1">
      <c r="A176" t="s">
        <v>42</v>
      </c>
      <c r="G176" s="52">
        <f>G80/G171</f>
        <v>0.69747211051635183</v>
      </c>
      <c r="H176" s="52">
        <f t="shared" ref="H176:M176" si="133">G176</f>
        <v>0.69747211051635183</v>
      </c>
      <c r="I176" s="52">
        <f t="shared" si="133"/>
        <v>0.69747211051635183</v>
      </c>
      <c r="J176" s="52">
        <f t="shared" si="133"/>
        <v>0.69747211051635183</v>
      </c>
      <c r="K176" s="52">
        <f t="shared" si="133"/>
        <v>0.69747211051635183</v>
      </c>
      <c r="L176" s="52">
        <f t="shared" si="133"/>
        <v>0.69747211051635183</v>
      </c>
      <c r="M176" s="52">
        <f t="shared" si="133"/>
        <v>0.69747211051635183</v>
      </c>
      <c r="N176" s="55">
        <f t="shared" ref="N176:N178" si="134">M176</f>
        <v>0.69747211051635183</v>
      </c>
    </row>
    <row r="177" spans="1:14" ht="14.25" customHeight="1">
      <c r="A177" t="s">
        <v>45</v>
      </c>
      <c r="G177" s="52">
        <f>G137/G171</f>
        <v>0.15924909667757284</v>
      </c>
      <c r="H177" s="52">
        <f t="shared" ref="H177:M177" si="135">G177</f>
        <v>0.15924909667757284</v>
      </c>
      <c r="I177" s="52">
        <f t="shared" si="135"/>
        <v>0.15924909667757284</v>
      </c>
      <c r="J177" s="52">
        <f t="shared" si="135"/>
        <v>0.15924909667757284</v>
      </c>
      <c r="K177" s="52">
        <f t="shared" si="135"/>
        <v>0.15924909667757284</v>
      </c>
      <c r="L177" s="52">
        <f t="shared" si="135"/>
        <v>0.15924909667757284</v>
      </c>
      <c r="M177" s="52">
        <f t="shared" si="135"/>
        <v>0.15924909667757284</v>
      </c>
      <c r="N177" s="55">
        <f t="shared" si="134"/>
        <v>0.15924909667757284</v>
      </c>
    </row>
    <row r="178" spans="1:14" ht="14.25" customHeight="1">
      <c r="A178" t="s">
        <v>176</v>
      </c>
      <c r="G178" s="52">
        <f>G113/G171</f>
        <v>0.14327879280607539</v>
      </c>
      <c r="H178" s="52">
        <f t="shared" ref="H178:M178" si="136">G178</f>
        <v>0.14327879280607539</v>
      </c>
      <c r="I178" s="52">
        <f t="shared" si="136"/>
        <v>0.14327879280607539</v>
      </c>
      <c r="J178" s="52">
        <f t="shared" si="136"/>
        <v>0.14327879280607539</v>
      </c>
      <c r="K178" s="52">
        <f t="shared" si="136"/>
        <v>0.14327879280607539</v>
      </c>
      <c r="L178" s="52">
        <f t="shared" si="136"/>
        <v>0.14327879280607539</v>
      </c>
      <c r="M178" s="52">
        <f t="shared" si="136"/>
        <v>0.14327879280607539</v>
      </c>
      <c r="N178" s="55">
        <f t="shared" si="134"/>
        <v>0.14327879280607539</v>
      </c>
    </row>
    <row r="179" spans="1:14" ht="14.25" customHeight="1">
      <c r="G179" s="137"/>
      <c r="H179" s="136"/>
      <c r="I179" s="136"/>
      <c r="J179" s="136"/>
      <c r="K179" s="136"/>
      <c r="L179" s="136"/>
      <c r="M179" s="136"/>
    </row>
    <row r="180" spans="1:14" ht="14.25" customHeight="1">
      <c r="A180" t="s">
        <v>174</v>
      </c>
      <c r="G180" s="137"/>
      <c r="H180" s="136"/>
      <c r="I180" s="136"/>
      <c r="J180" s="136"/>
      <c r="K180" s="136"/>
      <c r="L180" s="136"/>
      <c r="M180" s="136"/>
    </row>
    <row r="181" spans="1:14" ht="14.25" customHeight="1">
      <c r="A181" t="s">
        <v>177</v>
      </c>
      <c r="G181" s="137"/>
      <c r="H181" s="136"/>
      <c r="I181" s="136"/>
      <c r="J181" s="136"/>
      <c r="K181" s="136"/>
      <c r="L181" s="136"/>
      <c r="M181" s="136"/>
    </row>
    <row r="182" spans="1:14" ht="14.25" customHeight="1">
      <c r="A182" t="s">
        <v>42</v>
      </c>
      <c r="G182" s="137"/>
      <c r="H182" s="136"/>
      <c r="I182" s="136"/>
      <c r="J182" s="136"/>
      <c r="K182" s="136"/>
      <c r="L182" s="136"/>
      <c r="M182" s="136"/>
    </row>
    <row r="183" spans="1:14" ht="14.25" customHeight="1">
      <c r="A183" t="s">
        <v>45</v>
      </c>
      <c r="G183" s="136"/>
      <c r="H183" s="136"/>
      <c r="I183" s="136"/>
      <c r="J183" s="136"/>
      <c r="K183" s="136"/>
      <c r="L183" s="136"/>
      <c r="M183" s="136"/>
    </row>
    <row r="184" spans="1:14" ht="14.25" customHeight="1">
      <c r="A184" t="s">
        <v>176</v>
      </c>
    </row>
    <row r="185" spans="1:14" ht="14.25" customHeight="1">
      <c r="A185" s="138" t="s">
        <v>178</v>
      </c>
    </row>
    <row r="186" spans="1:14" ht="14.25" customHeight="1"/>
    <row r="187" spans="1:14" ht="14.25" customHeight="1">
      <c r="A187" s="5" t="s">
        <v>179</v>
      </c>
      <c r="F187" s="128">
        <v>36.788808000000003</v>
      </c>
      <c r="G187" s="139" t="s">
        <v>139</v>
      </c>
      <c r="H187" s="128">
        <f t="shared" ref="H187:M187" si="137">AVERAGE(F187:G187)</f>
        <v>36.788808000000003</v>
      </c>
      <c r="I187" s="128">
        <f t="shared" si="137"/>
        <v>36.788808000000003</v>
      </c>
      <c r="J187" s="128">
        <f t="shared" si="137"/>
        <v>36.788808000000003</v>
      </c>
      <c r="K187" s="128">
        <f t="shared" si="137"/>
        <v>36.788808000000003</v>
      </c>
      <c r="L187" s="128">
        <f t="shared" si="137"/>
        <v>36.788808000000003</v>
      </c>
      <c r="M187" s="128">
        <f t="shared" si="137"/>
        <v>36.788808000000003</v>
      </c>
      <c r="N187" s="128">
        <f t="shared" ref="N187" si="138">AVERAGE(L187:M187)</f>
        <v>36.788808000000003</v>
      </c>
    </row>
    <row r="188" spans="1:14" ht="14.25" customHeight="1">
      <c r="A188" s="5" t="s">
        <v>180</v>
      </c>
      <c r="F188" s="128">
        <v>6.1347519999999998</v>
      </c>
      <c r="G188" s="128">
        <v>10.697660000000001</v>
      </c>
      <c r="H188" s="128">
        <f t="shared" ref="H188:M188" si="139">G188*(1+H7)</f>
        <v>13.372075000000001</v>
      </c>
      <c r="I188" s="128">
        <f t="shared" si="139"/>
        <v>16.046489999999999</v>
      </c>
      <c r="J188" s="128">
        <f t="shared" si="139"/>
        <v>17.330209199999999</v>
      </c>
      <c r="K188" s="128">
        <f t="shared" si="139"/>
        <v>18.716625936</v>
      </c>
      <c r="L188" s="128">
        <f t="shared" si="139"/>
        <v>20.21395601088</v>
      </c>
      <c r="M188" s="128">
        <f t="shared" si="139"/>
        <v>21.831072491750401</v>
      </c>
      <c r="N188" s="128">
        <f t="shared" ref="N188" si="140">M188*(1+N7)</f>
        <v>23.577558291090433</v>
      </c>
    </row>
    <row r="189" spans="1:14" ht="14.25" customHeight="1">
      <c r="A189" s="5" t="s">
        <v>181</v>
      </c>
      <c r="F189" s="128">
        <v>5.1961750000000002</v>
      </c>
      <c r="G189" s="128">
        <v>4.8175780000000001</v>
      </c>
      <c r="H189" s="128">
        <f t="shared" ref="H189:M189" si="141">G189*(1+H9)</f>
        <v>5.5402146999999999</v>
      </c>
      <c r="I189" s="128">
        <f t="shared" si="141"/>
        <v>6.3712469049999996</v>
      </c>
      <c r="J189" s="128">
        <f t="shared" si="141"/>
        <v>7.3269339407499992</v>
      </c>
      <c r="K189" s="128">
        <f t="shared" si="141"/>
        <v>8.4259740318624985</v>
      </c>
      <c r="L189" s="128">
        <f t="shared" si="141"/>
        <v>9.689870136641872</v>
      </c>
      <c r="M189" s="128">
        <f t="shared" si="141"/>
        <v>11.143350657138152</v>
      </c>
      <c r="N189" s="128">
        <f t="shared" ref="N189" si="142">M189*(1+N9)</f>
        <v>12.814853255708874</v>
      </c>
    </row>
    <row r="190" spans="1:14" ht="14.25" customHeight="1" thickBot="1">
      <c r="F190" s="140">
        <v>89.734106999999995</v>
      </c>
      <c r="G190" s="140">
        <v>88.898655000000005</v>
      </c>
      <c r="H190" s="140"/>
      <c r="I190" s="140"/>
      <c r="J190" s="140"/>
      <c r="K190" s="140"/>
      <c r="L190" s="140"/>
      <c r="M190" s="140"/>
      <c r="N190" s="140"/>
    </row>
    <row r="191" spans="1:14" ht="14.25" customHeight="1" thickTop="1" thickBot="1">
      <c r="F191" s="141"/>
      <c r="G191" s="141"/>
      <c r="H191" s="141"/>
      <c r="I191" s="141"/>
      <c r="J191" s="141"/>
      <c r="K191" s="141"/>
      <c r="L191" s="141"/>
      <c r="M191" s="141"/>
    </row>
    <row r="192" spans="1:14" ht="14.25" customHeight="1" thickBot="1">
      <c r="A192" s="45" t="s">
        <v>182</v>
      </c>
      <c r="F192" s="141"/>
      <c r="G192" s="141"/>
      <c r="H192" s="141">
        <f t="shared" ref="H192:M192" si="143">H193+H194+H195+H196</f>
        <v>1022.8138933242776</v>
      </c>
      <c r="I192" s="141">
        <f t="shared" si="143"/>
        <v>1131.9851938089864</v>
      </c>
      <c r="J192" s="141">
        <f t="shared" si="143"/>
        <v>2986.4838528917921</v>
      </c>
      <c r="K192" s="141">
        <f t="shared" si="143"/>
        <v>3789.0082413334262</v>
      </c>
      <c r="L192" s="141">
        <f t="shared" si="143"/>
        <v>4532.9160379033601</v>
      </c>
      <c r="M192" s="141">
        <f t="shared" si="143"/>
        <v>5523.4075730295253</v>
      </c>
      <c r="N192" s="141">
        <f t="shared" ref="N192" si="144">N193+N194+N195+N196</f>
        <v>6396.4152941420998</v>
      </c>
    </row>
    <row r="193" spans="1:14" ht="14.25" customHeight="1">
      <c r="A193" t="s">
        <v>183</v>
      </c>
      <c r="F193" s="141"/>
      <c r="G193" s="141"/>
      <c r="H193" s="141">
        <f>FS!H5</f>
        <v>3416.474495803076</v>
      </c>
      <c r="I193" s="141">
        <f>FS!I5</f>
        <v>3792.1145782635158</v>
      </c>
      <c r="J193" s="141">
        <f>FS!J5</f>
        <v>6151.3970894527911</v>
      </c>
      <c r="K193" s="141">
        <f>FS!K5</f>
        <v>7440.738887772337</v>
      </c>
      <c r="L193" s="141">
        <f>FS!L5</f>
        <v>8813.4834066847197</v>
      </c>
      <c r="M193" s="141">
        <f>FS!M5</f>
        <v>10673.81169204586</v>
      </c>
      <c r="N193" s="141">
        <f>FS!N5</f>
        <v>12808.279726969135</v>
      </c>
    </row>
    <row r="194" spans="1:14" ht="14.25" customHeight="1">
      <c r="A194" s="142" t="s">
        <v>184</v>
      </c>
      <c r="F194" s="141"/>
      <c r="G194" s="141"/>
      <c r="H194" s="141">
        <f>FS!H6</f>
        <v>-460.04483962765448</v>
      </c>
      <c r="I194" s="141">
        <f>FS!I6</f>
        <v>-568.25127372669272</v>
      </c>
      <c r="J194" s="141">
        <f>FS!J6</f>
        <v>-673.12049464728068</v>
      </c>
      <c r="K194" s="141">
        <f>FS!K6</f>
        <v>-830.83430867015363</v>
      </c>
      <c r="L194" s="141">
        <f>FS!L6</f>
        <v>-1083.0041933629921</v>
      </c>
      <c r="M194" s="141">
        <f>FS!M6</f>
        <v>-1505.5804430926705</v>
      </c>
      <c r="N194" s="141">
        <f>FS!N6</f>
        <v>-2240.5497592056427</v>
      </c>
    </row>
    <row r="195" spans="1:14" ht="14.25" customHeight="1">
      <c r="A195" s="142" t="s">
        <v>185</v>
      </c>
      <c r="F195" s="141"/>
      <c r="G195" s="141"/>
      <c r="H195" s="141">
        <f>FS!H7</f>
        <v>-2098.7667766411441</v>
      </c>
      <c r="I195" s="141">
        <f>FS!I7</f>
        <v>-2288.7022699151639</v>
      </c>
      <c r="J195" s="141">
        <f>FS!J7</f>
        <v>-2630.6824655758355</v>
      </c>
      <c r="K195" s="141">
        <f>FS!K7</f>
        <v>-3036.2335739806185</v>
      </c>
      <c r="L195" s="141">
        <f>FS!L7</f>
        <v>-3519.4020606177432</v>
      </c>
      <c r="M195" s="141">
        <f>FS!M7</f>
        <v>-4097.1904002907377</v>
      </c>
      <c r="N195" s="141">
        <f>FS!N7</f>
        <v>-4790.8259971224934</v>
      </c>
    </row>
    <row r="196" spans="1:14" ht="14.25" customHeight="1">
      <c r="A196" s="142" t="s">
        <v>186</v>
      </c>
      <c r="H196" s="141">
        <f t="shared" ref="H196:M196" si="145">H153</f>
        <v>165.15101379000001</v>
      </c>
      <c r="I196" s="141">
        <f t="shared" si="145"/>
        <v>196.82415918732698</v>
      </c>
      <c r="J196" s="141">
        <f t="shared" si="145"/>
        <v>138.88972366211743</v>
      </c>
      <c r="K196" s="141">
        <f t="shared" si="145"/>
        <v>215.33723621186118</v>
      </c>
      <c r="L196" s="141">
        <f t="shared" si="145"/>
        <v>321.83888519937489</v>
      </c>
      <c r="M196" s="141">
        <f t="shared" si="145"/>
        <v>452.36672436707443</v>
      </c>
      <c r="N196" s="141">
        <f t="shared" ref="N196" si="146">N153</f>
        <v>619.5113235011022</v>
      </c>
    </row>
    <row r="197" spans="1:14" ht="14.25" customHeight="1">
      <c r="A197" s="142"/>
    </row>
    <row r="198" spans="1:14" ht="14.25" customHeight="1">
      <c r="A198" s="142"/>
      <c r="I198" s="72"/>
      <c r="J198" s="72"/>
    </row>
    <row r="199" spans="1:14" ht="14.25" customHeight="1">
      <c r="A199" s="5" t="s">
        <v>187</v>
      </c>
      <c r="F199" s="4">
        <v>30.367021000000001</v>
      </c>
      <c r="G199" s="4">
        <v>52.953417999999999</v>
      </c>
      <c r="H199" s="4">
        <f t="shared" ref="H199:M199" si="147">H202*H203</f>
        <v>53.273768535205157</v>
      </c>
      <c r="I199" s="4">
        <f t="shared" si="147"/>
        <v>60.263011558751877</v>
      </c>
      <c r="J199" s="4">
        <f t="shared" si="147"/>
        <v>157.27132748951516</v>
      </c>
      <c r="K199" s="4">
        <f t="shared" si="147"/>
        <v>200.62345126905473</v>
      </c>
      <c r="L199" s="4">
        <f t="shared" si="147"/>
        <v>239.36026197512368</v>
      </c>
      <c r="M199" s="4">
        <f t="shared" si="147"/>
        <v>292.06045336354123</v>
      </c>
      <c r="N199" s="4">
        <f t="shared" ref="N199" si="148">N202*N203</f>
        <v>337.99227472192337</v>
      </c>
    </row>
    <row r="200" spans="1:14" ht="14.25" customHeight="1">
      <c r="A200" s="5" t="s">
        <v>188</v>
      </c>
      <c r="F200" s="4">
        <v>11.247351</v>
      </c>
      <c r="G200" s="4">
        <v>20.429998999999999</v>
      </c>
      <c r="H200" s="4">
        <f t="shared" ref="H200:M200" si="149">H202*H204</f>
        <v>20.160744796561893</v>
      </c>
      <c r="I200" s="4">
        <f t="shared" si="149"/>
        <v>22.312626720093004</v>
      </c>
      <c r="J200" s="4">
        <f t="shared" si="149"/>
        <v>58.866758840667352</v>
      </c>
      <c r="K200" s="4">
        <f t="shared" si="149"/>
        <v>74.68536425264827</v>
      </c>
      <c r="L200" s="4">
        <f t="shared" si="149"/>
        <v>89.348574575373291</v>
      </c>
      <c r="M200" s="4">
        <f t="shared" si="149"/>
        <v>108.87221146881777</v>
      </c>
      <c r="N200" s="4">
        <f t="shared" ref="N200" si="150">N202*N204</f>
        <v>126.08011799575672</v>
      </c>
    </row>
    <row r="201" spans="1:14" ht="14.25" customHeight="1">
      <c r="F201" s="72"/>
      <c r="G201" s="72"/>
    </row>
    <row r="202" spans="1:14" ht="14.25" customHeight="1">
      <c r="A202" s="5" t="s">
        <v>50</v>
      </c>
      <c r="F202" s="4">
        <f>FS!F12</f>
        <v>609.98357299999896</v>
      </c>
      <c r="G202" s="4">
        <f>FS!G12</f>
        <v>973.62947399999871</v>
      </c>
      <c r="H202" s="4">
        <f t="shared" ref="H202:M202" si="151">H192</f>
        <v>1022.8138933242776</v>
      </c>
      <c r="I202" s="4">
        <f t="shared" si="151"/>
        <v>1131.9851938089864</v>
      </c>
      <c r="J202" s="4">
        <f t="shared" si="151"/>
        <v>2986.4838528917921</v>
      </c>
      <c r="K202" s="4">
        <f t="shared" si="151"/>
        <v>3789.0082413334262</v>
      </c>
      <c r="L202" s="4">
        <f t="shared" si="151"/>
        <v>4532.9160379033601</v>
      </c>
      <c r="M202" s="4">
        <f t="shared" si="151"/>
        <v>5523.4075730295253</v>
      </c>
      <c r="N202" s="4">
        <f t="shared" ref="N202" si="152">N192</f>
        <v>6396.4152941420998</v>
      </c>
    </row>
    <row r="203" spans="1:14" ht="14.25" customHeight="1">
      <c r="A203" s="5" t="s">
        <v>189</v>
      </c>
      <c r="F203" s="143">
        <f t="shared" ref="F203:G203" si="153">F199/F202</f>
        <v>4.9783342280268345E-2</v>
      </c>
      <c r="G203" s="143">
        <f t="shared" si="153"/>
        <v>5.4387648909650893E-2</v>
      </c>
      <c r="H203" s="143">
        <f t="shared" ref="H203:M203" si="154">AVERAGE(F203:G203)</f>
        <v>5.2085495594959619E-2</v>
      </c>
      <c r="I203" s="143">
        <f t="shared" si="154"/>
        <v>5.3236572252305256E-2</v>
      </c>
      <c r="J203" s="143">
        <f t="shared" si="154"/>
        <v>5.2661033923632437E-2</v>
      </c>
      <c r="K203" s="143">
        <f t="shared" si="154"/>
        <v>5.2948803087968843E-2</v>
      </c>
      <c r="L203" s="143">
        <f t="shared" si="154"/>
        <v>5.2804918505800644E-2</v>
      </c>
      <c r="M203" s="143">
        <f t="shared" si="154"/>
        <v>5.2876860796884743E-2</v>
      </c>
      <c r="N203" s="143">
        <f t="shared" ref="N203" si="155">AVERAGE(L203:M203)</f>
        <v>5.284088965134269E-2</v>
      </c>
    </row>
    <row r="204" spans="1:14" ht="14.25" customHeight="1">
      <c r="A204" s="5" t="s">
        <v>190</v>
      </c>
      <c r="F204" s="143">
        <f t="shared" ref="F204:G204" si="156">F200/F202</f>
        <v>1.8438776875061878E-2</v>
      </c>
      <c r="G204" s="143">
        <f t="shared" si="156"/>
        <v>2.0983340732349302E-2</v>
      </c>
      <c r="H204" s="143">
        <f t="shared" ref="H204:N204" si="157">AVERAGE($F$204:$G$204)</f>
        <v>1.9711058803705592E-2</v>
      </c>
      <c r="I204" s="143">
        <f t="shared" si="157"/>
        <v>1.9711058803705592E-2</v>
      </c>
      <c r="J204" s="143">
        <f t="shared" si="157"/>
        <v>1.9711058803705592E-2</v>
      </c>
      <c r="K204" s="143">
        <f t="shared" si="157"/>
        <v>1.9711058803705592E-2</v>
      </c>
      <c r="L204" s="143">
        <f t="shared" si="157"/>
        <v>1.9711058803705592E-2</v>
      </c>
      <c r="M204" s="143">
        <f t="shared" si="157"/>
        <v>1.9711058803705592E-2</v>
      </c>
      <c r="N204" s="143">
        <f t="shared" si="157"/>
        <v>1.9711058803705592E-2</v>
      </c>
    </row>
    <row r="205" spans="1:14" ht="14.25" customHeight="1" thickBot="1"/>
    <row r="206" spans="1:14" ht="14.25" customHeight="1" thickBot="1">
      <c r="A206" s="45" t="s">
        <v>191</v>
      </c>
    </row>
    <row r="207" spans="1:14" ht="14.25" customHeight="1">
      <c r="A207" s="144" t="s">
        <v>192</v>
      </c>
    </row>
    <row r="208" spans="1:14" ht="14.25" customHeight="1">
      <c r="A208" s="5" t="s">
        <v>193</v>
      </c>
      <c r="F208" s="145">
        <v>0.21747900000000001</v>
      </c>
      <c r="G208" s="145">
        <v>8.1680539999999997</v>
      </c>
      <c r="H208" s="146">
        <f t="shared" ref="H208:M208" si="158">G208*H209</f>
        <v>1.4294094500000001</v>
      </c>
      <c r="I208" s="146">
        <f t="shared" si="158"/>
        <v>0.23585255925000004</v>
      </c>
      <c r="J208" s="146">
        <f t="shared" si="158"/>
        <v>3.6557146683750014E-2</v>
      </c>
      <c r="K208" s="146">
        <f t="shared" si="158"/>
        <v>5.6663577359812528E-3</v>
      </c>
      <c r="L208" s="146">
        <f t="shared" si="158"/>
        <v>8.7828544907709433E-4</v>
      </c>
      <c r="M208" s="146">
        <f t="shared" si="158"/>
        <v>1.3613424460694965E-4</v>
      </c>
      <c r="N208" s="146">
        <f t="shared" ref="N208" si="159">M208*N209</f>
        <v>2.11008079140772E-5</v>
      </c>
    </row>
    <row r="209" spans="1:14" ht="14.25" customHeight="1">
      <c r="A209" s="147" t="s">
        <v>194</v>
      </c>
      <c r="F209" s="148"/>
      <c r="G209" s="148"/>
      <c r="H209" s="149">
        <f>DEBT!G5+1%</f>
        <v>0.17500000000000002</v>
      </c>
      <c r="I209" s="149">
        <f>DEBT!H5+1%</f>
        <v>0.16500000000000001</v>
      </c>
      <c r="J209" s="149">
        <f>DEBT!I5+1%</f>
        <v>0.15500000000000003</v>
      </c>
      <c r="K209" s="149">
        <f>DEBT!J5+1%</f>
        <v>0.15500000000000003</v>
      </c>
      <c r="L209" s="149">
        <f>DEBT!K5+1%</f>
        <v>0.15500000000000003</v>
      </c>
      <c r="M209" s="149">
        <f>DEBT!L5+1%</f>
        <v>0.15500000000000003</v>
      </c>
      <c r="N209" s="149">
        <f>DEBT!M5+1%</f>
        <v>0.15500000000000003</v>
      </c>
    </row>
    <row r="210" spans="1:14" ht="14.25" customHeight="1">
      <c r="A210" s="5" t="s">
        <v>195</v>
      </c>
      <c r="F210" s="150">
        <v>15.882789000000001</v>
      </c>
      <c r="G210" s="150">
        <v>4.6437460000000002</v>
      </c>
      <c r="H210" s="150">
        <f t="shared" ref="H210:M210" si="160">G210*H211</f>
        <v>0.76853996300000005</v>
      </c>
      <c r="I210" s="150">
        <f t="shared" si="160"/>
        <v>0.11950796424650001</v>
      </c>
      <c r="J210" s="150">
        <f t="shared" si="160"/>
        <v>1.7388408797865754E-2</v>
      </c>
      <c r="K210" s="150">
        <f t="shared" si="160"/>
        <v>2.5300134800894675E-3</v>
      </c>
      <c r="L210" s="150">
        <f t="shared" si="160"/>
        <v>3.6811696135301758E-4</v>
      </c>
      <c r="M210" s="150">
        <f t="shared" si="160"/>
        <v>5.3561017876864063E-5</v>
      </c>
      <c r="N210" s="150">
        <f t="shared" ref="N210" si="161">M210*N211</f>
        <v>7.7931281010837226E-6</v>
      </c>
    </row>
    <row r="211" spans="1:14" ht="14.25" customHeight="1">
      <c r="A211" s="147" t="s">
        <v>196</v>
      </c>
      <c r="F211" s="5"/>
      <c r="G211" s="5"/>
      <c r="H211" s="151">
        <f>DEBT!G6</f>
        <v>0.16550000000000001</v>
      </c>
      <c r="I211" s="151">
        <f>DEBT!H6</f>
        <v>0.1555</v>
      </c>
      <c r="J211" s="151">
        <f>DEBT!I6</f>
        <v>0.14550000000000002</v>
      </c>
      <c r="K211" s="151">
        <f>DEBT!J6</f>
        <v>0.14550000000000002</v>
      </c>
      <c r="L211" s="151">
        <f>DEBT!K6</f>
        <v>0.14550000000000002</v>
      </c>
      <c r="M211" s="151">
        <f>DEBT!L6</f>
        <v>0.14550000000000002</v>
      </c>
      <c r="N211" s="151">
        <f>DEBT!M6</f>
        <v>0.14550000000000002</v>
      </c>
    </row>
    <row r="212" spans="1:14" ht="14.25" customHeight="1">
      <c r="F212" s="5"/>
      <c r="G212" s="5"/>
      <c r="H212" s="152"/>
      <c r="I212" s="152"/>
      <c r="J212" s="152"/>
      <c r="K212" s="5"/>
      <c r="L212" s="5"/>
      <c r="M212" s="5"/>
      <c r="N212" s="5"/>
    </row>
    <row r="213" spans="1:14" ht="14.25" customHeight="1">
      <c r="A213" s="129" t="s">
        <v>197</v>
      </c>
      <c r="F213" s="112">
        <v>5.6758110000000004</v>
      </c>
      <c r="G213" s="112">
        <v>2.153448</v>
      </c>
      <c r="H213" s="112">
        <f t="shared" ref="H213:M213" si="162">G213*H214</f>
        <v>0.36070254000000002</v>
      </c>
      <c r="I213" s="112">
        <f t="shared" si="162"/>
        <v>5.6810650050000001E-2</v>
      </c>
      <c r="J213" s="112">
        <f t="shared" si="162"/>
        <v>8.3795708823750006E-3</v>
      </c>
      <c r="K213" s="112">
        <f t="shared" si="162"/>
        <v>1.2359867051503128E-3</v>
      </c>
      <c r="L213" s="112">
        <f t="shared" si="162"/>
        <v>1.8230803900967117E-4</v>
      </c>
      <c r="M213" s="112">
        <f t="shared" si="162"/>
        <v>2.6890435753926501E-5</v>
      </c>
      <c r="N213" s="112">
        <f t="shared" ref="N213" si="163">M213*N214</f>
        <v>3.9663392737041598E-6</v>
      </c>
    </row>
    <row r="214" spans="1:14" ht="14.25" customHeight="1">
      <c r="A214" s="147" t="s">
        <v>198</v>
      </c>
      <c r="F214" s="5"/>
      <c r="G214" s="5"/>
      <c r="H214" s="151">
        <f>DEBT!G11</f>
        <v>0.16750000000000001</v>
      </c>
      <c r="I214" s="151">
        <f>DEBT!H11</f>
        <v>0.1575</v>
      </c>
      <c r="J214" s="151">
        <f>DEBT!I11</f>
        <v>0.14750000000000002</v>
      </c>
      <c r="K214" s="151">
        <f>DEBT!J11</f>
        <v>0.14750000000000002</v>
      </c>
      <c r="L214" s="151">
        <f>DEBT!K11</f>
        <v>0.14750000000000002</v>
      </c>
      <c r="M214" s="151">
        <f>DEBT!L11</f>
        <v>0.14750000000000002</v>
      </c>
      <c r="N214" s="151">
        <f>DEBT!M11</f>
        <v>0.14750000000000002</v>
      </c>
    </row>
    <row r="215" spans="1:14" ht="14.25" customHeight="1"/>
    <row r="216" spans="1:14" ht="14.25" customHeight="1"/>
    <row r="217" spans="1:14" ht="14.25" customHeight="1">
      <c r="A217" s="5" t="s">
        <v>199</v>
      </c>
      <c r="F217" s="111">
        <v>5.357621</v>
      </c>
      <c r="G217" s="111">
        <v>6.7448990000000002</v>
      </c>
      <c r="H217" s="111">
        <v>6.7448990000000002</v>
      </c>
      <c r="I217" s="111">
        <v>6.7448990000000002</v>
      </c>
      <c r="J217" s="111">
        <v>6.7448990000000002</v>
      </c>
      <c r="K217" s="111">
        <v>6.7448990000000002</v>
      </c>
      <c r="L217" s="111">
        <v>6.7448990000000002</v>
      </c>
      <c r="M217" s="111">
        <v>6.7448990000000002</v>
      </c>
      <c r="N217" s="111">
        <v>6.7448990000000002</v>
      </c>
    </row>
    <row r="218" spans="1:14" ht="14.25" customHeight="1">
      <c r="A218" s="5" t="s">
        <v>200</v>
      </c>
      <c r="F218" s="5">
        <v>0</v>
      </c>
      <c r="G218" s="150">
        <v>2.9562999999999999E-2</v>
      </c>
      <c r="H218" s="150">
        <v>2.9562999999999999E-2</v>
      </c>
      <c r="I218" s="150">
        <v>2.9562999999999999E-2</v>
      </c>
      <c r="J218" s="150">
        <v>2.9562999999999999E-2</v>
      </c>
      <c r="K218" s="150">
        <v>2.9562999999999999E-2</v>
      </c>
      <c r="L218" s="150">
        <v>2.9562999999999999E-2</v>
      </c>
      <c r="M218" s="150">
        <v>2.9562999999999999E-2</v>
      </c>
      <c r="N218" s="150">
        <v>2.9562999999999999E-2</v>
      </c>
    </row>
    <row r="219" spans="1:14" ht="14.25" customHeight="1" thickBot="1"/>
    <row r="220" spans="1:14" ht="14.25" customHeight="1" thickBot="1">
      <c r="A220" s="153" t="s">
        <v>201</v>
      </c>
      <c r="B220" s="103"/>
      <c r="C220" s="103"/>
      <c r="D220" s="103"/>
      <c r="E220" s="103"/>
      <c r="F220" s="104">
        <f t="shared" ref="F220:M220" si="164">F208+F210+F213+F217+F218</f>
        <v>27.133699999999997</v>
      </c>
      <c r="G220" s="104">
        <f t="shared" si="164"/>
        <v>21.739709999999999</v>
      </c>
      <c r="H220" s="104">
        <f t="shared" si="164"/>
        <v>9.3331139529999998</v>
      </c>
      <c r="I220" s="104">
        <f t="shared" si="164"/>
        <v>7.1866331735464994</v>
      </c>
      <c r="J220" s="104">
        <f t="shared" si="164"/>
        <v>6.8367871263639906</v>
      </c>
      <c r="K220" s="104">
        <f t="shared" si="164"/>
        <v>6.7838943579212208</v>
      </c>
      <c r="L220" s="109">
        <f t="shared" si="164"/>
        <v>6.7758907104494392</v>
      </c>
      <c r="M220" s="109">
        <f t="shared" si="164"/>
        <v>6.7746785856982372</v>
      </c>
      <c r="N220" s="109">
        <f t="shared" ref="N220" si="165">N208+N210+N213+N217+N218</f>
        <v>6.774494860275289</v>
      </c>
    </row>
    <row r="221" spans="1:14" ht="14.25" customHeight="1" thickBot="1"/>
    <row r="222" spans="1:14" ht="14.25" customHeight="1" thickBot="1">
      <c r="A222" s="45" t="s">
        <v>202</v>
      </c>
    </row>
    <row r="223" spans="1:14" ht="14.25" customHeight="1">
      <c r="A223" s="154" t="s">
        <v>203</v>
      </c>
      <c r="F223" s="65">
        <f t="shared" ref="F223:M223" si="166">F227*F8</f>
        <v>184.76400916999967</v>
      </c>
      <c r="G223" s="65">
        <f t="shared" si="166"/>
        <v>288.6570633599996</v>
      </c>
      <c r="H223" s="65">
        <f t="shared" si="166"/>
        <v>370.25795819707918</v>
      </c>
      <c r="I223" s="65">
        <f t="shared" si="166"/>
        <v>409.26972665675521</v>
      </c>
      <c r="J223" s="65">
        <f t="shared" si="166"/>
        <v>1080.4348489590279</v>
      </c>
      <c r="K223" s="65">
        <f t="shared" si="166"/>
        <v>1370.3427760665722</v>
      </c>
      <c r="L223" s="65">
        <f t="shared" si="166"/>
        <v>1639.6408085276166</v>
      </c>
      <c r="M223" s="65">
        <f t="shared" si="166"/>
        <v>1997.7652141968952</v>
      </c>
      <c r="N223" s="65">
        <f t="shared" ref="N223" si="167">N227*N8</f>
        <v>2313.6137315555238</v>
      </c>
    </row>
    <row r="224" spans="1:14" ht="14.25" customHeight="1" thickBot="1">
      <c r="A224" s="7" t="s">
        <v>204</v>
      </c>
      <c r="F224" s="89"/>
      <c r="G224" s="89"/>
      <c r="H224" s="91">
        <f>H228*H9+31</f>
        <v>55.772652068500001</v>
      </c>
      <c r="I224" s="91">
        <f t="shared" ref="I224:M224" si="168">I228*I9</f>
        <v>29.523623878099045</v>
      </c>
      <c r="J224" s="91">
        <f t="shared" si="168"/>
        <v>20.833458549317616</v>
      </c>
      <c r="K224" s="91">
        <f t="shared" si="168"/>
        <v>32.300585431779176</v>
      </c>
      <c r="L224" s="91">
        <f t="shared" si="168"/>
        <v>48.275832779906231</v>
      </c>
      <c r="M224" s="91">
        <f t="shared" si="168"/>
        <v>67.855008655061155</v>
      </c>
      <c r="N224" s="91">
        <f t="shared" ref="N224" si="169">N228*N9</f>
        <v>92.926698525165321</v>
      </c>
    </row>
    <row r="225" spans="1:14" ht="14.25" customHeight="1" thickBot="1">
      <c r="A225" s="133" t="s">
        <v>205</v>
      </c>
      <c r="B225" s="104"/>
      <c r="C225" s="104"/>
      <c r="D225" s="104"/>
      <c r="E225" s="104"/>
      <c r="F225" s="104"/>
      <c r="G225" s="104"/>
      <c r="H225" s="104">
        <f t="shared" ref="H225:M225" si="170">SUM(H223:H224)</f>
        <v>426.03061026557918</v>
      </c>
      <c r="I225" s="104">
        <f t="shared" si="170"/>
        <v>438.79335053485426</v>
      </c>
      <c r="J225" s="104">
        <f t="shared" si="170"/>
        <v>1101.2683075083455</v>
      </c>
      <c r="K225" s="104">
        <f t="shared" si="170"/>
        <v>1402.6433614983514</v>
      </c>
      <c r="L225" s="109">
        <f t="shared" si="170"/>
        <v>1687.9166413075229</v>
      </c>
      <c r="M225" s="109">
        <f t="shared" si="170"/>
        <v>2065.6202228519564</v>
      </c>
      <c r="N225" s="109">
        <f t="shared" ref="N225" si="171">SUM(N223:N224)</f>
        <v>2406.540430080689</v>
      </c>
    </row>
    <row r="226" spans="1:14" ht="14.25" customHeight="1">
      <c r="A226" s="13"/>
    </row>
    <row r="227" spans="1:14" ht="14.25" customHeight="1">
      <c r="A227" s="3" t="s">
        <v>206</v>
      </c>
      <c r="F227" s="65">
        <f>FS!F10</f>
        <v>637.11727299999893</v>
      </c>
      <c r="G227" s="65">
        <f>FS!G10</f>
        <v>995.36918399999865</v>
      </c>
      <c r="H227" s="65">
        <f>FS!H10</f>
        <v>949.37937999251062</v>
      </c>
      <c r="I227" s="65">
        <f>FS!I10</f>
        <v>1049.4095555301415</v>
      </c>
      <c r="J227" s="65">
        <f>FS!J10</f>
        <v>2770.3457665616097</v>
      </c>
      <c r="K227" s="65">
        <f>FS!K10</f>
        <v>3513.6994258117234</v>
      </c>
      <c r="L227" s="65">
        <f>FS!L10</f>
        <v>4204.2072013528632</v>
      </c>
      <c r="M227" s="65">
        <f>FS!M10</f>
        <v>5122.4749081971668</v>
      </c>
      <c r="N227" s="65">
        <f>FS!N10</f>
        <v>5932.3429014244193</v>
      </c>
    </row>
    <row r="228" spans="1:14" ht="14.25" customHeight="1">
      <c r="A228" s="3" t="s">
        <v>207</v>
      </c>
      <c r="F228" s="65">
        <f>FS!F9</f>
        <v>93</v>
      </c>
      <c r="G228" s="65">
        <f>FS!G9</f>
        <v>112.91895099999999</v>
      </c>
      <c r="H228" s="65">
        <f>FS!H9</f>
        <v>165.15101379000001</v>
      </c>
      <c r="I228" s="65">
        <f>FS!I9</f>
        <v>196.82415918732698</v>
      </c>
      <c r="J228" s="65">
        <f>FS!J9</f>
        <v>138.88972366211743</v>
      </c>
      <c r="K228" s="65">
        <f>FS!K9</f>
        <v>215.33723621186118</v>
      </c>
      <c r="L228" s="65">
        <f>FS!L9</f>
        <v>321.83888519937489</v>
      </c>
      <c r="M228" s="65">
        <f>FS!M9</f>
        <v>452.36672436707443</v>
      </c>
      <c r="N228" s="65">
        <f>FS!N9</f>
        <v>619.5113235011022</v>
      </c>
    </row>
    <row r="229" spans="1:14" ht="14.25" customHeight="1">
      <c r="A229" s="3" t="s">
        <v>208</v>
      </c>
      <c r="F229" s="65">
        <f>FS!F12</f>
        <v>609.98357299999896</v>
      </c>
      <c r="G229" s="65">
        <f>FS!G12</f>
        <v>973.62947399999871</v>
      </c>
      <c r="H229" s="65">
        <f>FS!H12</f>
        <v>940.04626603951067</v>
      </c>
      <c r="I229" s="65">
        <f>FS!I12</f>
        <v>1042.2229223565951</v>
      </c>
      <c r="J229" s="65">
        <f>FS!J12</f>
        <v>2763.5089794352457</v>
      </c>
      <c r="K229" s="65">
        <f>FS!K12</f>
        <v>3506.915531453802</v>
      </c>
      <c r="L229" s="65">
        <f>FS!L12</f>
        <v>4197.4313106424133</v>
      </c>
      <c r="M229" s="65">
        <f>FS!M12</f>
        <v>5115.7002296114688</v>
      </c>
      <c r="N229" s="65">
        <f>FS!N12</f>
        <v>5925.5684065641444</v>
      </c>
    </row>
  </sheetData>
  <mergeCells count="1">
    <mergeCell ref="C1:N1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U112"/>
  <sheetViews>
    <sheetView workbookViewId="0">
      <pane ySplit="2" topLeftCell="A3" activePane="bottomLeft" state="frozen"/>
      <selection pane="bottomLeft" activeCell="P13" sqref="P13"/>
    </sheetView>
  </sheetViews>
  <sheetFormatPr defaultColWidth="12.7109375" defaultRowHeight="15" customHeight="1"/>
  <cols>
    <col min="1" max="1" width="38.140625" customWidth="1"/>
    <col min="2" max="2" width="9.42578125" customWidth="1"/>
    <col min="3" max="3" width="10.28515625" customWidth="1"/>
    <col min="4" max="7" width="8.7109375" customWidth="1"/>
    <col min="8" max="8" width="10.85546875" customWidth="1"/>
    <col min="9" max="12" width="9.7109375" customWidth="1"/>
    <col min="13" max="14" width="11.28515625" customWidth="1"/>
    <col min="15" max="19" width="7.7109375" customWidth="1"/>
  </cols>
  <sheetData>
    <row r="1" spans="1:21" ht="14.25" customHeight="1" thickBot="1">
      <c r="C1" s="301" t="s">
        <v>55</v>
      </c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</row>
    <row r="2" spans="1:21" ht="14.25" customHeight="1" thickBot="1">
      <c r="C2" s="155" t="s">
        <v>56</v>
      </c>
      <c r="D2" s="156" t="s">
        <v>57</v>
      </c>
      <c r="E2" s="156" t="s">
        <v>58</v>
      </c>
      <c r="F2" s="156" t="s">
        <v>59</v>
      </c>
      <c r="G2" s="157" t="s">
        <v>60</v>
      </c>
      <c r="H2" s="158" t="s">
        <v>61</v>
      </c>
      <c r="I2" s="158" t="s">
        <v>62</v>
      </c>
      <c r="J2" s="158" t="s">
        <v>63</v>
      </c>
      <c r="K2" s="158" t="s">
        <v>64</v>
      </c>
      <c r="L2" s="159" t="s">
        <v>65</v>
      </c>
      <c r="M2" s="159" t="s">
        <v>66</v>
      </c>
      <c r="N2" s="294"/>
    </row>
    <row r="3" spans="1:21" ht="14.25" customHeight="1">
      <c r="A3" s="160" t="s">
        <v>209</v>
      </c>
      <c r="B3" s="161">
        <f>(G3/D3)^(1/4)-1</f>
        <v>0.12066939481400296</v>
      </c>
      <c r="C3" s="4">
        <v>4311.441718</v>
      </c>
      <c r="D3" s="65">
        <f>ASSUMPTIONS!D41</f>
        <v>4459.3232280000002</v>
      </c>
      <c r="E3" s="65">
        <f>5180803582/1000000</f>
        <v>5180.8035819999996</v>
      </c>
      <c r="F3" s="65">
        <f>ASSUMPTIONS!F41</f>
        <v>5401.7316449999989</v>
      </c>
      <c r="G3" s="65">
        <f>ASSUMPTIONS!G41</f>
        <v>7033.6215859999993</v>
      </c>
      <c r="H3" s="65">
        <f>ASSUMPTIONS!H41</f>
        <v>7806.4447063760617</v>
      </c>
      <c r="I3" s="65">
        <f>ASSUMPTIONS!I41</f>
        <v>8955.7982652241189</v>
      </c>
      <c r="J3" s="65">
        <f>ASSUMPTIONS!J41</f>
        <v>11925.697157921462</v>
      </c>
      <c r="K3" s="65">
        <f>ASSUMPTIONS!K41</f>
        <v>13827.884161353661</v>
      </c>
      <c r="L3" s="65">
        <f>ASSUMPTIONS!L41</f>
        <v>15892.674652515943</v>
      </c>
      <c r="M3" s="65">
        <f>ASSUMPTIONS!M41</f>
        <v>18266.160130796448</v>
      </c>
      <c r="N3" s="65">
        <f>ASSUMPTIONS!N41</f>
        <v>20994.537560692916</v>
      </c>
      <c r="O3" s="161"/>
      <c r="P3" s="161">
        <f t="shared" ref="P3:S3" si="0">I3/H3-1</f>
        <v>0.14723137126806285</v>
      </c>
      <c r="Q3" s="161">
        <f t="shared" si="0"/>
        <v>0.33161743986905456</v>
      </c>
      <c r="R3" s="161">
        <f t="shared" si="0"/>
        <v>0.15950321211776708</v>
      </c>
      <c r="S3" s="161">
        <f t="shared" si="0"/>
        <v>0.14932078306911079</v>
      </c>
      <c r="T3" s="161">
        <f t="shared" ref="T3" si="1">M3/L3-1</f>
        <v>0.14934462135388671</v>
      </c>
      <c r="U3" s="161">
        <f t="shared" ref="U3" si="2">N3/M3-1</f>
        <v>0.14936786989491391</v>
      </c>
    </row>
    <row r="4" spans="1:21" ht="14.25" customHeight="1" thickBot="1">
      <c r="A4" s="162" t="s">
        <v>210</v>
      </c>
      <c r="C4" s="91">
        <v>-2534</v>
      </c>
      <c r="D4" s="163">
        <f>-2889668475/1000000</f>
        <v>-2889.6684749999999</v>
      </c>
      <c r="E4" s="163">
        <f>-3134954617/1000000</f>
        <v>-3134.9546169999999</v>
      </c>
      <c r="F4" s="163">
        <v>-3176</v>
      </c>
      <c r="G4" s="163">
        <f>-ASSUMPTIONS!G96</f>
        <v>-4146.7879360000006</v>
      </c>
      <c r="H4" s="163">
        <f>-ASSUMPTIONS!H96</f>
        <v>-4389.9702105729857</v>
      </c>
      <c r="I4" s="163">
        <f>-ASSUMPTIONS!I96</f>
        <v>-5163.6836869606032</v>
      </c>
      <c r="J4" s="163">
        <f>-ASSUMPTIONS!J96</f>
        <v>-5774.3000684686713</v>
      </c>
      <c r="K4" s="163">
        <f>-ASSUMPTIONS!K96</f>
        <v>-6387.1452735813236</v>
      </c>
      <c r="L4" s="163">
        <f>-ASSUMPTIONS!L96</f>
        <v>-7079.1912458312236</v>
      </c>
      <c r="M4" s="163">
        <f>-ASSUMPTIONS!M96</f>
        <v>-7592.3484387505887</v>
      </c>
      <c r="N4" s="163">
        <f>-ASSUMPTIONS!N96</f>
        <v>-8186.257833723781</v>
      </c>
    </row>
    <row r="5" spans="1:21" ht="14.25" customHeight="1" thickBot="1">
      <c r="A5" s="92" t="s">
        <v>183</v>
      </c>
      <c r="B5" s="93"/>
      <c r="C5" s="67">
        <v>1777.441718</v>
      </c>
      <c r="D5" s="164">
        <f t="shared" ref="D5:M5" si="3">SUM(D3:D4)</f>
        <v>1569.6547530000003</v>
      </c>
      <c r="E5" s="164">
        <f t="shared" si="3"/>
        <v>2045.8489649999997</v>
      </c>
      <c r="F5" s="164">
        <f t="shared" si="3"/>
        <v>2225.7316449999989</v>
      </c>
      <c r="G5" s="165">
        <f t="shared" si="3"/>
        <v>2886.8336499999987</v>
      </c>
      <c r="H5" s="165">
        <f t="shared" si="3"/>
        <v>3416.474495803076</v>
      </c>
      <c r="I5" s="165">
        <f t="shared" si="3"/>
        <v>3792.1145782635158</v>
      </c>
      <c r="J5" s="165">
        <f t="shared" si="3"/>
        <v>6151.3970894527911</v>
      </c>
      <c r="K5" s="165">
        <f t="shared" si="3"/>
        <v>7440.738887772337</v>
      </c>
      <c r="L5" s="166">
        <f t="shared" si="3"/>
        <v>8813.4834066847197</v>
      </c>
      <c r="M5" s="166">
        <f t="shared" si="3"/>
        <v>10673.81169204586</v>
      </c>
      <c r="N5" s="166">
        <f t="shared" ref="N5" si="4">SUM(N3:N4)</f>
        <v>12808.279726969135</v>
      </c>
    </row>
    <row r="6" spans="1:21" ht="14.25" customHeight="1">
      <c r="A6" s="167" t="s">
        <v>184</v>
      </c>
      <c r="C6" s="168">
        <v>-289.12991399999999</v>
      </c>
      <c r="D6" s="169">
        <v>-303</v>
      </c>
      <c r="E6" s="169">
        <v>-353</v>
      </c>
      <c r="F6" s="169">
        <v>-351</v>
      </c>
      <c r="G6" s="169">
        <v>-407</v>
      </c>
      <c r="H6" s="169">
        <f>-ASSUMPTIONS!H118</f>
        <v>-460.04483962765448</v>
      </c>
      <c r="I6" s="169">
        <f>-ASSUMPTIONS!I118</f>
        <v>-568.25127372669272</v>
      </c>
      <c r="J6" s="169">
        <f>-ASSUMPTIONS!J118</f>
        <v>-673.12049464728068</v>
      </c>
      <c r="K6" s="169">
        <f>-ASSUMPTIONS!K118</f>
        <v>-830.83430867015363</v>
      </c>
      <c r="L6" s="169">
        <f>-ASSUMPTIONS!L118</f>
        <v>-1083.0041933629921</v>
      </c>
      <c r="M6" s="169">
        <f>-ASSUMPTIONS!M118</f>
        <v>-1505.5804430926705</v>
      </c>
      <c r="N6" s="169">
        <f>-ASSUMPTIONS!N118</f>
        <v>-2240.5497592056427</v>
      </c>
    </row>
    <row r="7" spans="1:21" ht="14.25" customHeight="1">
      <c r="A7" s="170" t="s">
        <v>185</v>
      </c>
      <c r="C7" s="4">
        <v>-913.76338499999997</v>
      </c>
      <c r="D7" s="65">
        <f>-1126344657/1000000</f>
        <v>-1126.3446570000001</v>
      </c>
      <c r="E7" s="65">
        <v>-1309</v>
      </c>
      <c r="F7" s="65">
        <v>-1289</v>
      </c>
      <c r="G7" s="65">
        <v>-1524</v>
      </c>
      <c r="H7" s="65">
        <f>-ASSUMPTIONS!H139</f>
        <v>-2098.7667766411441</v>
      </c>
      <c r="I7" s="65">
        <f>-ASSUMPTIONS!I139</f>
        <v>-2288.7022699151639</v>
      </c>
      <c r="J7" s="65">
        <f>-ASSUMPTIONS!J139</f>
        <v>-2630.6824655758355</v>
      </c>
      <c r="K7" s="65">
        <f>-ASSUMPTIONS!K139</f>
        <v>-3036.2335739806185</v>
      </c>
      <c r="L7" s="65">
        <f>-ASSUMPTIONS!L139</f>
        <v>-3519.4020606177432</v>
      </c>
      <c r="M7" s="65">
        <f>-ASSUMPTIONS!M139</f>
        <v>-4097.1904002907377</v>
      </c>
      <c r="N7" s="65">
        <f>-ASSUMPTIONS!N139</f>
        <v>-4790.8259971224934</v>
      </c>
    </row>
    <row r="8" spans="1:21" ht="14.25" customHeight="1">
      <c r="A8" s="170" t="s">
        <v>46</v>
      </c>
      <c r="C8" s="4">
        <v>-46.569913</v>
      </c>
      <c r="D8" s="4">
        <f>-SUM(ASSUMPTIONS!D199:D200)</f>
        <v>0</v>
      </c>
      <c r="E8" s="4">
        <f>-SUM(ASSUMPTIONS!E199:E200)</f>
        <v>0</v>
      </c>
      <c r="F8" s="4">
        <f>-SUM(ASSUMPTIONS!F199:F200)</f>
        <v>-41.614372000000003</v>
      </c>
      <c r="G8" s="4">
        <f>-SUM(ASSUMPTIONS!G199:G200)</f>
        <v>-73.383416999999994</v>
      </c>
      <c r="H8" s="4">
        <f>-SUM(ASSUMPTIONS!H199:H200)</f>
        <v>-73.43451333176705</v>
      </c>
      <c r="I8" s="4">
        <f>-SUM(ASSUMPTIONS!I199:I200)</f>
        <v>-82.575638278844878</v>
      </c>
      <c r="J8" s="4">
        <f>-SUM(ASSUMPTIONS!J199:J200)</f>
        <v>-216.13808633018252</v>
      </c>
      <c r="K8" s="4">
        <f>-SUM(ASSUMPTIONS!K199:K200)</f>
        <v>-275.30881552170297</v>
      </c>
      <c r="L8" s="4">
        <f>-SUM(ASSUMPTIONS!L199:L200)</f>
        <v>-328.70883655049698</v>
      </c>
      <c r="M8" s="4">
        <f>-SUM(ASSUMPTIONS!M199:M200)</f>
        <v>-400.93266483235902</v>
      </c>
      <c r="N8" s="4">
        <f>-SUM(ASSUMPTIONS!N199:N200)</f>
        <v>-464.07239271768009</v>
      </c>
    </row>
    <row r="9" spans="1:21" ht="14.25" customHeight="1" thickBot="1">
      <c r="A9" s="162" t="s">
        <v>186</v>
      </c>
      <c r="C9" s="91">
        <v>91.202506</v>
      </c>
      <c r="D9" s="163">
        <f>129086882/1000000</f>
        <v>129.086882</v>
      </c>
      <c r="E9" s="163">
        <v>182</v>
      </c>
      <c r="F9" s="163">
        <v>93</v>
      </c>
      <c r="G9" s="163">
        <f>ASSUMPTIONS!G153</f>
        <v>112.91895099999999</v>
      </c>
      <c r="H9" s="163">
        <f>ASSUMPTIONS!H153</f>
        <v>165.15101379000001</v>
      </c>
      <c r="I9" s="163">
        <f>ASSUMPTIONS!I153</f>
        <v>196.82415918732698</v>
      </c>
      <c r="J9" s="163">
        <f>ASSUMPTIONS!J153</f>
        <v>138.88972366211743</v>
      </c>
      <c r="K9" s="163">
        <f>ASSUMPTIONS!K153</f>
        <v>215.33723621186118</v>
      </c>
      <c r="L9" s="163">
        <f>ASSUMPTIONS!L153</f>
        <v>321.83888519937489</v>
      </c>
      <c r="M9" s="163">
        <f>ASSUMPTIONS!M153</f>
        <v>452.36672436707443</v>
      </c>
      <c r="N9" s="163">
        <f>ASSUMPTIONS!N153</f>
        <v>619.5113235011022</v>
      </c>
    </row>
    <row r="10" spans="1:21" ht="14.25" customHeight="1" thickBot="1">
      <c r="A10" s="97" t="s">
        <v>211</v>
      </c>
      <c r="C10" s="67">
        <v>619.1810119999999</v>
      </c>
      <c r="D10" s="67">
        <f t="shared" ref="D10:M10" si="5">SUM(D5:D9)</f>
        <v>269.39697800000016</v>
      </c>
      <c r="E10" s="67">
        <f t="shared" si="5"/>
        <v>565.84896499999968</v>
      </c>
      <c r="F10" s="67">
        <f t="shared" si="5"/>
        <v>637.11727299999893</v>
      </c>
      <c r="G10" s="67">
        <f t="shared" si="5"/>
        <v>995.36918399999865</v>
      </c>
      <c r="H10" s="67">
        <f t="shared" si="5"/>
        <v>949.37937999251062</v>
      </c>
      <c r="I10" s="67">
        <f t="shared" si="5"/>
        <v>1049.4095555301415</v>
      </c>
      <c r="J10" s="67">
        <f t="shared" si="5"/>
        <v>2770.3457665616097</v>
      </c>
      <c r="K10" s="67">
        <f t="shared" si="5"/>
        <v>3513.6994258117234</v>
      </c>
      <c r="L10" s="96">
        <f t="shared" si="5"/>
        <v>4204.2072013528632</v>
      </c>
      <c r="M10" s="96">
        <f t="shared" si="5"/>
        <v>5122.4749081971668</v>
      </c>
      <c r="N10" s="96">
        <f t="shared" ref="N10" si="6">SUM(N5:N9)</f>
        <v>5932.3429014244193</v>
      </c>
    </row>
    <row r="11" spans="1:21" ht="14.25" customHeight="1" thickBot="1">
      <c r="A11" s="171" t="s">
        <v>212</v>
      </c>
      <c r="C11" s="172">
        <v>-16.293572999999999</v>
      </c>
      <c r="D11" s="173">
        <v>-11</v>
      </c>
      <c r="E11" s="173">
        <f>-23429965/1000000</f>
        <v>-23.429964999999999</v>
      </c>
      <c r="F11" s="174">
        <f>-ASSUMPTIONS!F220</f>
        <v>-27.133699999999997</v>
      </c>
      <c r="G11" s="174">
        <f>-ASSUMPTIONS!G220</f>
        <v>-21.739709999999999</v>
      </c>
      <c r="H11" s="174">
        <f>-ASSUMPTIONS!H220</f>
        <v>-9.3331139529999998</v>
      </c>
      <c r="I11" s="174">
        <f>-ASSUMPTIONS!I220</f>
        <v>-7.1866331735464994</v>
      </c>
      <c r="J11" s="174">
        <f>-ASSUMPTIONS!J220</f>
        <v>-6.8367871263639906</v>
      </c>
      <c r="K11" s="174">
        <f>-ASSUMPTIONS!K220</f>
        <v>-6.7838943579212208</v>
      </c>
      <c r="L11" s="174">
        <f>-ASSUMPTIONS!L220</f>
        <v>-6.7758907104494392</v>
      </c>
      <c r="M11" s="174">
        <f>-ASSUMPTIONS!M220</f>
        <v>-6.7746785856982372</v>
      </c>
      <c r="N11" s="174">
        <f>-ASSUMPTIONS!N220</f>
        <v>-6.774494860275289</v>
      </c>
    </row>
    <row r="12" spans="1:21" ht="14.25" customHeight="1" thickBot="1">
      <c r="A12" s="97" t="s">
        <v>50</v>
      </c>
      <c r="C12" s="67">
        <v>602.88743899999986</v>
      </c>
      <c r="D12" s="67">
        <f t="shared" ref="D12:M12" si="7">SUM(D10:D11)</f>
        <v>258.39697800000016</v>
      </c>
      <c r="E12" s="67">
        <f t="shared" si="7"/>
        <v>542.41899999999964</v>
      </c>
      <c r="F12" s="67">
        <f t="shared" si="7"/>
        <v>609.98357299999896</v>
      </c>
      <c r="G12" s="67">
        <f t="shared" si="7"/>
        <v>973.62947399999871</v>
      </c>
      <c r="H12" s="67">
        <f t="shared" si="7"/>
        <v>940.04626603951067</v>
      </c>
      <c r="I12" s="67">
        <f t="shared" si="7"/>
        <v>1042.2229223565951</v>
      </c>
      <c r="J12" s="67">
        <f t="shared" si="7"/>
        <v>2763.5089794352457</v>
      </c>
      <c r="K12" s="67">
        <f t="shared" si="7"/>
        <v>3506.915531453802</v>
      </c>
      <c r="L12" s="96">
        <f t="shared" si="7"/>
        <v>4197.4313106424133</v>
      </c>
      <c r="M12" s="96">
        <f t="shared" si="7"/>
        <v>5115.7002296114688</v>
      </c>
      <c r="N12" s="96">
        <f t="shared" ref="N12" si="8">SUM(N10:N11)</f>
        <v>5925.5684065641444</v>
      </c>
    </row>
    <row r="13" spans="1:21" ht="14.25" customHeight="1" thickBot="1">
      <c r="A13" s="171" t="s">
        <v>51</v>
      </c>
      <c r="C13" s="172">
        <v>-208.553225</v>
      </c>
      <c r="D13" s="175">
        <f>-111859642/1000000</f>
        <v>-111.85964199999999</v>
      </c>
      <c r="E13" s="175">
        <f>-167672113/1000000</f>
        <v>-167.672113</v>
      </c>
      <c r="F13" s="175">
        <v>-164.874799</v>
      </c>
      <c r="G13" s="175">
        <v>-255.63210699999999</v>
      </c>
      <c r="H13" s="175">
        <f>-ASSUMPTIONS!H225</f>
        <v>-426.03061026557918</v>
      </c>
      <c r="I13" s="175">
        <f>-ASSUMPTIONS!I225</f>
        <v>-438.79335053485426</v>
      </c>
      <c r="J13" s="175">
        <f>-ASSUMPTIONS!J225</f>
        <v>-1101.2683075083455</v>
      </c>
      <c r="K13" s="175">
        <f>-ASSUMPTIONS!K225</f>
        <v>-1402.6433614983514</v>
      </c>
      <c r="L13" s="175">
        <f>-ASSUMPTIONS!L225</f>
        <v>-1687.9166413075229</v>
      </c>
      <c r="M13" s="175">
        <f>-ASSUMPTIONS!M225</f>
        <v>-2065.6202228519564</v>
      </c>
      <c r="N13" s="175">
        <f>-ASSUMPTIONS!N225</f>
        <v>-2406.540430080689</v>
      </c>
    </row>
    <row r="14" spans="1:21" ht="14.25" customHeight="1" thickBot="1">
      <c r="A14" s="97" t="s">
        <v>213</v>
      </c>
      <c r="B14" s="161">
        <f>(G14/D14)^(1/4)-1</f>
        <v>0.49153227152092493</v>
      </c>
      <c r="C14" s="67">
        <v>394.33421399999986</v>
      </c>
      <c r="D14" s="67">
        <f t="shared" ref="D14:E14" si="9">SUM(D12:D13)</f>
        <v>146.53733600000015</v>
      </c>
      <c r="E14" s="67">
        <f t="shared" si="9"/>
        <v>374.74688699999967</v>
      </c>
      <c r="F14" s="67">
        <f>395655081/1000000</f>
        <v>395.655081</v>
      </c>
      <c r="G14" s="67">
        <f>725235258/1000000</f>
        <v>725.23525800000004</v>
      </c>
      <c r="H14" s="67">
        <f t="shared" ref="H14:M14" si="10">SUM(H12:H13)</f>
        <v>514.01565577393148</v>
      </c>
      <c r="I14" s="67">
        <f t="shared" si="10"/>
        <v>603.42957182174086</v>
      </c>
      <c r="J14" s="67">
        <f t="shared" si="10"/>
        <v>1662.2406719269002</v>
      </c>
      <c r="K14" s="67">
        <f t="shared" si="10"/>
        <v>2104.2721699554504</v>
      </c>
      <c r="L14" s="96">
        <f t="shared" si="10"/>
        <v>2509.5146693348906</v>
      </c>
      <c r="M14" s="96">
        <f t="shared" si="10"/>
        <v>3050.0800067595123</v>
      </c>
      <c r="N14" s="96">
        <f t="shared" ref="N14" si="11">SUM(N12:N13)</f>
        <v>3519.0279764834554</v>
      </c>
    </row>
    <row r="15" spans="1:21" ht="14.25" customHeight="1" thickBot="1"/>
    <row r="16" spans="1:21" ht="14.25" customHeight="1">
      <c r="A16" s="176" t="s">
        <v>53</v>
      </c>
      <c r="C16" s="4">
        <f t="shared" ref="C16:F16" si="12">C14/$B$26</f>
        <v>10.885993098498231</v>
      </c>
      <c r="D16" s="4">
        <f t="shared" si="12"/>
        <v>4.045310733215552</v>
      </c>
      <c r="E16" s="4">
        <f t="shared" si="12"/>
        <v>10.345265210909886</v>
      </c>
      <c r="F16" s="4">
        <f t="shared" si="12"/>
        <v>10.922456962234984</v>
      </c>
      <c r="G16" s="4">
        <f>G14/B26</f>
        <v>20.020849657685517</v>
      </c>
      <c r="H16" s="4">
        <f t="shared" ref="H16:M16" si="13">H14/$B$26</f>
        <v>14.189919825914629</v>
      </c>
      <c r="I16" s="4">
        <f t="shared" si="13"/>
        <v>16.658281024230924</v>
      </c>
      <c r="J16" s="4">
        <f t="shared" si="13"/>
        <v>45.887827736497911</v>
      </c>
      <c r="K16" s="4">
        <f t="shared" si="13"/>
        <v>58.090552394971581</v>
      </c>
      <c r="L16" s="4">
        <f t="shared" si="13"/>
        <v>69.277679696744997</v>
      </c>
      <c r="M16" s="4">
        <f t="shared" si="13"/>
        <v>84.200530221938848</v>
      </c>
      <c r="N16" s="4">
        <f t="shared" ref="N16" si="14">N14/$B$26</f>
        <v>97.14631118825794</v>
      </c>
    </row>
    <row r="17" spans="1:14" ht="14.25" customHeight="1">
      <c r="A17" s="177" t="s">
        <v>54</v>
      </c>
      <c r="C17" s="4">
        <f t="shared" ref="C17:M17" si="15">ROUND(C16*C23,0)</f>
        <v>6</v>
      </c>
      <c r="D17" s="4">
        <f t="shared" si="15"/>
        <v>3</v>
      </c>
      <c r="E17" s="4">
        <f t="shared" si="15"/>
        <v>7</v>
      </c>
      <c r="F17" s="4">
        <f t="shared" si="15"/>
        <v>4</v>
      </c>
      <c r="G17" s="4">
        <f t="shared" si="15"/>
        <v>10</v>
      </c>
      <c r="H17" s="4">
        <f t="shared" si="15"/>
        <v>6</v>
      </c>
      <c r="I17" s="4">
        <f t="shared" si="15"/>
        <v>7</v>
      </c>
      <c r="J17" s="4">
        <f t="shared" si="15"/>
        <v>20</v>
      </c>
      <c r="K17" s="4">
        <f t="shared" si="15"/>
        <v>25</v>
      </c>
      <c r="L17" s="4">
        <f t="shared" si="15"/>
        <v>30</v>
      </c>
      <c r="M17" s="4">
        <f t="shared" si="15"/>
        <v>36</v>
      </c>
      <c r="N17" s="4">
        <f t="shared" ref="N17" si="16">ROUND(N16*N23,0)</f>
        <v>42</v>
      </c>
    </row>
    <row r="18" spans="1:14" ht="14.25" customHeight="1">
      <c r="A18" s="177" t="s">
        <v>214</v>
      </c>
      <c r="C18" s="4">
        <f t="shared" ref="C18:M18" si="17">C17*$B$26</f>
        <v>217.34399999999999</v>
      </c>
      <c r="D18" s="4">
        <f t="shared" si="17"/>
        <v>108.672</v>
      </c>
      <c r="E18" s="4">
        <f t="shared" si="17"/>
        <v>253.56799999999998</v>
      </c>
      <c r="F18" s="4">
        <f t="shared" si="17"/>
        <v>144.89599999999999</v>
      </c>
      <c r="G18" s="4">
        <f t="shared" si="17"/>
        <v>362.23999999999995</v>
      </c>
      <c r="H18" s="4">
        <f t="shared" si="17"/>
        <v>217.34399999999999</v>
      </c>
      <c r="I18" s="4">
        <f t="shared" si="17"/>
        <v>253.56799999999998</v>
      </c>
      <c r="J18" s="4">
        <f t="shared" si="17"/>
        <v>724.4799999999999</v>
      </c>
      <c r="K18" s="4">
        <f t="shared" si="17"/>
        <v>905.59999999999991</v>
      </c>
      <c r="L18" s="4">
        <f t="shared" si="17"/>
        <v>1086.7199999999998</v>
      </c>
      <c r="M18" s="4">
        <f t="shared" si="17"/>
        <v>1304.0639999999999</v>
      </c>
      <c r="N18" s="4">
        <f t="shared" ref="N18" si="18">N17*$B$26</f>
        <v>1521.4079999999999</v>
      </c>
    </row>
    <row r="19" spans="1:14" ht="14.25" customHeight="1">
      <c r="A19" s="177" t="s">
        <v>183</v>
      </c>
      <c r="C19" s="6">
        <f t="shared" ref="C19:M19" si="19">C5/C3</f>
        <v>0.41226156683953114</v>
      </c>
      <c r="D19" s="6">
        <f t="shared" si="19"/>
        <v>0.35199394005443918</v>
      </c>
      <c r="E19" s="6">
        <f t="shared" si="19"/>
        <v>0.3948902776604048</v>
      </c>
      <c r="F19" s="6">
        <f t="shared" si="19"/>
        <v>0.41204039579792923</v>
      </c>
      <c r="G19" s="6">
        <f t="shared" si="19"/>
        <v>0.41043346087114885</v>
      </c>
      <c r="H19" s="6">
        <f t="shared" si="19"/>
        <v>0.4376479465758088</v>
      </c>
      <c r="I19" s="6">
        <f t="shared" si="19"/>
        <v>0.42342563621475432</v>
      </c>
      <c r="J19" s="6">
        <f t="shared" si="19"/>
        <v>0.51581027155018933</v>
      </c>
      <c r="K19" s="6">
        <f t="shared" si="19"/>
        <v>0.53809670380142505</v>
      </c>
      <c r="L19" s="6">
        <f t="shared" si="19"/>
        <v>0.55456262708363391</v>
      </c>
      <c r="M19" s="6">
        <f t="shared" si="19"/>
        <v>0.58434896089901167</v>
      </c>
      <c r="N19" s="6">
        <f t="shared" ref="N19" si="20">N5/N3</f>
        <v>0.61007677306260244</v>
      </c>
    </row>
    <row r="20" spans="1:14" ht="14.25" customHeight="1">
      <c r="A20" s="177" t="s">
        <v>215</v>
      </c>
      <c r="C20" s="6">
        <f t="shared" ref="C20:M20" si="21">(C12-C11-C9)/C3</f>
        <v>0.12245984998375894</v>
      </c>
      <c r="D20" s="6">
        <f t="shared" si="21"/>
        <v>3.1464437275817082E-2</v>
      </c>
      <c r="E20" s="6">
        <f t="shared" si="21"/>
        <v>7.4090622994014074E-2</v>
      </c>
      <c r="F20" s="6">
        <f t="shared" si="21"/>
        <v>0.10073015632008483</v>
      </c>
      <c r="G20" s="6">
        <f t="shared" si="21"/>
        <v>0.12546171587571087</v>
      </c>
      <c r="H20" s="6">
        <f t="shared" si="21"/>
        <v>0.10045909446613735</v>
      </c>
      <c r="I20" s="6">
        <f t="shared" si="21"/>
        <v>9.5199263214028912E-2</v>
      </c>
      <c r="J20" s="6">
        <f t="shared" si="21"/>
        <v>0.22065427354505543</v>
      </c>
      <c r="K20" s="6">
        <f t="shared" si="21"/>
        <v>0.23852978164354061</v>
      </c>
      <c r="L20" s="6">
        <f t="shared" si="21"/>
        <v>0.24428665413715475</v>
      </c>
      <c r="M20" s="6">
        <f t="shared" si="21"/>
        <v>0.25566994652348229</v>
      </c>
      <c r="N20" s="6">
        <f t="shared" ref="N20" si="22">(N12-N11-N9)/N3</f>
        <v>0.25305780432479169</v>
      </c>
    </row>
    <row r="21" spans="1:14" ht="14.25" customHeight="1">
      <c r="A21" s="177" t="s">
        <v>216</v>
      </c>
      <c r="C21" s="6">
        <f t="shared" ref="C21:M21" si="23">-C13/C12</f>
        <v>0.34592398432769478</v>
      </c>
      <c r="D21" s="6">
        <f t="shared" si="23"/>
        <v>0.43289841416024583</v>
      </c>
      <c r="E21" s="6">
        <f t="shared" si="23"/>
        <v>0.30911917355402391</v>
      </c>
      <c r="F21" s="6">
        <f t="shared" si="23"/>
        <v>0.27029383461774026</v>
      </c>
      <c r="G21" s="6">
        <f t="shared" si="23"/>
        <v>0.26255584267573262</v>
      </c>
      <c r="H21" s="6">
        <f t="shared" si="23"/>
        <v>0.45320174725067508</v>
      </c>
      <c r="I21" s="6">
        <f t="shared" si="23"/>
        <v>0.42101679124720087</v>
      </c>
      <c r="J21" s="6">
        <f t="shared" si="23"/>
        <v>0.39850361106241172</v>
      </c>
      <c r="K21" s="6">
        <f t="shared" si="23"/>
        <v>0.39996496890727262</v>
      </c>
      <c r="L21" s="6">
        <f t="shared" si="23"/>
        <v>0.40213085489401107</v>
      </c>
      <c r="M21" s="6">
        <f t="shared" si="23"/>
        <v>0.40378054423428128</v>
      </c>
      <c r="N21" s="6">
        <f t="shared" ref="N21" si="24">-N13/N12</f>
        <v>0.40612819985586612</v>
      </c>
    </row>
    <row r="22" spans="1:14" ht="14.25" customHeight="1">
      <c r="A22" s="177" t="s">
        <v>217</v>
      </c>
      <c r="C22" s="6">
        <f t="shared" ref="C22:M22" si="25">C14/C3</f>
        <v>9.146226246169098E-2</v>
      </c>
      <c r="D22" s="6">
        <f t="shared" si="25"/>
        <v>3.2860891329853641E-2</v>
      </c>
      <c r="E22" s="6">
        <f t="shared" si="25"/>
        <v>7.2333737627499908E-2</v>
      </c>
      <c r="F22" s="6">
        <f t="shared" si="25"/>
        <v>7.3245971292600201E-2</v>
      </c>
      <c r="G22" s="6">
        <f t="shared" si="25"/>
        <v>0.10310979189490904</v>
      </c>
      <c r="H22" s="6">
        <f t="shared" si="25"/>
        <v>6.5845038952764182E-2</v>
      </c>
      <c r="I22" s="6">
        <f t="shared" si="25"/>
        <v>6.737864721282219E-2</v>
      </c>
      <c r="J22" s="6">
        <f t="shared" si="25"/>
        <v>0.13938310271637094</v>
      </c>
      <c r="K22" s="6">
        <f t="shared" si="25"/>
        <v>0.15217600504902232</v>
      </c>
      <c r="L22" s="6">
        <f t="shared" si="25"/>
        <v>0.15790385974695667</v>
      </c>
      <c r="M22" s="6">
        <f t="shared" si="25"/>
        <v>0.16697981321302047</v>
      </c>
      <c r="N22" s="6">
        <f t="shared" ref="N22" si="26">N14/N3</f>
        <v>0.16761636050855275</v>
      </c>
    </row>
    <row r="23" spans="1:14" ht="14.25" customHeight="1">
      <c r="A23" s="177" t="s">
        <v>218</v>
      </c>
      <c r="C23" s="6">
        <f>53.7%</f>
        <v>0.53700000000000003</v>
      </c>
      <c r="D23" s="6">
        <f>63.3%</f>
        <v>0.63300000000000001</v>
      </c>
      <c r="E23" s="6">
        <f>72.1%</f>
        <v>0.72099999999999997</v>
      </c>
      <c r="F23" s="178">
        <v>0.36599999999999999</v>
      </c>
      <c r="G23" s="178">
        <v>0.499</v>
      </c>
      <c r="H23" s="6">
        <v>0.43</v>
      </c>
      <c r="I23" s="6">
        <v>0.43</v>
      </c>
      <c r="J23" s="6">
        <v>0.43</v>
      </c>
      <c r="K23" s="6">
        <v>0.43</v>
      </c>
      <c r="L23" s="6">
        <v>0.43</v>
      </c>
      <c r="M23" s="6">
        <v>0.43</v>
      </c>
      <c r="N23" s="6">
        <v>0.43</v>
      </c>
    </row>
    <row r="24" spans="1:14" ht="14.25" customHeight="1" thickBot="1">
      <c r="A24" s="179" t="s">
        <v>219</v>
      </c>
      <c r="C24" s="6">
        <f>C14/AVERAGE(BS!C76,BS!D76)</f>
        <v>8.1557526333602026E-2</v>
      </c>
      <c r="D24" s="6">
        <f>D14/AVERAGE(BS!D76,BS!E76)</f>
        <v>3.0014710206733089E-2</v>
      </c>
      <c r="E24" s="6">
        <f>E14/AVERAGE(BS!E76,BS!F76)</f>
        <v>7.0993146190093143E-2</v>
      </c>
      <c r="F24" s="6">
        <f>F14/AVERAGE(BS!F76,BS!G76)</f>
        <v>6.681008363555932E-2</v>
      </c>
      <c r="G24" s="6">
        <f>G14/AVERAGE(BS!G76,BS!H76)</f>
        <v>0.11380405774876001</v>
      </c>
      <c r="H24" s="6">
        <f>H14/AVERAGE(BS!H76,BS!I76)</f>
        <v>7.6765355876791688E-2</v>
      </c>
      <c r="I24" s="6">
        <f>I14/AVERAGE(BS!I76,BS!J76)</f>
        <v>8.2213982857771317E-2</v>
      </c>
      <c r="J24" s="6">
        <f>J14/AVERAGE(BS!J76,BS!K76)</f>
        <v>0.19769844601540101</v>
      </c>
      <c r="K24" s="6">
        <f>K14/AVERAGE(BS!K76,BS!L76)</f>
        <v>0.21651800596754436</v>
      </c>
      <c r="L24" s="6">
        <f>L14/AVERAGE(BS!L76,BS!M76)</f>
        <v>0.22202005589213497</v>
      </c>
      <c r="M24" s="6">
        <f>M14/AVERAGE(BS!M76,BS!N76)</f>
        <v>0.231506582637383</v>
      </c>
      <c r="N24" s="6">
        <f>N14/AVERAGE(BS!N76,BS!O76)</f>
        <v>0.2482782393202724</v>
      </c>
    </row>
    <row r="25" spans="1:14" ht="14.25" customHeight="1" thickBot="1">
      <c r="H25" s="72"/>
    </row>
    <row r="26" spans="1:14" ht="14.25" customHeight="1">
      <c r="A26" s="180" t="s">
        <v>220</v>
      </c>
      <c r="B26" s="181">
        <v>36.223999999999997</v>
      </c>
      <c r="H26" s="72"/>
    </row>
    <row r="27" spans="1:14" ht="14.25" customHeight="1">
      <c r="E27" s="72"/>
    </row>
    <row r="28" spans="1:14" ht="14.25" customHeight="1"/>
    <row r="29" spans="1:14" ht="14.25" customHeight="1">
      <c r="A29" s="182" t="s">
        <v>221</v>
      </c>
    </row>
    <row r="30" spans="1:14" ht="14.25" customHeight="1">
      <c r="A30" s="183"/>
    </row>
    <row r="31" spans="1:14" ht="14.25" customHeight="1">
      <c r="A31" s="184" t="s">
        <v>222</v>
      </c>
      <c r="C31" s="148">
        <f t="shared" ref="C31:M31" si="27">C12-C11</f>
        <v>619.1810119999999</v>
      </c>
      <c r="D31" s="148">
        <f t="shared" si="27"/>
        <v>269.39697800000016</v>
      </c>
      <c r="E31" s="148">
        <f t="shared" si="27"/>
        <v>565.84896499999968</v>
      </c>
      <c r="F31" s="148">
        <f t="shared" si="27"/>
        <v>637.11727299999893</v>
      </c>
      <c r="G31" s="148">
        <f t="shared" si="27"/>
        <v>995.36918399999865</v>
      </c>
      <c r="H31" s="148">
        <f t="shared" si="27"/>
        <v>949.37937999251062</v>
      </c>
      <c r="I31" s="148">
        <f t="shared" si="27"/>
        <v>1049.4095555301415</v>
      </c>
      <c r="J31" s="148">
        <f t="shared" si="27"/>
        <v>2770.3457665616097</v>
      </c>
      <c r="K31" s="148">
        <f t="shared" si="27"/>
        <v>3513.6994258117234</v>
      </c>
      <c r="L31" s="148">
        <f t="shared" si="27"/>
        <v>4204.2072013528632</v>
      </c>
      <c r="M31" s="148">
        <f t="shared" si="27"/>
        <v>5122.4749081971668</v>
      </c>
      <c r="N31" s="148">
        <f t="shared" ref="N31" si="28">N12-N11</f>
        <v>5932.3429014244193</v>
      </c>
    </row>
    <row r="32" spans="1:14" ht="14.25" customHeight="1">
      <c r="A32" s="184" t="s">
        <v>223</v>
      </c>
      <c r="C32" s="5"/>
      <c r="D32" s="4">
        <f>ASSUMPTIONS!D171</f>
        <v>207.75502299999999</v>
      </c>
      <c r="E32" s="4">
        <f>ASSUMPTIONS!E171</f>
        <v>285.49510500000002</v>
      </c>
      <c r="F32" s="4">
        <f>ASSUMPTIONS!F171</f>
        <v>325.56093199999998</v>
      </c>
      <c r="G32" s="4">
        <f>ASSUMPTIONS!G171</f>
        <v>316.27826499999998</v>
      </c>
      <c r="H32" s="4">
        <f>ASSUMPTIONS!H171</f>
        <v>54.500432857822688</v>
      </c>
      <c r="I32" s="4">
        <f>ASSUMPTIONS!I171</f>
        <v>58.167824679212337</v>
      </c>
      <c r="J32" s="4">
        <f>ASSUMPTIONS!J171</f>
        <v>63.721133932237599</v>
      </c>
      <c r="K32" s="4">
        <f>ASSUMPTIONS!K171</f>
        <v>68.898817344072128</v>
      </c>
      <c r="L32" s="4">
        <f>ASSUMPTIONS!L171</f>
        <v>74.984727473959694</v>
      </c>
      <c r="M32" s="4">
        <f>ASSUMPTIONS!M171</f>
        <v>81.342333814797286</v>
      </c>
      <c r="N32" s="4">
        <f>ASSUMPTIONS!N171</f>
        <v>88.383021872904735</v>
      </c>
    </row>
    <row r="33" spans="1:14" ht="14.25" customHeight="1">
      <c r="A33" s="184" t="s">
        <v>224</v>
      </c>
      <c r="C33" s="5"/>
      <c r="D33" s="4">
        <f>ASSUMPTIONS!D172</f>
        <v>2.0443419999999999</v>
      </c>
      <c r="E33" s="4">
        <f>ASSUMPTIONS!E172</f>
        <v>1.285093</v>
      </c>
      <c r="F33" s="4">
        <f>ASSUMPTIONS!F172</f>
        <v>0.58804400000000001</v>
      </c>
      <c r="G33" s="128">
        <f>ASSUMPTIONS!G172</f>
        <v>0.420879</v>
      </c>
      <c r="H33" s="128">
        <f>ASSUMPTIONS!H172</f>
        <v>0.4946342985769332</v>
      </c>
      <c r="I33" s="128">
        <f>ASSUMPTIONS!I172</f>
        <v>0.51327031773468768</v>
      </c>
      <c r="J33" s="128">
        <f>ASSUMPTIONS!J172</f>
        <v>0.53260847423117375</v>
      </c>
      <c r="K33" s="128">
        <f>ASSUMPTIONS!K172</f>
        <v>0.55267522204447916</v>
      </c>
      <c r="L33" s="128">
        <f>ASSUMPTIONS!L172</f>
        <v>0.5734980118422538</v>
      </c>
      <c r="M33" s="128">
        <f>ASSUMPTIONS!M172</f>
        <v>0.59510532853334253</v>
      </c>
      <c r="N33" s="128">
        <f>ASSUMPTIONS!N172</f>
        <v>0.61752673023422799</v>
      </c>
    </row>
    <row r="34" spans="1:14" ht="14.25" customHeight="1">
      <c r="A34" s="183"/>
    </row>
    <row r="35" spans="1:14" ht="14.25" customHeight="1">
      <c r="A35" s="184" t="s">
        <v>225</v>
      </c>
      <c r="H35" s="185"/>
      <c r="I35" s="185"/>
      <c r="J35" s="185"/>
    </row>
    <row r="36" spans="1:14" ht="14.25" customHeight="1">
      <c r="A36" s="184" t="s">
        <v>226</v>
      </c>
      <c r="C36" s="128">
        <f>SUM(BS!C54:C61)-SUM(BS!B54:B61)</f>
        <v>2785.4703930000001</v>
      </c>
      <c r="D36" s="128">
        <f>SUM(BS!D54:D61)-SUM(BS!C54:C61)</f>
        <v>26.16000699999995</v>
      </c>
      <c r="E36" s="128">
        <f>SUM(BS!E54:E61)-SUM(BS!D54:D61)</f>
        <v>164.52896700000019</v>
      </c>
      <c r="F36" s="128">
        <f>SUM(BS!F54:F61)-SUM(BS!E54:E61)</f>
        <v>795.23629600000004</v>
      </c>
      <c r="G36" s="128">
        <f>SUM(BS!G54:G61)-SUM(BS!F54:F61)</f>
        <v>836.19582599999922</v>
      </c>
      <c r="H36" s="128">
        <f>SUM(BS!H54:H61)-SUM(BS!G54:G61)</f>
        <v>628.78687219630319</v>
      </c>
      <c r="I36" s="128">
        <f>SUM(BS!I54:I61)-SUM(BS!H54:H61)</f>
        <v>605.4110775631143</v>
      </c>
      <c r="J36" s="128">
        <f>SUM(BS!J54:J61)-SUM(BS!I54:I61)</f>
        <v>866.49107299448224</v>
      </c>
      <c r="K36" s="128">
        <f>SUM(BS!K54:K61)-SUM(BS!J54:J61)</f>
        <v>666.42176812805883</v>
      </c>
      <c r="L36" s="128">
        <f>SUM(BS!L54:L61)-SUM(BS!K54:K61)</f>
        <v>736.86439714636617</v>
      </c>
      <c r="M36" s="128">
        <f>SUM(BS!M54:M61)-SUM(BS!L54:L61)</f>
        <v>705.12948504215819</v>
      </c>
      <c r="N36" s="128">
        <f>SUM(BS!N54:N61)-SUM(BS!M54:M61)</f>
        <v>812.58480438925108</v>
      </c>
    </row>
    <row r="37" spans="1:14" ht="14.25" customHeight="1">
      <c r="A37" s="184" t="s">
        <v>227</v>
      </c>
      <c r="C37" s="128">
        <f>SUM(BS!C87:C93)-SUM(BS!B87:B93)</f>
        <v>862.14097900000002</v>
      </c>
      <c r="D37" s="128">
        <f>SUM(BS!D87:D93)-SUM(BS!C87:C93)</f>
        <v>15.174705999999901</v>
      </c>
      <c r="E37" s="128">
        <f>SUM(BS!E87:E93)-SUM(BS!D87:D93)</f>
        <v>209.17558100000008</v>
      </c>
      <c r="F37" s="128">
        <f>SUM(BS!F87:F93)-SUM(BS!E87:E93)</f>
        <v>441.02620400000001</v>
      </c>
      <c r="G37" s="128">
        <f>SUM(BS!G87:G93)-SUM(BS!F87:F93)</f>
        <v>516.5019299999999</v>
      </c>
      <c r="H37" s="128">
        <f>SUM(BS!H87:H90,BS!H92:H93)-SUM(BS!G87:G90,BS!G92:G93)</f>
        <v>71.723255442926757</v>
      </c>
      <c r="I37" s="128">
        <f>SUM(BS!I87:I90,BS!I92:I93)-SUM(BS!H87:H90,BS!H92:H93)</f>
        <v>304.81441822193756</v>
      </c>
      <c r="J37" s="128">
        <f>SUM(BS!J87:J90,BS!J92:J93)-SUM(BS!I87:I90,BS!I92:I93)</f>
        <v>240.59901964732126</v>
      </c>
      <c r="K37" s="128">
        <f>SUM(BS!K87:K90,BS!K92:K93)-SUM(BS!J87:J90,BS!J92:J93)</f>
        <v>245.25332100426976</v>
      </c>
      <c r="L37" s="128">
        <f>SUM(BS!L87:L90,BS!L92:L93)-SUM(BS!K87:K90,BS!K92:K93)</f>
        <v>280.78342380911636</v>
      </c>
      <c r="M37" s="128">
        <f>SUM(BS!M87:M90,BS!M92:M93)-SUM(BS!L87:L90,BS!L92:L93)</f>
        <v>206.7514919956534</v>
      </c>
      <c r="N37" s="128">
        <f>SUM(BS!N87:N90,BS!N92:N93)-SUM(BS!M87:M90,BS!M92:M93)</f>
        <v>242.41924960377537</v>
      </c>
    </row>
    <row r="38" spans="1:14" ht="14.25" customHeight="1">
      <c r="A38" s="183"/>
    </row>
    <row r="39" spans="1:14" ht="14.25" customHeight="1">
      <c r="A39" s="184" t="s">
        <v>228</v>
      </c>
      <c r="C39" s="4">
        <f t="shared" ref="C39:M39" si="29">C31+C32+C33-C36+C37</f>
        <v>-1304.148402</v>
      </c>
      <c r="D39" s="4">
        <f t="shared" si="29"/>
        <v>468.21104200000008</v>
      </c>
      <c r="E39" s="4">
        <f t="shared" si="29"/>
        <v>897.27577699999949</v>
      </c>
      <c r="F39" s="4">
        <f t="shared" si="29"/>
        <v>609.05615699999885</v>
      </c>
      <c r="G39" s="4">
        <f t="shared" si="29"/>
        <v>992.37443199999939</v>
      </c>
      <c r="H39" s="4">
        <f t="shared" si="29"/>
        <v>447.3108303955338</v>
      </c>
      <c r="I39" s="4">
        <f t="shared" si="29"/>
        <v>807.49399118591168</v>
      </c>
      <c r="J39" s="4">
        <f t="shared" si="29"/>
        <v>2208.7074556209172</v>
      </c>
      <c r="K39" s="4">
        <f t="shared" si="29"/>
        <v>3161.9824712540508</v>
      </c>
      <c r="L39" s="4">
        <f t="shared" si="29"/>
        <v>3823.6844535014152</v>
      </c>
      <c r="M39" s="4">
        <f t="shared" si="29"/>
        <v>4706.0343542939936</v>
      </c>
      <c r="N39" s="4">
        <f t="shared" ref="N39" si="30">N31+N32+N33-N36+N37</f>
        <v>5451.1778952420827</v>
      </c>
    </row>
    <row r="40" spans="1:14" ht="14.25" customHeight="1">
      <c r="A40" s="184" t="s">
        <v>202</v>
      </c>
      <c r="C40" s="4">
        <f t="shared" ref="C40:M40" si="31">C13</f>
        <v>-208.553225</v>
      </c>
      <c r="D40" s="4">
        <f t="shared" si="31"/>
        <v>-111.85964199999999</v>
      </c>
      <c r="E40" s="4">
        <f t="shared" si="31"/>
        <v>-167.672113</v>
      </c>
      <c r="F40" s="4">
        <f t="shared" si="31"/>
        <v>-164.874799</v>
      </c>
      <c r="G40" s="4">
        <f t="shared" si="31"/>
        <v>-255.63210699999999</v>
      </c>
      <c r="H40" s="4">
        <f t="shared" si="31"/>
        <v>-426.03061026557918</v>
      </c>
      <c r="I40" s="4">
        <f t="shared" si="31"/>
        <v>-438.79335053485426</v>
      </c>
      <c r="J40" s="4">
        <f t="shared" si="31"/>
        <v>-1101.2683075083455</v>
      </c>
      <c r="K40" s="4">
        <f t="shared" si="31"/>
        <v>-1402.6433614983514</v>
      </c>
      <c r="L40" s="4">
        <f t="shared" si="31"/>
        <v>-1687.9166413075229</v>
      </c>
      <c r="M40" s="4">
        <f t="shared" si="31"/>
        <v>-2065.6202228519564</v>
      </c>
      <c r="N40" s="4">
        <f t="shared" ref="N40" si="32">N13</f>
        <v>-2406.540430080689</v>
      </c>
    </row>
    <row r="41" spans="1:14" ht="14.25" customHeight="1" thickBot="1">
      <c r="A41" s="184" t="s">
        <v>229</v>
      </c>
      <c r="C41" s="113">
        <f t="shared" ref="C41:M41" si="33">C11</f>
        <v>-16.293572999999999</v>
      </c>
      <c r="D41" s="113">
        <f t="shared" si="33"/>
        <v>-11</v>
      </c>
      <c r="E41" s="113">
        <f t="shared" si="33"/>
        <v>-23.429964999999999</v>
      </c>
      <c r="F41" s="113">
        <f t="shared" si="33"/>
        <v>-27.133699999999997</v>
      </c>
      <c r="G41" s="113">
        <f t="shared" si="33"/>
        <v>-21.739709999999999</v>
      </c>
      <c r="H41" s="113">
        <f t="shared" si="33"/>
        <v>-9.3331139529999998</v>
      </c>
      <c r="I41" s="123">
        <f t="shared" si="33"/>
        <v>-7.1866331735464994</v>
      </c>
      <c r="J41" s="123">
        <f t="shared" si="33"/>
        <v>-6.8367871263639906</v>
      </c>
      <c r="K41" s="123">
        <f t="shared" si="33"/>
        <v>-6.7838943579212208</v>
      </c>
      <c r="L41" s="123">
        <f t="shared" si="33"/>
        <v>-6.7758907104494392</v>
      </c>
      <c r="M41" s="123">
        <f t="shared" si="33"/>
        <v>-6.7746785856982372</v>
      </c>
      <c r="N41" s="123">
        <f t="shared" ref="N41" si="34">N11</f>
        <v>-6.774494860275289</v>
      </c>
    </row>
    <row r="42" spans="1:14" ht="14.25" customHeight="1" thickBot="1">
      <c r="A42" s="186" t="s">
        <v>230</v>
      </c>
      <c r="B42" s="186"/>
      <c r="C42" s="186">
        <f t="shared" ref="C42:N42" si="35">SUM(C39:C41)</f>
        <v>-1528.9951999999998</v>
      </c>
      <c r="D42" s="186">
        <f t="shared" si="35"/>
        <v>345.35140000000007</v>
      </c>
      <c r="E42" s="186">
        <f t="shared" si="35"/>
        <v>706.17369899999949</v>
      </c>
      <c r="F42" s="186">
        <f t="shared" si="35"/>
        <v>417.04765799999888</v>
      </c>
      <c r="G42" s="186">
        <f t="shared" si="35"/>
        <v>715.00261499999942</v>
      </c>
      <c r="H42" s="186">
        <f t="shared" si="35"/>
        <v>11.947106176954614</v>
      </c>
      <c r="I42" s="186">
        <f t="shared" si="35"/>
        <v>361.51400747751092</v>
      </c>
      <c r="J42" s="186">
        <f t="shared" si="35"/>
        <v>1100.6023609862077</v>
      </c>
      <c r="K42" s="186">
        <f t="shared" si="35"/>
        <v>1752.5552153977781</v>
      </c>
      <c r="L42" s="186">
        <f t="shared" si="35"/>
        <v>2128.9919214834431</v>
      </c>
      <c r="M42" s="186">
        <f t="shared" si="35"/>
        <v>2633.6394528563387</v>
      </c>
      <c r="N42" s="186">
        <f t="shared" si="35"/>
        <v>3037.8629703011184</v>
      </c>
    </row>
    <row r="43" spans="1:14" ht="14.25" customHeight="1">
      <c r="A43" s="183"/>
    </row>
    <row r="44" spans="1:14" ht="14.25" customHeight="1">
      <c r="A44" s="184" t="s">
        <v>231</v>
      </c>
      <c r="C44" s="4">
        <f>-(BS!C7-BS!B7+ASSUMPTIONS!C172)</f>
        <v>-2566.3219899999999</v>
      </c>
      <c r="D44" s="4">
        <f>-(BS!D7-BS!C7+ASSUMPTIONS!D171)</f>
        <v>-290.64913899999993</v>
      </c>
      <c r="E44" s="4">
        <f>-(BS!E7-BS!D7+ASSUMPTIONS!E171)</f>
        <v>-357.15529900000007</v>
      </c>
      <c r="F44" s="4">
        <f>-(BS!F7-BS!E7+ASSUMPTIONS!F171)</f>
        <v>-913.51939400000003</v>
      </c>
      <c r="G44" s="4">
        <f>-(BS!G7-BS!F7+ASSUMPTIONS!G171)</f>
        <v>-254.16257899999988</v>
      </c>
      <c r="H44" s="4">
        <f>-(BS!H7-BS!G7+ASSUMPTIONS!H171)</f>
        <v>-297.98088352695163</v>
      </c>
      <c r="I44" s="4">
        <f>-(BS!I7-BS!H7+ASSUMPTIONS!I171)-500</f>
        <v>-809.63914398214069</v>
      </c>
      <c r="J44" s="4">
        <f>-(BS!J7-BS!I7+ASSUMPTIONS!J171)</f>
        <v>-345.7735047199572</v>
      </c>
      <c r="K44" s="4">
        <f>-(BS!K7-BS!J7+ASSUMPTIONS!K171)</f>
        <v>-365.37718660040724</v>
      </c>
      <c r="L44" s="4">
        <f>-(BS!L7-BS!K7+ASSUMPTIONS!L171)</f>
        <v>-396.84581800133145</v>
      </c>
      <c r="M44" s="4">
        <f>-(BS!M7-BS!L7+ASSUMPTIONS!M171)</f>
        <v>-425.12995616158014</v>
      </c>
      <c r="N44" s="4">
        <f>-(BS!N7-BS!M7+ASSUMPTIONS!N171)</f>
        <v>-458.57249829204949</v>
      </c>
    </row>
    <row r="45" spans="1:14" ht="14.25" customHeight="1">
      <c r="A45" s="184" t="s">
        <v>232</v>
      </c>
      <c r="C45" s="114">
        <f>(BS!C31-BS!B31+ASSUMPTIONS!C173)*-1</f>
        <v>-2.3196379999999999</v>
      </c>
      <c r="D45" s="114">
        <f>(BS!D31-BS!C31+ASSUMPTIONS!D172)*-1</f>
        <v>-1.7409759999999999</v>
      </c>
      <c r="E45" s="114">
        <f>(BS!E31-BS!D31+ASSUMPTIONS!E172)*-1</f>
        <v>-2.2204460492503131E-16</v>
      </c>
      <c r="F45" s="114">
        <f>(BS!F31-BS!E31+ASSUMPTIONS!F172)*-1</f>
        <v>-0.28036299999999997</v>
      </c>
      <c r="G45" s="114">
        <f>(BS!G31-BS!F31+ASSUMPTIONS!G172)*-1</f>
        <v>-0.63554400000000011</v>
      </c>
      <c r="H45" s="114">
        <f>(BS!H31-BS!G31+ASSUMPTIONS!H172)*-1</f>
        <v>-0.48330992542245377</v>
      </c>
      <c r="I45" s="114">
        <f>(BS!I31-BS!H31+ASSUMPTIONS!I172)*-1</f>
        <v>-0.50027760903654162</v>
      </c>
      <c r="J45" s="114">
        <f>(BS!J31-BS!I31+ASSUMPTIONS!J172)*-1</f>
        <v>-0.51784098140453827</v>
      </c>
      <c r="K45" s="114">
        <f>(BS!K31-BS!J31+ASSUMPTIONS!K172)*-1</f>
        <v>-0.53602095552197471</v>
      </c>
      <c r="L45" s="114">
        <f>(BS!L31-BS!K31+ASSUMPTIONS!L172)*-1</f>
        <v>-0.55483917858219167</v>
      </c>
      <c r="M45" s="114">
        <f>(BS!M31-BS!L31+ASSUMPTIONS!M172)*-1</f>
        <v>-0.57431805775202127</v>
      </c>
      <c r="N45" s="114">
        <f>(BS!N31-BS!M31+ASSUMPTIONS!N172)*-1</f>
        <v>-0.59448078685235073</v>
      </c>
    </row>
    <row r="46" spans="1:14" ht="14.25" customHeight="1" thickBot="1">
      <c r="A46" s="184" t="s">
        <v>233</v>
      </c>
      <c r="C46" s="89" t="s">
        <v>139</v>
      </c>
      <c r="D46" s="89" t="s">
        <v>139</v>
      </c>
      <c r="E46" s="89" t="s">
        <v>139</v>
      </c>
      <c r="F46" s="89" t="s">
        <v>139</v>
      </c>
      <c r="G46" s="89" t="s">
        <v>139</v>
      </c>
      <c r="H46" s="89" t="s">
        <v>139</v>
      </c>
      <c r="I46" s="89" t="s">
        <v>139</v>
      </c>
      <c r="J46" s="89" t="s">
        <v>139</v>
      </c>
      <c r="K46" s="89" t="s">
        <v>139</v>
      </c>
      <c r="L46" s="89" t="s">
        <v>139</v>
      </c>
      <c r="M46" s="89" t="s">
        <v>139</v>
      </c>
      <c r="N46" s="89" t="s">
        <v>139</v>
      </c>
    </row>
    <row r="47" spans="1:14" ht="14.25" customHeight="1" thickBot="1">
      <c r="A47" s="186" t="s">
        <v>234</v>
      </c>
      <c r="B47" s="186"/>
      <c r="C47" s="186">
        <f t="shared" ref="C47:M47" si="36">SUM(C44,C45)</f>
        <v>-2568.6416279999999</v>
      </c>
      <c r="D47" s="186">
        <f t="shared" si="36"/>
        <v>-292.39011499999992</v>
      </c>
      <c r="E47" s="186">
        <f t="shared" si="36"/>
        <v>-357.15529900000007</v>
      </c>
      <c r="F47" s="186">
        <f t="shared" si="36"/>
        <v>-913.799757</v>
      </c>
      <c r="G47" s="186">
        <f t="shared" si="36"/>
        <v>-254.79812299999989</v>
      </c>
      <c r="H47" s="186">
        <f t="shared" si="36"/>
        <v>-298.4641934523741</v>
      </c>
      <c r="I47" s="186">
        <f t="shared" si="36"/>
        <v>-810.13942159117721</v>
      </c>
      <c r="J47" s="186">
        <f t="shared" si="36"/>
        <v>-346.29134570136176</v>
      </c>
      <c r="K47" s="186">
        <f t="shared" si="36"/>
        <v>-365.9132075559292</v>
      </c>
      <c r="L47" s="186">
        <f t="shared" si="36"/>
        <v>-397.40065717991365</v>
      </c>
      <c r="M47" s="186">
        <f t="shared" si="36"/>
        <v>-425.70427421933215</v>
      </c>
      <c r="N47" s="186">
        <f t="shared" ref="N47" si="37">SUM(N44,N45)</f>
        <v>-459.16697907890182</v>
      </c>
    </row>
    <row r="48" spans="1:14" ht="14.25" customHeight="1">
      <c r="A48" s="183"/>
    </row>
    <row r="49" spans="1:14" ht="14.25" customHeight="1">
      <c r="A49" s="187" t="s">
        <v>235</v>
      </c>
    </row>
    <row r="50" spans="1:14" ht="14.25" customHeight="1">
      <c r="A50" s="184" t="s">
        <v>236</v>
      </c>
      <c r="C50" s="4">
        <f>(BS!C79+BS!C80+BS!C81)-(BS!B79+BS!B80+BS!B81)</f>
        <v>167.04663099999999</v>
      </c>
      <c r="D50" s="4">
        <f>(BS!D79+BS!D80+BS!D81)-(BS!C79+BS!C80+BS!C81)</f>
        <v>-1.2861479999999972</v>
      </c>
      <c r="E50" s="4">
        <f>(BS!E79+BS!E80+BS!E81)-(BS!D79+BS!D80+BS!D81)</f>
        <v>13.168023000000005</v>
      </c>
      <c r="F50" s="4">
        <f>(BS!F79+BS!F80+BS!F81)-(BS!E79+BS!E80+BS!E81)</f>
        <v>198.31392200000002</v>
      </c>
      <c r="G50" s="4">
        <f>(BS!G79+BS!G80+BS!G81)-(BS!F79+BS!F80+BS!F81)</f>
        <v>-33.813304000000016</v>
      </c>
      <c r="H50" s="134">
        <f>(BS!H79+BS!H80+BS!H81)-(BS!G79+BS!G80+BS!G81)</f>
        <v>0</v>
      </c>
      <c r="I50" s="134">
        <f>(BS!I79+BS!I80+BS!I81)-(BS!H79+BS!H80+BS!H81)</f>
        <v>0</v>
      </c>
      <c r="J50" s="134">
        <f>(BS!J79+BS!J80+BS!J81)-(BS!I79+BS!I80+BS!I81)</f>
        <v>0</v>
      </c>
      <c r="K50" s="134">
        <f>(BS!K79+BS!K80+BS!K81)-(BS!J79+BS!J80+BS!J81)</f>
        <v>0</v>
      </c>
      <c r="L50" s="134">
        <f>(BS!L79+BS!L80+BS!L81)-(BS!K79+BS!K80+BS!K81)</f>
        <v>0</v>
      </c>
      <c r="M50" s="134">
        <f>(BS!M79+BS!M80+BS!M81)-(BS!L79+BS!L80+BS!L81)</f>
        <v>0</v>
      </c>
      <c r="N50" s="134">
        <f>(BS!N79+BS!N80+BS!N81)-(BS!M79+BS!M80+BS!M81)</f>
        <v>0</v>
      </c>
    </row>
    <row r="51" spans="1:14" ht="14.25" customHeight="1">
      <c r="A51" s="184" t="s">
        <v>198</v>
      </c>
      <c r="C51" s="4">
        <f>BS!C91-BS!B91</f>
        <v>96.852362999999997</v>
      </c>
      <c r="D51" s="4">
        <f>BS!D91-BS!C91</f>
        <v>-94.714079999999996</v>
      </c>
      <c r="E51" s="4" t="s">
        <v>139</v>
      </c>
      <c r="F51" s="4" t="s">
        <v>139</v>
      </c>
      <c r="G51" s="4">
        <f>BS!G91-BS!F91</f>
        <v>-51.017136000000001</v>
      </c>
      <c r="H51" s="4">
        <f>BS!H91-BS!G91</f>
        <v>1773.6014310048577</v>
      </c>
      <c r="I51" s="4">
        <f>BS!I91-BS!H91</f>
        <v>269.91037264249826</v>
      </c>
      <c r="J51" s="4">
        <f>BS!J91-BS!I91</f>
        <v>601.71317693338324</v>
      </c>
      <c r="K51" s="4">
        <f>BS!K91-BS!J91</f>
        <v>400.67740073964796</v>
      </c>
      <c r="L51" s="4">
        <f>BS!L91-BS!K91</f>
        <v>436.77667913046025</v>
      </c>
      <c r="M51" s="4">
        <f>BS!M91-BS!L91</f>
        <v>482.61222870154279</v>
      </c>
      <c r="N51" s="4">
        <f>BS!N91-BS!M91</f>
        <v>555.05145806214296</v>
      </c>
    </row>
    <row r="52" spans="1:14" ht="14.25" customHeight="1" thickBot="1">
      <c r="A52" s="184" t="s">
        <v>237</v>
      </c>
      <c r="C52" s="4">
        <f t="shared" ref="C52:M52" si="38">-C18</f>
        <v>-217.34399999999999</v>
      </c>
      <c r="D52" s="4">
        <f t="shared" si="38"/>
        <v>-108.672</v>
      </c>
      <c r="E52" s="4">
        <f t="shared" si="38"/>
        <v>-253.56799999999998</v>
      </c>
      <c r="F52" s="4">
        <f t="shared" si="38"/>
        <v>-144.89599999999999</v>
      </c>
      <c r="G52" s="4">
        <f t="shared" si="38"/>
        <v>-362.23999999999995</v>
      </c>
      <c r="H52" s="4">
        <f t="shared" si="38"/>
        <v>-217.34399999999999</v>
      </c>
      <c r="I52" s="4">
        <f t="shared" si="38"/>
        <v>-253.56799999999998</v>
      </c>
      <c r="J52" s="4">
        <f t="shared" si="38"/>
        <v>-724.4799999999999</v>
      </c>
      <c r="K52" s="4">
        <f t="shared" si="38"/>
        <v>-905.59999999999991</v>
      </c>
      <c r="L52" s="4">
        <f t="shared" si="38"/>
        <v>-1086.7199999999998</v>
      </c>
      <c r="M52" s="4">
        <f t="shared" si="38"/>
        <v>-1304.0639999999999</v>
      </c>
      <c r="N52" s="4">
        <f t="shared" ref="N52" si="39">-N18</f>
        <v>-1521.4079999999999</v>
      </c>
    </row>
    <row r="53" spans="1:14" ht="14.25" customHeight="1" thickBot="1">
      <c r="A53" s="186" t="s">
        <v>238</v>
      </c>
      <c r="B53" s="186"/>
      <c r="C53" s="186">
        <f t="shared" ref="C53:M53" si="40">SUM(C50:C52)</f>
        <v>46.554994000000022</v>
      </c>
      <c r="D53" s="186">
        <f t="shared" si="40"/>
        <v>-204.67222799999999</v>
      </c>
      <c r="E53" s="186">
        <f t="shared" si="40"/>
        <v>-240.39997699999998</v>
      </c>
      <c r="F53" s="186">
        <f t="shared" si="40"/>
        <v>53.417922000000033</v>
      </c>
      <c r="G53" s="186">
        <f t="shared" si="40"/>
        <v>-447.07043999999996</v>
      </c>
      <c r="H53" s="186">
        <f t="shared" si="40"/>
        <v>1556.2574310048576</v>
      </c>
      <c r="I53" s="186">
        <f t="shared" si="40"/>
        <v>16.342372642498276</v>
      </c>
      <c r="J53" s="186">
        <f t="shared" si="40"/>
        <v>-122.76682306661667</v>
      </c>
      <c r="K53" s="186">
        <f t="shared" si="40"/>
        <v>-504.92259926035194</v>
      </c>
      <c r="L53" s="186">
        <f t="shared" si="40"/>
        <v>-649.94332086953955</v>
      </c>
      <c r="M53" s="186">
        <f t="shared" si="40"/>
        <v>-821.45177129845706</v>
      </c>
      <c r="N53" s="186">
        <f t="shared" ref="N53" si="41">SUM(N50:N52)</f>
        <v>-966.35654193785695</v>
      </c>
    </row>
    <row r="54" spans="1:14" ht="14.25" customHeight="1">
      <c r="A54" s="183"/>
    </row>
    <row r="55" spans="1:14" ht="14.25" customHeight="1">
      <c r="A55" s="188" t="s">
        <v>239</v>
      </c>
      <c r="C55" s="4">
        <f t="shared" ref="C55:G55" si="42">C53+C47+C42</f>
        <v>-4051.0818339999996</v>
      </c>
      <c r="D55" s="4">
        <f t="shared" si="42"/>
        <v>-151.71094299999987</v>
      </c>
      <c r="E55" s="4">
        <f t="shared" si="42"/>
        <v>108.61842299999944</v>
      </c>
      <c r="F55" s="4">
        <f t="shared" si="42"/>
        <v>-443.33417700000103</v>
      </c>
      <c r="G55" s="4">
        <f t="shared" si="42"/>
        <v>13.134051999999542</v>
      </c>
      <c r="H55" s="4">
        <f>H53+H47+H42-500</f>
        <v>769.74034372943811</v>
      </c>
      <c r="I55" s="4">
        <f t="shared" ref="I55:M55" si="43">I53+I47+I42</f>
        <v>-432.28304147116802</v>
      </c>
      <c r="J55" s="4">
        <f t="shared" si="43"/>
        <v>631.54419221822923</v>
      </c>
      <c r="K55" s="4">
        <f t="shared" si="43"/>
        <v>881.71940858149696</v>
      </c>
      <c r="L55" s="4">
        <f t="shared" si="43"/>
        <v>1081.6479434339899</v>
      </c>
      <c r="M55" s="4">
        <f t="shared" si="43"/>
        <v>1386.4834073385496</v>
      </c>
      <c r="N55" s="4">
        <f t="shared" ref="N55" si="44">N53+N47+N42</f>
        <v>1612.3394492843595</v>
      </c>
    </row>
    <row r="56" spans="1:14" ht="14.25" customHeight="1" thickBot="1">
      <c r="A56" s="184" t="s">
        <v>240</v>
      </c>
      <c r="C56" s="4">
        <f>BS!B62</f>
        <v>0</v>
      </c>
      <c r="D56" s="4">
        <f>BS!C62</f>
        <v>135.31717699999999</v>
      </c>
      <c r="E56" s="4">
        <f>BS!D62</f>
        <v>197.17929000000001</v>
      </c>
      <c r="F56" s="4">
        <f>BS!E62</f>
        <v>183.44778199999999</v>
      </c>
      <c r="G56" s="4">
        <f>BS!F62</f>
        <v>99.297818000000007</v>
      </c>
      <c r="H56" s="91">
        <f>BS!G62</f>
        <v>399.374281</v>
      </c>
      <c r="I56" s="91">
        <f t="shared" ref="I56:M56" si="45">H57</f>
        <v>669.11462472943822</v>
      </c>
      <c r="J56" s="91">
        <f t="shared" si="45"/>
        <v>236.8315832582702</v>
      </c>
      <c r="K56" s="91">
        <f t="shared" si="45"/>
        <v>868.37577547649948</v>
      </c>
      <c r="L56" s="91">
        <f t="shared" si="45"/>
        <v>1750.0951840579964</v>
      </c>
      <c r="M56" s="91">
        <f t="shared" si="45"/>
        <v>2831.7431274919863</v>
      </c>
      <c r="N56" s="91">
        <f t="shared" ref="N56" si="46">M57</f>
        <v>4218.2265348305355</v>
      </c>
    </row>
    <row r="57" spans="1:14" ht="14.25" customHeight="1" thickBot="1">
      <c r="A57" s="186" t="s">
        <v>241</v>
      </c>
      <c r="B57" s="186"/>
      <c r="C57" s="186">
        <f t="shared" ref="C57:G57" si="47">SUM(C55:C56)</f>
        <v>-4051.0818339999996</v>
      </c>
      <c r="D57" s="186">
        <f t="shared" si="47"/>
        <v>-16.393765999999886</v>
      </c>
      <c r="E57" s="186">
        <f t="shared" si="47"/>
        <v>305.79771299999948</v>
      </c>
      <c r="F57" s="186">
        <f t="shared" si="47"/>
        <v>-259.88639500000102</v>
      </c>
      <c r="G57" s="186">
        <f t="shared" si="47"/>
        <v>112.43186999999955</v>
      </c>
      <c r="H57" s="186">
        <f>SUM(H55:H56)-500</f>
        <v>669.11462472943822</v>
      </c>
      <c r="I57" s="186">
        <f t="shared" ref="I57:M57" si="48">SUM(I55:I56)</f>
        <v>236.8315832582702</v>
      </c>
      <c r="J57" s="186">
        <f t="shared" si="48"/>
        <v>868.37577547649948</v>
      </c>
      <c r="K57" s="186">
        <f t="shared" si="48"/>
        <v>1750.0951840579964</v>
      </c>
      <c r="L57" s="186">
        <f t="shared" si="48"/>
        <v>2831.7431274919863</v>
      </c>
      <c r="M57" s="186">
        <f t="shared" si="48"/>
        <v>4218.2265348305355</v>
      </c>
      <c r="N57" s="186">
        <f t="shared" ref="N57" si="49">SUM(N55:N56)</f>
        <v>5830.5659841148954</v>
      </c>
    </row>
    <row r="58" spans="1:14" ht="14.25" customHeight="1">
      <c r="A58" s="189"/>
    </row>
    <row r="59" spans="1:14" ht="14.25" customHeight="1">
      <c r="A59" s="190"/>
    </row>
    <row r="60" spans="1:14" ht="14.25" customHeight="1">
      <c r="A60" s="190"/>
    </row>
    <row r="61" spans="1:14" ht="14.25" customHeight="1">
      <c r="A61" s="190"/>
    </row>
    <row r="62" spans="1:14" ht="14.25" customHeight="1">
      <c r="A62" s="190"/>
    </row>
    <row r="63" spans="1:14" ht="14.25" customHeight="1">
      <c r="A63" s="190"/>
    </row>
    <row r="64" spans="1:14" ht="14.25" customHeight="1">
      <c r="A64" s="189"/>
    </row>
    <row r="65" spans="1:1" ht="14.25" customHeight="1">
      <c r="A65" s="190"/>
    </row>
    <row r="66" spans="1:1" ht="14.25" customHeight="1">
      <c r="A66" s="190"/>
    </row>
    <row r="67" spans="1:1" ht="14.25" customHeight="1">
      <c r="A67" s="190"/>
    </row>
    <row r="68" spans="1:1" ht="14.25" customHeight="1">
      <c r="A68" s="190"/>
    </row>
    <row r="69" spans="1:1" ht="14.25" customHeight="1">
      <c r="A69" s="190"/>
    </row>
    <row r="70" spans="1:1" ht="14.25" customHeight="1">
      <c r="A70" s="190"/>
    </row>
    <row r="71" spans="1:1" ht="14.25" customHeight="1">
      <c r="A71" s="190"/>
    </row>
    <row r="72" spans="1:1" ht="14.25" customHeight="1">
      <c r="A72" s="190"/>
    </row>
    <row r="73" spans="1:1" ht="14.25" customHeight="1">
      <c r="A73" s="190"/>
    </row>
    <row r="74" spans="1:1" ht="14.25" customHeight="1">
      <c r="A74" s="190"/>
    </row>
    <row r="75" spans="1:1" ht="14.25" customHeight="1">
      <c r="A75" s="189"/>
    </row>
    <row r="76" spans="1:1" ht="14.25" customHeight="1">
      <c r="A76" s="189"/>
    </row>
    <row r="77" spans="1:1" ht="14.25" customHeight="1">
      <c r="A77" s="191"/>
    </row>
    <row r="78" spans="1:1" ht="14.25" customHeight="1">
      <c r="A78" s="191"/>
    </row>
    <row r="79" spans="1:1" ht="14.25" customHeight="1">
      <c r="A79" s="189"/>
    </row>
    <row r="80" spans="1:1" ht="14.25" customHeight="1">
      <c r="A80" s="189"/>
    </row>
    <row r="81" spans="1:1" ht="14.25" customHeight="1">
      <c r="A81" s="189"/>
    </row>
    <row r="82" spans="1:1" ht="14.25" customHeight="1">
      <c r="A82" s="189"/>
    </row>
    <row r="83" spans="1:1" ht="14.25" customHeight="1">
      <c r="A83" s="189"/>
    </row>
    <row r="84" spans="1:1" ht="14.25" customHeight="1">
      <c r="A84" s="189"/>
    </row>
    <row r="85" spans="1:1" ht="14.25" customHeight="1">
      <c r="A85" s="189"/>
    </row>
    <row r="86" spans="1:1" ht="14.25" customHeight="1">
      <c r="A86" s="191"/>
    </row>
    <row r="87" spans="1:1" ht="14.25" customHeight="1">
      <c r="A87" s="189"/>
    </row>
    <row r="88" spans="1:1" ht="14.25" customHeight="1">
      <c r="A88" s="191"/>
    </row>
    <row r="89" spans="1:1" ht="14.25" customHeight="1">
      <c r="A89" s="189"/>
    </row>
    <row r="90" spans="1:1" ht="14.25" customHeight="1">
      <c r="A90" s="191"/>
    </row>
    <row r="91" spans="1:1" ht="14.25" customHeight="1">
      <c r="A91" s="189"/>
    </row>
    <row r="92" spans="1:1" ht="14.25" customHeight="1">
      <c r="A92" s="189"/>
    </row>
    <row r="93" spans="1:1" ht="14.25" customHeight="1">
      <c r="A93" s="189"/>
    </row>
    <row r="94" spans="1:1" ht="14.25" customHeight="1">
      <c r="A94" s="189"/>
    </row>
    <row r="95" spans="1:1" ht="14.25" customHeight="1">
      <c r="A95" s="191"/>
    </row>
    <row r="96" spans="1:1" ht="14.25" customHeight="1">
      <c r="A96" s="189"/>
    </row>
    <row r="97" spans="1:1" ht="14.25" customHeight="1">
      <c r="A97" s="191"/>
    </row>
    <row r="98" spans="1:1" ht="14.25" customHeight="1">
      <c r="A98" s="189"/>
    </row>
    <row r="99" spans="1:1" ht="14.25" customHeight="1">
      <c r="A99" s="189"/>
    </row>
    <row r="100" spans="1:1" ht="14.25" customHeight="1">
      <c r="A100" s="189"/>
    </row>
    <row r="101" spans="1:1" ht="14.25" customHeight="1">
      <c r="A101" s="189"/>
    </row>
    <row r="102" spans="1:1" ht="14.25" customHeight="1">
      <c r="A102" s="191"/>
    </row>
    <row r="103" spans="1:1" ht="14.25" customHeight="1">
      <c r="A103" s="189"/>
    </row>
    <row r="104" spans="1:1" ht="14.25" customHeight="1">
      <c r="A104" s="191"/>
    </row>
    <row r="105" spans="1:1" ht="14.25" customHeight="1">
      <c r="A105" s="189"/>
    </row>
    <row r="106" spans="1:1" ht="14.25" customHeight="1">
      <c r="A106" s="189"/>
    </row>
    <row r="107" spans="1:1" ht="14.25" customHeight="1">
      <c r="A107" s="189"/>
    </row>
    <row r="108" spans="1:1" ht="14.25" customHeight="1">
      <c r="A108" s="189"/>
    </row>
    <row r="109" spans="1:1" ht="14.25" customHeight="1">
      <c r="A109" s="189"/>
    </row>
    <row r="110" spans="1:1" ht="14.25" customHeight="1">
      <c r="A110" s="191"/>
    </row>
    <row r="111" spans="1:1" ht="14.25" customHeight="1">
      <c r="A111" s="191"/>
    </row>
    <row r="112" spans="1:1" ht="14.25" customHeight="1">
      <c r="A112" s="191"/>
    </row>
  </sheetData>
  <mergeCells count="1">
    <mergeCell ref="C1:N1"/>
  </mergeCell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N100"/>
  <sheetViews>
    <sheetView workbookViewId="0">
      <pane xSplit="1" ySplit="2" topLeftCell="F3" activePane="bottomRight" state="frozen"/>
      <selection pane="topRight" activeCell="B1" sqref="B1"/>
      <selection pane="bottomLeft" activeCell="A3" sqref="A3"/>
      <selection pane="bottomRight" activeCell="O5" sqref="O5"/>
    </sheetView>
  </sheetViews>
  <sheetFormatPr defaultColWidth="12.7109375" defaultRowHeight="15" customHeight="1"/>
  <cols>
    <col min="1" max="1" width="52.42578125" customWidth="1"/>
    <col min="2" max="2" width="9.7109375" customWidth="1"/>
    <col min="3" max="3" width="15.28515625" customWidth="1"/>
    <col min="4" max="5" width="14.7109375" customWidth="1"/>
    <col min="6" max="7" width="12.85546875" customWidth="1"/>
    <col min="8" max="12" width="15.7109375" customWidth="1"/>
    <col min="13" max="13" width="14.28515625" customWidth="1"/>
  </cols>
  <sheetData>
    <row r="1" spans="1:14" ht="14.25" customHeight="1" thickBot="1">
      <c r="C1" s="303" t="s">
        <v>242</v>
      </c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</row>
    <row r="2" spans="1:14" ht="14.25" customHeight="1" thickBot="1">
      <c r="C2" s="192" t="s">
        <v>56</v>
      </c>
      <c r="D2" s="35" t="s">
        <v>57</v>
      </c>
      <c r="E2" s="35" t="s">
        <v>58</v>
      </c>
      <c r="F2" s="35" t="s">
        <v>59</v>
      </c>
      <c r="G2" s="36" t="s">
        <v>60</v>
      </c>
      <c r="H2" s="36" t="s">
        <v>243</v>
      </c>
      <c r="I2" s="37" t="s">
        <v>62</v>
      </c>
      <c r="J2" s="193" t="s">
        <v>63</v>
      </c>
      <c r="K2" s="37" t="s">
        <v>64</v>
      </c>
      <c r="L2" s="38" t="s">
        <v>65</v>
      </c>
      <c r="M2" s="38" t="s">
        <v>66</v>
      </c>
      <c r="N2" s="38" t="s">
        <v>371</v>
      </c>
    </row>
    <row r="3" spans="1:14" ht="14.25" customHeight="1" thickBot="1">
      <c r="J3" s="72"/>
    </row>
    <row r="4" spans="1:14" ht="14.25" customHeight="1" thickBot="1">
      <c r="A4" s="194" t="s">
        <v>244</v>
      </c>
      <c r="I4" s="298"/>
      <c r="J4" s="72"/>
    </row>
    <row r="5" spans="1:14" ht="14.25" customHeight="1" thickBot="1">
      <c r="A5" s="189"/>
      <c r="F5" s="59"/>
      <c r="J5" s="72"/>
    </row>
    <row r="6" spans="1:14" ht="14.25" customHeight="1" thickBot="1">
      <c r="A6" s="194" t="s">
        <v>245</v>
      </c>
      <c r="F6" s="72"/>
      <c r="G6" s="72"/>
      <c r="J6" s="72"/>
    </row>
    <row r="7" spans="1:14" ht="14.25" customHeight="1">
      <c r="A7" s="195" t="s">
        <v>246</v>
      </c>
      <c r="C7" s="4">
        <f>2566321990/1000000</f>
        <v>2566.3219899999999</v>
      </c>
      <c r="D7" s="4">
        <v>2649.2161059999999</v>
      </c>
      <c r="E7" s="4">
        <v>2720.8762999999999</v>
      </c>
      <c r="F7" s="65">
        <v>3308.834762</v>
      </c>
      <c r="G7" s="65">
        <v>3246.7190759999999</v>
      </c>
      <c r="H7" s="65">
        <f t="shared" ref="H7:M7" si="0">SUM(H23:H24)</f>
        <v>3490.1995266691288</v>
      </c>
      <c r="I7" s="65">
        <f t="shared" si="0"/>
        <v>3741.6708459720571</v>
      </c>
      <c r="J7" s="65">
        <f t="shared" si="0"/>
        <v>4023.7232167597767</v>
      </c>
      <c r="K7" s="65">
        <f t="shared" si="0"/>
        <v>4320.2015860161118</v>
      </c>
      <c r="L7" s="65">
        <f t="shared" si="0"/>
        <v>4642.0626765434836</v>
      </c>
      <c r="M7" s="65">
        <f t="shared" si="0"/>
        <v>4985.8502988902665</v>
      </c>
      <c r="N7" s="65">
        <f t="shared" ref="N7" si="1">SUM(N23:N24)</f>
        <v>5356.0397753094112</v>
      </c>
    </row>
    <row r="8" spans="1:14" ht="14.25" customHeight="1">
      <c r="A8" s="195"/>
      <c r="F8" s="59"/>
      <c r="G8" s="59"/>
      <c r="J8" s="72"/>
    </row>
    <row r="9" spans="1:14" ht="14.25" customHeight="1">
      <c r="A9" s="195" t="s">
        <v>247</v>
      </c>
      <c r="J9" s="72"/>
      <c r="L9" s="72"/>
      <c r="M9" s="72"/>
      <c r="N9" s="72"/>
    </row>
    <row r="10" spans="1:14" ht="14.25" customHeight="1">
      <c r="A10" s="196" t="s">
        <v>248</v>
      </c>
      <c r="E10" s="72"/>
      <c r="F10" s="4">
        <v>3528.087489</v>
      </c>
      <c r="G10" s="4">
        <f t="shared" ref="G10:M10" si="2">F14</f>
        <v>3610.2533969999999</v>
      </c>
      <c r="H10" s="4">
        <f t="shared" si="2"/>
        <v>3771.5078390000003</v>
      </c>
      <c r="I10" s="4">
        <f t="shared" si="2"/>
        <v>4074.7249661274673</v>
      </c>
      <c r="J10" s="4">
        <f t="shared" si="2"/>
        <v>4376.6231188130841</v>
      </c>
      <c r="K10" s="4">
        <f t="shared" si="2"/>
        <v>4714.6893050365061</v>
      </c>
      <c r="L10" s="4">
        <f t="shared" si="2"/>
        <v>5071.4358201771702</v>
      </c>
      <c r="M10" s="4">
        <f t="shared" si="2"/>
        <v>5459.1740666671858</v>
      </c>
      <c r="N10" s="4">
        <f t="shared" ref="N10" si="3">M14</f>
        <v>5874.4052469256931</v>
      </c>
    </row>
    <row r="11" spans="1:14" ht="14.25" customHeight="1">
      <c r="A11" s="196" t="s">
        <v>249</v>
      </c>
      <c r="E11" s="1"/>
      <c r="F11" s="4">
        <v>328.14564999999999</v>
      </c>
      <c r="G11" s="4">
        <f>244717715/1000000</f>
        <v>244.717715</v>
      </c>
      <c r="H11" s="4">
        <f t="shared" ref="H11:K11" si="4">H10*H26</f>
        <v>303.21712712746705</v>
      </c>
      <c r="I11" s="4">
        <f t="shared" si="4"/>
        <v>301.89815268561671</v>
      </c>
      <c r="J11" s="4">
        <f t="shared" si="4"/>
        <v>338.06618622342194</v>
      </c>
      <c r="K11" s="4">
        <f t="shared" si="4"/>
        <v>356.74651514066426</v>
      </c>
      <c r="L11" s="4">
        <f t="shared" ref="L11:M11" si="5">L26*L10</f>
        <v>387.73824649001563</v>
      </c>
      <c r="M11" s="4">
        <f t="shared" si="5"/>
        <v>415.23118025850732</v>
      </c>
      <c r="N11" s="4">
        <f t="shared" ref="N11" si="6">N26*N10</f>
        <v>447.97184066140289</v>
      </c>
    </row>
    <row r="12" spans="1:14" ht="14.25" customHeight="1">
      <c r="A12" s="196" t="s">
        <v>250</v>
      </c>
      <c r="E12" s="1"/>
      <c r="F12" s="4">
        <v>-59.480525</v>
      </c>
      <c r="G12" s="4">
        <f>-83463273/1000000</f>
        <v>-83.463273000000001</v>
      </c>
      <c r="H12" s="4" t="s">
        <v>139</v>
      </c>
      <c r="I12" s="4" t="s">
        <v>139</v>
      </c>
      <c r="J12" s="4" t="s">
        <v>139</v>
      </c>
      <c r="K12" s="4" t="s">
        <v>139</v>
      </c>
      <c r="L12" s="4" t="s">
        <v>139</v>
      </c>
      <c r="M12" s="4" t="s">
        <v>139</v>
      </c>
      <c r="N12" s="4" t="s">
        <v>139</v>
      </c>
    </row>
    <row r="13" spans="1:14" ht="14.25" customHeight="1">
      <c r="A13" s="196" t="s">
        <v>251</v>
      </c>
      <c r="E13" s="1"/>
      <c r="F13" s="4">
        <v>-186.49921699999999</v>
      </c>
      <c r="G13" s="197" t="s">
        <v>139</v>
      </c>
      <c r="H13" s="4" t="s">
        <v>139</v>
      </c>
      <c r="I13" s="4" t="s">
        <v>139</v>
      </c>
      <c r="J13" s="4" t="s">
        <v>139</v>
      </c>
      <c r="K13" s="4" t="s">
        <v>139</v>
      </c>
      <c r="L13" s="4" t="s">
        <v>139</v>
      </c>
      <c r="M13" s="4" t="s">
        <v>139</v>
      </c>
      <c r="N13" s="4" t="s">
        <v>139</v>
      </c>
    </row>
    <row r="14" spans="1:14" ht="14.25" customHeight="1" thickBot="1">
      <c r="A14" s="198" t="s">
        <v>252</v>
      </c>
      <c r="B14" s="1"/>
      <c r="C14" s="1"/>
      <c r="D14" s="1"/>
      <c r="E14" s="1"/>
      <c r="F14" s="199">
        <v>3610.2533969999999</v>
      </c>
      <c r="G14" s="199">
        <f t="shared" ref="G14:M14" si="7">SUM(G10:G13)</f>
        <v>3771.5078390000003</v>
      </c>
      <c r="H14" s="199">
        <f t="shared" si="7"/>
        <v>4074.7249661274673</v>
      </c>
      <c r="I14" s="199">
        <f t="shared" si="7"/>
        <v>4376.6231188130841</v>
      </c>
      <c r="J14" s="199">
        <f t="shared" si="7"/>
        <v>4714.6893050365061</v>
      </c>
      <c r="K14" s="199">
        <f t="shared" si="7"/>
        <v>5071.4358201771702</v>
      </c>
      <c r="L14" s="199">
        <f t="shared" si="7"/>
        <v>5459.1740666671858</v>
      </c>
      <c r="M14" s="199">
        <f t="shared" si="7"/>
        <v>5874.4052469256931</v>
      </c>
      <c r="N14" s="199">
        <f t="shared" ref="N14" si="8">SUM(N10:N13)</f>
        <v>6322.377087587096</v>
      </c>
    </row>
    <row r="15" spans="1:14" ht="14.25" customHeight="1">
      <c r="A15" s="196"/>
      <c r="E15" s="1"/>
      <c r="F15" s="59"/>
      <c r="G15" s="59"/>
      <c r="H15" s="59"/>
      <c r="I15" s="59"/>
      <c r="J15" s="59"/>
      <c r="K15" s="59"/>
      <c r="L15" s="59"/>
      <c r="M15" s="59"/>
      <c r="N15" s="59"/>
    </row>
    <row r="16" spans="1:14" ht="14.25" customHeight="1">
      <c r="A16" s="196" t="s">
        <v>175</v>
      </c>
      <c r="E16" s="1"/>
      <c r="F16" s="59"/>
      <c r="G16" s="59"/>
      <c r="H16" s="59"/>
      <c r="I16" s="59"/>
      <c r="J16" s="59"/>
      <c r="K16" s="59"/>
      <c r="L16" s="59"/>
      <c r="M16" s="59"/>
      <c r="N16" s="59"/>
    </row>
    <row r="17" spans="1:14" ht="14.25" customHeight="1">
      <c r="A17" s="196" t="s">
        <v>248</v>
      </c>
      <c r="D17" s="72"/>
      <c r="E17" s="1"/>
      <c r="F17" s="4">
        <v>811.508915</v>
      </c>
      <c r="G17" s="4">
        <v>382.348928</v>
      </c>
      <c r="H17" s="4">
        <f t="shared" ref="H17:M17" si="9">G21</f>
        <v>626.30983600000002</v>
      </c>
      <c r="I17" s="4">
        <f t="shared" si="9"/>
        <v>680.81026885782273</v>
      </c>
      <c r="J17" s="4">
        <f t="shared" si="9"/>
        <v>738.97809353703508</v>
      </c>
      <c r="K17" s="4">
        <f t="shared" si="9"/>
        <v>802.69922746927273</v>
      </c>
      <c r="L17" s="4">
        <f t="shared" si="9"/>
        <v>871.59804481334481</v>
      </c>
      <c r="M17" s="4">
        <f t="shared" si="9"/>
        <v>946.58277228730446</v>
      </c>
      <c r="N17" s="4">
        <f t="shared" ref="N17" si="10">M21</f>
        <v>1027.9251061021018</v>
      </c>
    </row>
    <row r="18" spans="1:14" ht="14.25" customHeight="1">
      <c r="A18" s="196" t="s">
        <v>253</v>
      </c>
      <c r="D18" s="72"/>
      <c r="E18" s="1"/>
      <c r="F18" s="4">
        <v>325.560923</v>
      </c>
      <c r="G18" s="4">
        <v>316.27826499999998</v>
      </c>
      <c r="H18" s="4">
        <f>H27*H17</f>
        <v>54.500432857822688</v>
      </c>
      <c r="I18" s="4">
        <f t="shared" ref="I18:M18" si="11">I17*I27</f>
        <v>58.167824679212337</v>
      </c>
      <c r="J18" s="4">
        <f t="shared" si="11"/>
        <v>63.721133932237599</v>
      </c>
      <c r="K18" s="4">
        <f t="shared" si="11"/>
        <v>68.898817344072128</v>
      </c>
      <c r="L18" s="4">
        <f t="shared" si="11"/>
        <v>74.984727473959694</v>
      </c>
      <c r="M18" s="4">
        <f t="shared" si="11"/>
        <v>81.342333814797286</v>
      </c>
      <c r="N18" s="4">
        <f t="shared" ref="N18" si="12">N17*N27</f>
        <v>88.383021872904735</v>
      </c>
    </row>
    <row r="19" spans="1:14" ht="14.25" customHeight="1">
      <c r="A19" s="196" t="s">
        <v>250</v>
      </c>
      <c r="D19" s="72"/>
      <c r="E19" s="72"/>
      <c r="F19" s="4">
        <v>-47.729664999999997</v>
      </c>
      <c r="G19" s="4">
        <v>-72.317357000000001</v>
      </c>
      <c r="H19" s="4" t="s">
        <v>139</v>
      </c>
      <c r="I19" s="4" t="s">
        <v>139</v>
      </c>
      <c r="J19" s="4" t="s">
        <v>139</v>
      </c>
      <c r="K19" s="4" t="s">
        <v>139</v>
      </c>
      <c r="L19" s="4" t="s">
        <v>139</v>
      </c>
      <c r="M19" s="4" t="s">
        <v>139</v>
      </c>
      <c r="N19" s="4" t="s">
        <v>139</v>
      </c>
    </row>
    <row r="20" spans="1:14" ht="14.25" customHeight="1">
      <c r="A20" s="196" t="s">
        <v>254</v>
      </c>
      <c r="D20" s="72"/>
      <c r="E20" s="72"/>
      <c r="F20" s="4">
        <v>-706.99124500000005</v>
      </c>
      <c r="G20" s="4" t="s">
        <v>139</v>
      </c>
      <c r="H20" s="4" t="s">
        <v>139</v>
      </c>
      <c r="I20" s="4" t="s">
        <v>139</v>
      </c>
      <c r="J20" s="4" t="s">
        <v>139</v>
      </c>
      <c r="K20" s="4" t="s">
        <v>139</v>
      </c>
      <c r="L20" s="4" t="s">
        <v>139</v>
      </c>
      <c r="M20" s="4" t="s">
        <v>139</v>
      </c>
      <c r="N20" s="4" t="s">
        <v>139</v>
      </c>
    </row>
    <row r="21" spans="1:14" ht="14.25" customHeight="1" thickBot="1">
      <c r="A21" s="198" t="s">
        <v>252</v>
      </c>
      <c r="B21" s="1"/>
      <c r="C21" s="1"/>
      <c r="D21" s="72"/>
      <c r="E21" s="72"/>
      <c r="F21" s="199">
        <v>382.348928</v>
      </c>
      <c r="G21" s="199">
        <v>626.30983600000002</v>
      </c>
      <c r="H21" s="199">
        <f t="shared" ref="H21:M21" si="13">SUM(H17:H20)</f>
        <v>680.81026885782273</v>
      </c>
      <c r="I21" s="199">
        <f t="shared" si="13"/>
        <v>738.97809353703508</v>
      </c>
      <c r="J21" s="199">
        <f t="shared" si="13"/>
        <v>802.69922746927273</v>
      </c>
      <c r="K21" s="199">
        <f t="shared" si="13"/>
        <v>871.59804481334481</v>
      </c>
      <c r="L21" s="199">
        <f t="shared" si="13"/>
        <v>946.58277228730446</v>
      </c>
      <c r="M21" s="199">
        <f t="shared" si="13"/>
        <v>1027.9251061021018</v>
      </c>
      <c r="N21" s="199">
        <f t="shared" ref="N21" si="14">SUM(N17:N20)</f>
        <v>1116.3081279750065</v>
      </c>
    </row>
    <row r="22" spans="1:14" ht="14.25" customHeight="1">
      <c r="A22" s="196"/>
      <c r="F22" s="59"/>
      <c r="G22" s="59"/>
      <c r="H22" s="59"/>
      <c r="I22" s="59"/>
      <c r="J22" s="59"/>
      <c r="K22" s="59"/>
      <c r="L22" s="59"/>
      <c r="M22" s="59"/>
      <c r="N22" s="59"/>
    </row>
    <row r="23" spans="1:14" ht="14.25" customHeight="1">
      <c r="A23" s="196" t="s">
        <v>255</v>
      </c>
      <c r="F23" s="4">
        <f t="shared" ref="F23:M23" si="15">F14-F21</f>
        <v>3227.9044690000001</v>
      </c>
      <c r="G23" s="4">
        <f t="shared" si="15"/>
        <v>3145.1980030000004</v>
      </c>
      <c r="H23" s="4">
        <f t="shared" si="15"/>
        <v>3393.9146972696444</v>
      </c>
      <c r="I23" s="4">
        <f t="shared" si="15"/>
        <v>3637.6450252760492</v>
      </c>
      <c r="J23" s="4">
        <f t="shared" si="15"/>
        <v>3911.9900775672331</v>
      </c>
      <c r="K23" s="4">
        <f t="shared" si="15"/>
        <v>4199.8377753638251</v>
      </c>
      <c r="L23" s="4">
        <f t="shared" si="15"/>
        <v>4512.5912943798812</v>
      </c>
      <c r="M23" s="4">
        <f t="shared" si="15"/>
        <v>4846.4801408235908</v>
      </c>
      <c r="N23" s="4">
        <f t="shared" ref="N23" si="16">N14-N21</f>
        <v>5206.0689596120892</v>
      </c>
    </row>
    <row r="24" spans="1:14" ht="14.25" customHeight="1">
      <c r="A24" s="196" t="s">
        <v>256</v>
      </c>
      <c r="D24" s="86"/>
      <c r="F24" s="4">
        <v>80.930293000000006</v>
      </c>
      <c r="G24" s="4">
        <v>101.521073</v>
      </c>
      <c r="H24" s="4">
        <f t="shared" ref="H24:M24" si="17">H10*H28</f>
        <v>96.284829399484138</v>
      </c>
      <c r="I24" s="4">
        <f t="shared" si="17"/>
        <v>104.02582069600781</v>
      </c>
      <c r="J24" s="4">
        <f t="shared" si="17"/>
        <v>111.7331391925435</v>
      </c>
      <c r="K24" s="4">
        <f t="shared" si="17"/>
        <v>120.36381065228707</v>
      </c>
      <c r="L24" s="4">
        <f t="shared" si="17"/>
        <v>129.47138216360253</v>
      </c>
      <c r="M24" s="4">
        <f t="shared" si="17"/>
        <v>139.37015806667608</v>
      </c>
      <c r="N24" s="4">
        <f t="shared" ref="N24" si="18">N10*N28</f>
        <v>149.97081569732217</v>
      </c>
    </row>
    <row r="25" spans="1:14" ht="14.25" customHeight="1">
      <c r="A25" s="196"/>
      <c r="D25" s="86"/>
      <c r="E25" s="86"/>
      <c r="J25" s="72"/>
    </row>
    <row r="26" spans="1:14" ht="14.25" customHeight="1">
      <c r="A26" s="196" t="s">
        <v>257</v>
      </c>
      <c r="F26" s="6">
        <f t="shared" ref="F26:G26" si="19">F11/F10</f>
        <v>9.3009499062340281E-2</v>
      </c>
      <c r="G26" s="6">
        <f t="shared" si="19"/>
        <v>6.7784082747031627E-2</v>
      </c>
      <c r="H26" s="200">
        <f t="shared" ref="H26:M26" si="20">AVERAGE(F26:G26)</f>
        <v>8.0396790904685961E-2</v>
      </c>
      <c r="I26" s="200">
        <f t="shared" si="20"/>
        <v>7.4090436825858794E-2</v>
      </c>
      <c r="J26" s="200">
        <f t="shared" si="20"/>
        <v>7.724361386527237E-2</v>
      </c>
      <c r="K26" s="200">
        <f t="shared" si="20"/>
        <v>7.5667025345565575E-2</v>
      </c>
      <c r="L26" s="200">
        <f t="shared" si="20"/>
        <v>7.6455319605418973E-2</v>
      </c>
      <c r="M26" s="200">
        <f t="shared" si="20"/>
        <v>7.6061172475492267E-2</v>
      </c>
      <c r="N26" s="200">
        <f t="shared" ref="N26:N27" si="21">AVERAGE(L26:M26)</f>
        <v>7.6258246040455613E-2</v>
      </c>
    </row>
    <row r="27" spans="1:14" ht="14.25" customHeight="1">
      <c r="A27" s="196" t="s">
        <v>258</v>
      </c>
      <c r="F27" s="6">
        <f t="shared" ref="F27:G27" si="22">F18/F14</f>
        <v>9.0176751379980769E-2</v>
      </c>
      <c r="G27" s="6">
        <f t="shared" si="22"/>
        <v>8.385989861388167E-2</v>
      </c>
      <c r="H27" s="52">
        <f t="shared" ref="H27:M27" si="23">AVERAGE(F27:G27)</f>
        <v>8.7018324996931212E-2</v>
      </c>
      <c r="I27" s="52">
        <f t="shared" si="23"/>
        <v>8.5439111805406448E-2</v>
      </c>
      <c r="J27" s="52">
        <f t="shared" si="23"/>
        <v>8.622871840116883E-2</v>
      </c>
      <c r="K27" s="52">
        <f t="shared" si="23"/>
        <v>8.5833915103287639E-2</v>
      </c>
      <c r="L27" s="52">
        <f t="shared" si="23"/>
        <v>8.6031316752228235E-2</v>
      </c>
      <c r="M27" s="55">
        <f t="shared" si="23"/>
        <v>8.5932615927757944E-2</v>
      </c>
      <c r="N27" s="55">
        <f t="shared" si="21"/>
        <v>8.5981966339993082E-2</v>
      </c>
    </row>
    <row r="28" spans="1:14" ht="14.25" customHeight="1">
      <c r="A28" s="196" t="s">
        <v>259</v>
      </c>
      <c r="F28" s="6">
        <f t="shared" ref="F28:G28" si="24">F24/F10</f>
        <v>2.2938856604981434E-2</v>
      </c>
      <c r="G28" s="6">
        <f t="shared" si="24"/>
        <v>2.8120207042630477E-2</v>
      </c>
      <c r="H28" s="200">
        <f>AVERAGE(F28:G28)</f>
        <v>2.5529531823805955E-2</v>
      </c>
      <c r="I28" s="200">
        <f t="shared" ref="I28:M28" si="25">H28</f>
        <v>2.5529531823805955E-2</v>
      </c>
      <c r="J28" s="200">
        <f t="shared" si="25"/>
        <v>2.5529531823805955E-2</v>
      </c>
      <c r="K28" s="200">
        <f t="shared" si="25"/>
        <v>2.5529531823805955E-2</v>
      </c>
      <c r="L28" s="200">
        <f t="shared" si="25"/>
        <v>2.5529531823805955E-2</v>
      </c>
      <c r="M28" s="200">
        <f t="shared" si="25"/>
        <v>2.5529531823805955E-2</v>
      </c>
      <c r="N28" s="200">
        <f t="shared" ref="N28" si="26">M28</f>
        <v>2.5529531823805955E-2</v>
      </c>
    </row>
    <row r="29" spans="1:14" ht="14.25" customHeight="1">
      <c r="A29" s="190"/>
      <c r="J29" s="72"/>
    </row>
    <row r="30" spans="1:14" ht="14.25" customHeight="1">
      <c r="A30" s="190"/>
      <c r="D30" s="201"/>
      <c r="J30" s="72"/>
    </row>
    <row r="31" spans="1:14" ht="14.25" customHeight="1">
      <c r="A31" s="202" t="s">
        <v>260</v>
      </c>
      <c r="C31" s="4">
        <v>2.3196379999999999</v>
      </c>
      <c r="D31" s="4">
        <v>2.0162719999999998</v>
      </c>
      <c r="E31" s="4">
        <v>0.73117900000000002</v>
      </c>
      <c r="F31" s="111">
        <v>0.42349799999999999</v>
      </c>
      <c r="G31" s="111">
        <v>0.63816300000000004</v>
      </c>
      <c r="H31" s="114">
        <f t="shared" ref="H31:M31" si="27">H45</f>
        <v>0.62683862684552061</v>
      </c>
      <c r="I31" s="114">
        <f t="shared" si="27"/>
        <v>0.61384591814737455</v>
      </c>
      <c r="J31" s="114">
        <f t="shared" si="27"/>
        <v>0.59907842532073907</v>
      </c>
      <c r="K31" s="114">
        <f t="shared" si="27"/>
        <v>0.58242415879823461</v>
      </c>
      <c r="L31" s="114">
        <f t="shared" si="27"/>
        <v>0.56376532553817249</v>
      </c>
      <c r="M31" s="114">
        <f t="shared" si="27"/>
        <v>0.54297805475685124</v>
      </c>
      <c r="N31" s="114">
        <f t="shared" ref="N31" si="28">N45</f>
        <v>0.51993211137497397</v>
      </c>
    </row>
    <row r="32" spans="1:14" ht="14.25" customHeight="1">
      <c r="A32" s="189"/>
      <c r="J32" s="72"/>
    </row>
    <row r="33" spans="1:14" ht="14.25" customHeight="1">
      <c r="A33" s="195" t="s">
        <v>247</v>
      </c>
      <c r="J33" s="72"/>
    </row>
    <row r="34" spans="1:14" ht="14.25" customHeight="1">
      <c r="A34" s="196" t="s">
        <v>122</v>
      </c>
      <c r="C34" s="112">
        <v>11.109813000000001</v>
      </c>
      <c r="D34" s="112">
        <v>11.109813000000001</v>
      </c>
      <c r="E34" s="112">
        <v>12.850789000000001</v>
      </c>
      <c r="F34" s="114">
        <v>12.850789000000001</v>
      </c>
      <c r="G34" s="114">
        <v>13.131125000000001</v>
      </c>
      <c r="H34" s="114">
        <f t="shared" ref="H34:M34" si="29">G37</f>
        <v>13.766669</v>
      </c>
      <c r="I34" s="114">
        <f t="shared" si="29"/>
        <v>14.249978925422454</v>
      </c>
      <c r="J34" s="114">
        <f t="shared" si="29"/>
        <v>14.750256534458995</v>
      </c>
      <c r="K34" s="114">
        <f t="shared" si="29"/>
        <v>15.268097515863532</v>
      </c>
      <c r="L34" s="114">
        <f t="shared" si="29"/>
        <v>15.804118471385507</v>
      </c>
      <c r="M34" s="114">
        <f t="shared" si="29"/>
        <v>16.358957649967699</v>
      </c>
      <c r="N34" s="114">
        <f t="shared" ref="N34" si="30">M37</f>
        <v>16.933275707719719</v>
      </c>
    </row>
    <row r="35" spans="1:14" ht="14.25" customHeight="1">
      <c r="A35" s="196" t="s">
        <v>249</v>
      </c>
      <c r="C35" s="112">
        <v>0</v>
      </c>
      <c r="D35" s="112">
        <v>1.7409760000000001</v>
      </c>
      <c r="E35" s="112">
        <v>0</v>
      </c>
      <c r="F35" s="114">
        <v>0.28033599999999997</v>
      </c>
      <c r="G35" s="114">
        <v>0.635544</v>
      </c>
      <c r="H35" s="114">
        <f>H47*H34</f>
        <v>0.48330992542245338</v>
      </c>
      <c r="I35" s="114">
        <f t="shared" ref="I35:M35" si="31">I34*I47</f>
        <v>0.50027760903654028</v>
      </c>
      <c r="J35" s="114">
        <f t="shared" si="31"/>
        <v>0.51784098140453816</v>
      </c>
      <c r="K35" s="114">
        <f t="shared" si="31"/>
        <v>0.53602095552197482</v>
      </c>
      <c r="L35" s="114">
        <f t="shared" si="31"/>
        <v>0.55483917858219345</v>
      </c>
      <c r="M35" s="114">
        <f t="shared" si="31"/>
        <v>0.57431805775202138</v>
      </c>
      <c r="N35" s="114">
        <f t="shared" ref="N35" si="32">N34*N47</f>
        <v>0.59448078685235028</v>
      </c>
    </row>
    <row r="36" spans="1:14" ht="14.25" customHeight="1">
      <c r="A36" s="196" t="s">
        <v>250</v>
      </c>
      <c r="C36" s="112" t="s">
        <v>139</v>
      </c>
      <c r="D36" s="112" t="s">
        <v>139</v>
      </c>
      <c r="E36" s="112" t="s">
        <v>139</v>
      </c>
      <c r="F36" s="114" t="s">
        <v>139</v>
      </c>
      <c r="G36" s="114" t="s">
        <v>139</v>
      </c>
      <c r="H36" s="114" t="s">
        <v>139</v>
      </c>
      <c r="I36" s="114" t="s">
        <v>139</v>
      </c>
      <c r="J36" s="114" t="s">
        <v>139</v>
      </c>
      <c r="K36" s="114" t="s">
        <v>139</v>
      </c>
      <c r="L36" s="114" t="s">
        <v>139</v>
      </c>
      <c r="M36" s="114" t="s">
        <v>139</v>
      </c>
      <c r="N36" s="114" t="s">
        <v>139</v>
      </c>
    </row>
    <row r="37" spans="1:14" ht="14.25" customHeight="1">
      <c r="A37" s="196" t="s">
        <v>123</v>
      </c>
      <c r="C37" s="112">
        <v>11.109813000000001</v>
      </c>
      <c r="D37" s="112">
        <v>12.850789000000001</v>
      </c>
      <c r="E37" s="112">
        <v>12.850789000000001</v>
      </c>
      <c r="F37" s="114">
        <v>13.131125000000001</v>
      </c>
      <c r="G37" s="114">
        <v>13.766669</v>
      </c>
      <c r="H37" s="114">
        <f t="shared" ref="H37:M37" si="33">SUM(H34:H36)</f>
        <v>14.249978925422454</v>
      </c>
      <c r="I37" s="114">
        <f t="shared" si="33"/>
        <v>14.750256534458995</v>
      </c>
      <c r="J37" s="114">
        <f t="shared" si="33"/>
        <v>15.268097515863532</v>
      </c>
      <c r="K37" s="114">
        <f t="shared" si="33"/>
        <v>15.804118471385507</v>
      </c>
      <c r="L37" s="114">
        <f t="shared" si="33"/>
        <v>16.358957649967699</v>
      </c>
      <c r="M37" s="114">
        <f t="shared" si="33"/>
        <v>16.933275707719719</v>
      </c>
      <c r="N37" s="114">
        <f t="shared" ref="N37" si="34">SUM(N34:N36)</f>
        <v>17.527756494572071</v>
      </c>
    </row>
    <row r="38" spans="1:14" ht="14.25" customHeight="1">
      <c r="A38" s="196"/>
      <c r="E38" s="72"/>
      <c r="J38" s="72"/>
    </row>
    <row r="39" spans="1:14" ht="14.25" customHeight="1">
      <c r="A39" s="195" t="s">
        <v>177</v>
      </c>
      <c r="C39" s="203"/>
      <c r="D39" s="203"/>
      <c r="E39" s="203"/>
      <c r="F39" s="72"/>
      <c r="J39" s="72"/>
    </row>
    <row r="40" spans="1:14" ht="14.25" customHeight="1">
      <c r="A40" s="196" t="s">
        <v>122</v>
      </c>
      <c r="B40" s="204"/>
      <c r="C40" s="205">
        <v>6.9348219999999996</v>
      </c>
      <c r="D40" s="205">
        <v>2.3196379999999999</v>
      </c>
      <c r="E40" s="205">
        <v>10.834517</v>
      </c>
      <c r="F40" s="113">
        <v>12.11961</v>
      </c>
      <c r="G40" s="113">
        <v>12.707627</v>
      </c>
      <c r="H40" s="205">
        <f t="shared" ref="H40:M40" si="35">G43</f>
        <v>13.128506</v>
      </c>
      <c r="I40" s="206">
        <f t="shared" si="35"/>
        <v>13.623140298576933</v>
      </c>
      <c r="J40" s="205">
        <f t="shared" si="35"/>
        <v>14.13641061631162</v>
      </c>
      <c r="K40" s="205">
        <f t="shared" si="35"/>
        <v>14.669019090542793</v>
      </c>
      <c r="L40" s="114">
        <f t="shared" si="35"/>
        <v>15.221694312587273</v>
      </c>
      <c r="M40" s="114">
        <f t="shared" si="35"/>
        <v>15.795192324429527</v>
      </c>
      <c r="N40" s="114">
        <f t="shared" ref="N40" si="36">M43</f>
        <v>16.390297652962868</v>
      </c>
    </row>
    <row r="41" spans="1:14" ht="14.25" customHeight="1">
      <c r="A41" s="196" t="s">
        <v>253</v>
      </c>
      <c r="B41" s="207"/>
      <c r="C41" s="205">
        <v>1.855353</v>
      </c>
      <c r="D41" s="205">
        <v>2.0443419999999999</v>
      </c>
      <c r="E41" s="205">
        <v>1.285093</v>
      </c>
      <c r="F41" s="113">
        <v>0.58801700000000001</v>
      </c>
      <c r="G41" s="113">
        <v>0.420879</v>
      </c>
      <c r="H41" s="205">
        <f t="shared" ref="H41:M41" si="37">H40*H48</f>
        <v>0.4946342985769332</v>
      </c>
      <c r="I41" s="206">
        <f t="shared" si="37"/>
        <v>0.51327031773468768</v>
      </c>
      <c r="J41" s="205">
        <f t="shared" si="37"/>
        <v>0.53260847423117375</v>
      </c>
      <c r="K41" s="205">
        <f t="shared" si="37"/>
        <v>0.55267522204447916</v>
      </c>
      <c r="L41" s="114">
        <f t="shared" si="37"/>
        <v>0.5734980118422538</v>
      </c>
      <c r="M41" s="114">
        <f t="shared" si="37"/>
        <v>0.59510532853334253</v>
      </c>
      <c r="N41" s="114">
        <f t="shared" ref="N41" si="38">N40*N48</f>
        <v>0.61752673023422799</v>
      </c>
    </row>
    <row r="42" spans="1:14" ht="14.25" customHeight="1">
      <c r="A42" s="196" t="s">
        <v>250</v>
      </c>
      <c r="C42" s="205" t="s">
        <v>139</v>
      </c>
      <c r="D42" s="205" t="s">
        <v>139</v>
      </c>
      <c r="E42" s="205" t="s">
        <v>139</v>
      </c>
      <c r="F42" s="113" t="s">
        <v>139</v>
      </c>
      <c r="G42" s="113" t="s">
        <v>139</v>
      </c>
      <c r="H42" s="205" t="s">
        <v>139</v>
      </c>
      <c r="I42" s="206" t="s">
        <v>139</v>
      </c>
      <c r="J42" s="205" t="s">
        <v>139</v>
      </c>
      <c r="K42" s="205" t="s">
        <v>139</v>
      </c>
      <c r="L42" s="114" t="s">
        <v>139</v>
      </c>
      <c r="M42" s="114" t="s">
        <v>139</v>
      </c>
      <c r="N42" s="114" t="s">
        <v>139</v>
      </c>
    </row>
    <row r="43" spans="1:14" ht="14.25" customHeight="1">
      <c r="A43" s="196" t="s">
        <v>123</v>
      </c>
      <c r="C43" s="205">
        <v>2.3196379999999999</v>
      </c>
      <c r="D43" s="205">
        <v>10.834517</v>
      </c>
      <c r="E43" s="205">
        <f>SUM(E40:E42)</f>
        <v>12.11961</v>
      </c>
      <c r="F43" s="113">
        <v>12.707627</v>
      </c>
      <c r="G43" s="113">
        <v>13.128506</v>
      </c>
      <c r="H43" s="205">
        <f t="shared" ref="H43:M43" si="39">SUM(H40:H42)</f>
        <v>13.623140298576933</v>
      </c>
      <c r="I43" s="206">
        <f t="shared" si="39"/>
        <v>14.13641061631162</v>
      </c>
      <c r="J43" s="205">
        <f t="shared" si="39"/>
        <v>14.669019090542793</v>
      </c>
      <c r="K43" s="205">
        <f t="shared" si="39"/>
        <v>15.221694312587273</v>
      </c>
      <c r="L43" s="114">
        <f t="shared" si="39"/>
        <v>15.795192324429527</v>
      </c>
      <c r="M43" s="114">
        <f t="shared" si="39"/>
        <v>16.390297652962868</v>
      </c>
      <c r="N43" s="114">
        <f t="shared" ref="N43" si="40">SUM(N40:N42)</f>
        <v>17.007824383197097</v>
      </c>
    </row>
    <row r="44" spans="1:14" ht="14.25" customHeight="1">
      <c r="A44" s="196"/>
      <c r="E44" s="72"/>
      <c r="J44" s="72"/>
    </row>
    <row r="45" spans="1:14" ht="14.25" customHeight="1">
      <c r="A45" s="208" t="s">
        <v>255</v>
      </c>
      <c r="B45" s="209"/>
      <c r="C45" s="210">
        <f t="shared" ref="C45:M45" si="41">C37-C43</f>
        <v>8.7901750000000014</v>
      </c>
      <c r="D45" s="210">
        <f t="shared" si="41"/>
        <v>2.0162720000000007</v>
      </c>
      <c r="E45" s="210">
        <f t="shared" si="41"/>
        <v>0.73117900000000091</v>
      </c>
      <c r="F45" s="210">
        <f t="shared" si="41"/>
        <v>0.42349800000000037</v>
      </c>
      <c r="G45" s="211">
        <f t="shared" si="41"/>
        <v>0.63816300000000048</v>
      </c>
      <c r="H45" s="211">
        <f t="shared" si="41"/>
        <v>0.62683862684552061</v>
      </c>
      <c r="I45" s="211">
        <f t="shared" si="41"/>
        <v>0.61384591814737455</v>
      </c>
      <c r="J45" s="211">
        <f t="shared" si="41"/>
        <v>0.59907842532073907</v>
      </c>
      <c r="K45" s="211">
        <f t="shared" si="41"/>
        <v>0.58242415879823461</v>
      </c>
      <c r="L45" s="211">
        <f t="shared" si="41"/>
        <v>0.56376532553817249</v>
      </c>
      <c r="M45" s="211">
        <f t="shared" si="41"/>
        <v>0.54297805475685124</v>
      </c>
      <c r="N45" s="211">
        <f t="shared" ref="N45" si="42">N37-N43</f>
        <v>0.51993211137497397</v>
      </c>
    </row>
    <row r="46" spans="1:14" ht="14.25" customHeight="1">
      <c r="A46" s="196"/>
      <c r="E46" s="72"/>
      <c r="J46" s="72"/>
    </row>
    <row r="47" spans="1:14" ht="14.25" customHeight="1">
      <c r="A47" s="196" t="s">
        <v>261</v>
      </c>
      <c r="C47" s="6">
        <f t="shared" ref="C47:G47" si="43">C35/C34</f>
        <v>0</v>
      </c>
      <c r="D47" s="6">
        <f t="shared" si="43"/>
        <v>0.15670614797926841</v>
      </c>
      <c r="E47" s="6">
        <f t="shared" si="43"/>
        <v>0</v>
      </c>
      <c r="F47" s="6">
        <f t="shared" si="43"/>
        <v>2.1814691689358526E-2</v>
      </c>
      <c r="G47" s="6">
        <f t="shared" si="43"/>
        <v>4.8399813420403809E-2</v>
      </c>
      <c r="H47" s="212">
        <f t="shared" ref="H47:H48" si="44">AVERAGE(F47:G47)</f>
        <v>3.5107252554881167E-2</v>
      </c>
      <c r="I47" s="212">
        <f t="shared" ref="I47:M47" si="45">H47</f>
        <v>3.5107252554881167E-2</v>
      </c>
      <c r="J47" s="212">
        <f t="shared" si="45"/>
        <v>3.5107252554881167E-2</v>
      </c>
      <c r="K47" s="212">
        <f t="shared" si="45"/>
        <v>3.5107252554881167E-2</v>
      </c>
      <c r="L47" s="212">
        <f t="shared" si="45"/>
        <v>3.5107252554881167E-2</v>
      </c>
      <c r="M47" s="212">
        <f t="shared" si="45"/>
        <v>3.5107252554881167E-2</v>
      </c>
      <c r="N47" s="212">
        <f t="shared" ref="N47:N48" si="46">M47</f>
        <v>3.5107252554881167E-2</v>
      </c>
    </row>
    <row r="48" spans="1:14" ht="14.25" customHeight="1">
      <c r="A48" s="196" t="s">
        <v>262</v>
      </c>
      <c r="C48" s="6">
        <f t="shared" ref="C48:G48" si="47">C41/C37</f>
        <v>0.16700128075963114</v>
      </c>
      <c r="D48" s="6">
        <f t="shared" si="47"/>
        <v>0.15908299482623206</v>
      </c>
      <c r="E48" s="6">
        <f t="shared" si="47"/>
        <v>0.10000109720889511</v>
      </c>
      <c r="F48" s="6">
        <f t="shared" si="47"/>
        <v>4.4780397719159627E-2</v>
      </c>
      <c r="G48" s="6">
        <f t="shared" si="47"/>
        <v>3.0572319273456782E-2</v>
      </c>
      <c r="H48" s="212">
        <f t="shared" si="44"/>
        <v>3.7676358496308203E-2</v>
      </c>
      <c r="I48" s="212">
        <f t="shared" ref="I48:M48" si="48">H48</f>
        <v>3.7676358496308203E-2</v>
      </c>
      <c r="J48" s="212">
        <f t="shared" si="48"/>
        <v>3.7676358496308203E-2</v>
      </c>
      <c r="K48" s="212">
        <f t="shared" si="48"/>
        <v>3.7676358496308203E-2</v>
      </c>
      <c r="L48" s="212">
        <f t="shared" si="48"/>
        <v>3.7676358496308203E-2</v>
      </c>
      <c r="M48" s="212">
        <f t="shared" si="48"/>
        <v>3.7676358496308203E-2</v>
      </c>
      <c r="N48" s="212">
        <f t="shared" si="46"/>
        <v>3.7676358496308203E-2</v>
      </c>
    </row>
    <row r="49" spans="1:14" ht="14.25" customHeight="1">
      <c r="A49" s="196"/>
      <c r="D49" s="86"/>
      <c r="E49" s="72"/>
      <c r="F49" s="72"/>
      <c r="J49" s="72"/>
    </row>
    <row r="50" spans="1:14" ht="14.25" customHeight="1">
      <c r="A50" s="195" t="s">
        <v>263</v>
      </c>
      <c r="C50" s="5">
        <v>280.94905</v>
      </c>
      <c r="D50" s="4">
        <v>297.79845999999998</v>
      </c>
      <c r="E50" s="4">
        <v>314.54592400000001</v>
      </c>
      <c r="F50" s="114">
        <v>334.86318499999999</v>
      </c>
      <c r="G50" s="114">
        <v>347.73843699999998</v>
      </c>
      <c r="H50" s="114">
        <v>347.73843699999998</v>
      </c>
      <c r="I50" s="114">
        <v>347.73843699999998</v>
      </c>
      <c r="J50" s="114">
        <v>347.73843699999998</v>
      </c>
      <c r="K50" s="114">
        <v>347.73843699999998</v>
      </c>
      <c r="L50" s="114">
        <v>347.73843699999998</v>
      </c>
      <c r="M50" s="114">
        <v>347.73843699999998</v>
      </c>
      <c r="N50" s="114">
        <v>347.73843699999998</v>
      </c>
    </row>
    <row r="51" spans="1:14" ht="14.25" customHeight="1" thickBot="1">
      <c r="A51" s="195" t="s">
        <v>264</v>
      </c>
      <c r="C51" s="114">
        <v>9.7873249999999992</v>
      </c>
      <c r="D51" s="132">
        <v>9.7873249999999992</v>
      </c>
      <c r="E51" s="132">
        <v>9.7873249999999992</v>
      </c>
      <c r="F51" s="132">
        <v>9.7873249999999992</v>
      </c>
      <c r="G51" s="132">
        <v>9.7173250000000007</v>
      </c>
      <c r="H51" s="132">
        <v>9.7173250000000007</v>
      </c>
      <c r="I51" s="132">
        <v>9.7173250000000007</v>
      </c>
      <c r="J51" s="132">
        <v>9.7173250000000007</v>
      </c>
      <c r="K51" s="132">
        <v>9.7173250000000007</v>
      </c>
      <c r="L51" s="132">
        <v>9.7173250000000007</v>
      </c>
      <c r="M51" s="132">
        <v>9.7173250000000007</v>
      </c>
      <c r="N51" s="132">
        <v>9.7173250000000007</v>
      </c>
    </row>
    <row r="52" spans="1:14" ht="14.25" customHeight="1" thickBot="1">
      <c r="A52" s="213"/>
      <c r="C52" s="214">
        <v>2856.6570029999998</v>
      </c>
      <c r="D52" s="214">
        <v>2956.0971629999999</v>
      </c>
      <c r="E52" s="125">
        <v>3043.239728</v>
      </c>
      <c r="F52" s="125">
        <f t="shared" ref="F52:M52" si="49">SUM(F51,F50,F45,F7)</f>
        <v>3653.90877</v>
      </c>
      <c r="G52" s="125">
        <f t="shared" si="49"/>
        <v>3604.813001</v>
      </c>
      <c r="H52" s="125">
        <f t="shared" si="49"/>
        <v>3848.2821272959745</v>
      </c>
      <c r="I52" s="125">
        <f t="shared" si="49"/>
        <v>4099.7404538902047</v>
      </c>
      <c r="J52" s="125">
        <f t="shared" si="49"/>
        <v>4381.7780571850972</v>
      </c>
      <c r="K52" s="125">
        <f t="shared" si="49"/>
        <v>4678.2397721749103</v>
      </c>
      <c r="L52" s="126">
        <f t="shared" si="49"/>
        <v>5000.0822038690221</v>
      </c>
      <c r="M52" s="126">
        <f t="shared" si="49"/>
        <v>5343.8490389450235</v>
      </c>
      <c r="N52" s="126">
        <f t="shared" ref="N52" si="50">SUM(N51,N50,N45,N7)</f>
        <v>5714.0154694207858</v>
      </c>
    </row>
    <row r="53" spans="1:14" ht="14.25" customHeight="1" thickBot="1">
      <c r="A53" s="194" t="s">
        <v>265</v>
      </c>
      <c r="J53" s="72"/>
    </row>
    <row r="54" spans="1:14" ht="14.25" customHeight="1">
      <c r="A54" s="195" t="s">
        <v>266</v>
      </c>
      <c r="C54" s="120">
        <v>22.754337</v>
      </c>
      <c r="D54" s="120">
        <v>46.218187</v>
      </c>
      <c r="E54" s="120">
        <v>20.878122999999999</v>
      </c>
      <c r="F54" s="113">
        <v>30.392651000000001</v>
      </c>
      <c r="G54" s="113">
        <v>44.861806000000001</v>
      </c>
      <c r="H54" s="4">
        <f>ASSUMPTIONS!H168</f>
        <v>44.751184273518348</v>
      </c>
      <c r="I54" s="4">
        <f>ASSUMPTIONS!I168</f>
        <v>52.63838912819719</v>
      </c>
      <c r="J54" s="4">
        <f>ASSUMPTIONS!J168</f>
        <v>58.862988589825413</v>
      </c>
      <c r="K54" s="4">
        <f>ASSUMPTIONS!K168</f>
        <v>65.110308591926028</v>
      </c>
      <c r="L54" s="4">
        <f>ASSUMPTIONS!L168</f>
        <v>72.164998110162912</v>
      </c>
      <c r="M54" s="4">
        <f>ASSUMPTIONS!M168</f>
        <v>77.396102422968397</v>
      </c>
      <c r="N54" s="4">
        <f>ASSUMPTIONS!N168</f>
        <v>83.450391518645446</v>
      </c>
    </row>
    <row r="55" spans="1:14" ht="14.25" customHeight="1">
      <c r="A55" s="195" t="s">
        <v>267</v>
      </c>
      <c r="C55" s="120">
        <v>1546.0370680000001</v>
      </c>
      <c r="D55" s="120">
        <v>1219.85392</v>
      </c>
      <c r="E55" s="120">
        <v>1170.925851</v>
      </c>
      <c r="F55" s="113">
        <v>1833.184796</v>
      </c>
      <c r="G55" s="113">
        <v>1689.956889</v>
      </c>
      <c r="H55" s="65">
        <f>ASSUMPTIONS!H165</f>
        <v>2161.4747029255518</v>
      </c>
      <c r="I55" s="65">
        <f>ASSUMPTIONS!I165</f>
        <v>2542.4253760068032</v>
      </c>
      <c r="J55" s="65">
        <f>ASSUMPTIONS!J165</f>
        <v>2843.0724871518605</v>
      </c>
      <c r="K55" s="65">
        <f>ASSUMPTIONS!K165</f>
        <v>3144.8169965951997</v>
      </c>
      <c r="L55" s="65">
        <f>ASSUMPTIONS!L165</f>
        <v>3485.5573184035425</v>
      </c>
      <c r="M55" s="65">
        <f>ASSUMPTIONS!M165</f>
        <v>3738.2187803077964</v>
      </c>
      <c r="N55" s="65">
        <f>ASSUMPTIONS!N165</f>
        <v>4030.6399293107238</v>
      </c>
    </row>
    <row r="56" spans="1:14" ht="14.25" customHeight="1">
      <c r="A56" s="195" t="s">
        <v>268</v>
      </c>
      <c r="C56" s="120">
        <v>365.941171</v>
      </c>
      <c r="D56" s="120">
        <v>536.41276400000004</v>
      </c>
      <c r="E56" s="120">
        <v>887.45230500000002</v>
      </c>
      <c r="F56" s="113">
        <v>1026.879355</v>
      </c>
      <c r="G56" s="113">
        <v>1313.5921499999999</v>
      </c>
      <c r="H56" s="65">
        <f>ASSUMPTIONS!H166</f>
        <v>1470.9718299972328</v>
      </c>
      <c r="I56" s="65">
        <f>ASSUMPTIONS!I166</f>
        <v>1687.5450296244169</v>
      </c>
      <c r="J56" s="65">
        <f>ASSUMPTIONS!J166</f>
        <v>2247.1643920122142</v>
      </c>
      <c r="K56" s="65">
        <f>ASSUMPTIONS!K166</f>
        <v>2605.5943306948316</v>
      </c>
      <c r="L56" s="65">
        <f>ASSUMPTIONS!L166</f>
        <v>2994.663716514619</v>
      </c>
      <c r="M56" s="65">
        <f>ASSUMPTIONS!M166</f>
        <v>3441.9006353397176</v>
      </c>
      <c r="N56" s="65">
        <f>ASSUMPTIONS!N166</f>
        <v>3956.0100016303622</v>
      </c>
    </row>
    <row r="57" spans="1:14" ht="14.25" customHeight="1">
      <c r="A57" s="195" t="s">
        <v>269</v>
      </c>
      <c r="C57" s="120">
        <v>72.918451000000005</v>
      </c>
      <c r="D57" s="120">
        <v>43.976934</v>
      </c>
      <c r="E57" s="120">
        <v>24.399746</v>
      </c>
      <c r="F57" s="113">
        <v>42.851733000000003</v>
      </c>
      <c r="G57" s="113">
        <v>47.516129999999997</v>
      </c>
      <c r="H57" s="113">
        <v>47.516129999999997</v>
      </c>
      <c r="I57" s="113">
        <v>47.516129999999997</v>
      </c>
      <c r="J57" s="113">
        <v>47.516129999999997</v>
      </c>
      <c r="K57" s="113">
        <v>47.516129999999997</v>
      </c>
      <c r="L57" s="113">
        <v>47.516129999999997</v>
      </c>
      <c r="M57" s="113">
        <v>47.516129999999997</v>
      </c>
      <c r="N57" s="113">
        <v>47.516129999999997</v>
      </c>
    </row>
    <row r="58" spans="1:14" ht="14.25" customHeight="1">
      <c r="A58" s="195" t="s">
        <v>270</v>
      </c>
      <c r="C58" s="120">
        <v>151.421998</v>
      </c>
      <c r="D58" s="120">
        <v>174.960635</v>
      </c>
      <c r="E58" s="120">
        <v>151.08883900000001</v>
      </c>
      <c r="F58" s="113">
        <v>155.89963299999999</v>
      </c>
      <c r="G58" s="113">
        <v>131.56101699999999</v>
      </c>
      <c r="H58" s="113">
        <v>131.56101699999999</v>
      </c>
      <c r="I58" s="113">
        <v>131.56101699999999</v>
      </c>
      <c r="J58" s="113">
        <v>131.56101699999999</v>
      </c>
      <c r="K58" s="113">
        <v>131.56101699999999</v>
      </c>
      <c r="L58" s="113">
        <v>131.56101699999999</v>
      </c>
      <c r="M58" s="113">
        <v>131.56101699999999</v>
      </c>
      <c r="N58" s="113">
        <v>131.56101699999999</v>
      </c>
    </row>
    <row r="59" spans="1:14" ht="14.25" customHeight="1">
      <c r="A59" s="195" t="s">
        <v>271</v>
      </c>
      <c r="C59" s="120">
        <v>10.595528</v>
      </c>
      <c r="D59" s="120">
        <v>92.465979000000004</v>
      </c>
      <c r="E59" s="120">
        <v>67.56429</v>
      </c>
      <c r="F59" s="113">
        <v>38.117556</v>
      </c>
      <c r="G59" s="113">
        <v>14.110312</v>
      </c>
      <c r="H59" s="113">
        <v>14.110312</v>
      </c>
      <c r="I59" s="113">
        <v>14.110312</v>
      </c>
      <c r="J59" s="113">
        <v>14.110312</v>
      </c>
      <c r="K59" s="113">
        <v>14.110312</v>
      </c>
      <c r="L59" s="113">
        <v>14.110312</v>
      </c>
      <c r="M59" s="113">
        <v>14.110312</v>
      </c>
      <c r="N59" s="113">
        <v>14.110312</v>
      </c>
    </row>
    <row r="60" spans="1:14" ht="14.25" customHeight="1">
      <c r="A60" s="195" t="s">
        <v>272</v>
      </c>
      <c r="C60" s="120">
        <v>127.916951</v>
      </c>
      <c r="D60" s="120">
        <v>170.398448</v>
      </c>
      <c r="E60" s="120">
        <v>202.00256200000001</v>
      </c>
      <c r="F60" s="113">
        <v>286.47931499999999</v>
      </c>
      <c r="G60" s="113">
        <v>285.21693599999998</v>
      </c>
      <c r="H60" s="113">
        <v>285.21693599999998</v>
      </c>
      <c r="I60" s="113">
        <v>285.21693599999998</v>
      </c>
      <c r="J60" s="113">
        <v>285.21693599999998</v>
      </c>
      <c r="K60" s="113">
        <v>285.21693599999998</v>
      </c>
      <c r="L60" s="113">
        <v>285.21693599999998</v>
      </c>
      <c r="M60" s="113">
        <v>285.21693599999998</v>
      </c>
      <c r="N60" s="113">
        <v>285.21693599999998</v>
      </c>
    </row>
    <row r="61" spans="1:14" ht="14.25" customHeight="1">
      <c r="A61" s="195" t="s">
        <v>273</v>
      </c>
      <c r="C61" s="120">
        <v>487.88488899999999</v>
      </c>
      <c r="D61" s="120">
        <v>527.34353299999998</v>
      </c>
      <c r="E61" s="120">
        <v>451.84765099999998</v>
      </c>
      <c r="F61" s="113">
        <v>357.59062399999999</v>
      </c>
      <c r="G61" s="113">
        <v>1080.776249</v>
      </c>
      <c r="H61" s="113">
        <v>1080.776249</v>
      </c>
      <c r="I61" s="113">
        <v>1080.776249</v>
      </c>
      <c r="J61" s="113">
        <v>1080.776249</v>
      </c>
      <c r="K61" s="113">
        <v>1080.776249</v>
      </c>
      <c r="L61" s="113">
        <v>1080.776249</v>
      </c>
      <c r="M61" s="113">
        <v>1080.776249</v>
      </c>
      <c r="N61" s="113">
        <v>1080.776249</v>
      </c>
    </row>
    <row r="62" spans="1:14" ht="14.25" customHeight="1" thickBot="1">
      <c r="A62" s="195" t="s">
        <v>274</v>
      </c>
      <c r="C62" s="122">
        <v>135.31717699999999</v>
      </c>
      <c r="D62" s="122">
        <v>197.17929000000001</v>
      </c>
      <c r="E62" s="122">
        <v>183.44778199999999</v>
      </c>
      <c r="F62" s="123">
        <v>99.297818000000007</v>
      </c>
      <c r="G62" s="123">
        <v>399.374281</v>
      </c>
      <c r="H62" s="91">
        <f>FS!H57</f>
        <v>669.11462472943822</v>
      </c>
      <c r="I62" s="91">
        <f>FS!I57</f>
        <v>236.8315832582702</v>
      </c>
      <c r="J62" s="91">
        <f>FS!J57</f>
        <v>868.37577547649948</v>
      </c>
      <c r="K62" s="91">
        <f>FS!K57</f>
        <v>1750.0951840579964</v>
      </c>
      <c r="L62" s="91">
        <f>FS!L57</f>
        <v>2831.7431274919863</v>
      </c>
      <c r="M62" s="91">
        <f>FS!M57</f>
        <v>4218.2265348305355</v>
      </c>
      <c r="N62" s="91">
        <f>FS!N57</f>
        <v>5830.5659841148954</v>
      </c>
    </row>
    <row r="63" spans="1:14" ht="14.25" customHeight="1" thickBot="1">
      <c r="A63" s="191"/>
      <c r="C63" s="215">
        <f t="shared" ref="C63:E63" si="51">SUM(C54:C62)</f>
        <v>2920.78757</v>
      </c>
      <c r="D63" s="104">
        <f t="shared" si="51"/>
        <v>3008.80969</v>
      </c>
      <c r="E63" s="104">
        <f t="shared" si="51"/>
        <v>3159.6071490000004</v>
      </c>
      <c r="F63" s="104">
        <v>3870.6934809999998</v>
      </c>
      <c r="G63" s="104">
        <v>5006.9657699999998</v>
      </c>
      <c r="H63" s="104">
        <f t="shared" ref="H63:M63" si="52">SUM(H54:H62)</f>
        <v>5905.4929859257409</v>
      </c>
      <c r="I63" s="104">
        <f t="shared" si="52"/>
        <v>6078.6210220176872</v>
      </c>
      <c r="J63" s="104">
        <f t="shared" si="52"/>
        <v>7576.6562872303984</v>
      </c>
      <c r="K63" s="104">
        <f t="shared" si="52"/>
        <v>9124.7974639399545</v>
      </c>
      <c r="L63" s="109">
        <f t="shared" si="52"/>
        <v>10943.309804520311</v>
      </c>
      <c r="M63" s="109">
        <f t="shared" si="52"/>
        <v>13034.922696901018</v>
      </c>
      <c r="N63" s="109">
        <f t="shared" ref="N63" si="53">SUM(N54:N62)</f>
        <v>15459.846950574629</v>
      </c>
    </row>
    <row r="64" spans="1:14" ht="14.25" customHeight="1" thickBot="1">
      <c r="A64" s="189"/>
      <c r="J64" s="72"/>
    </row>
    <row r="65" spans="1:14" ht="14.25" customHeight="1" thickBot="1">
      <c r="A65" s="216" t="s">
        <v>275</v>
      </c>
      <c r="B65" s="217"/>
      <c r="C65" s="125">
        <f t="shared" ref="C65:M65" si="54">C52+C63</f>
        <v>5777.4445729999998</v>
      </c>
      <c r="D65" s="125">
        <f t="shared" si="54"/>
        <v>5964.9068530000004</v>
      </c>
      <c r="E65" s="125">
        <f t="shared" si="54"/>
        <v>6202.8468769999999</v>
      </c>
      <c r="F65" s="125">
        <f t="shared" si="54"/>
        <v>7524.6022510000003</v>
      </c>
      <c r="G65" s="125">
        <f t="shared" si="54"/>
        <v>8611.7787709999993</v>
      </c>
      <c r="H65" s="125">
        <f t="shared" si="54"/>
        <v>9753.7751132217163</v>
      </c>
      <c r="I65" s="125">
        <f t="shared" si="54"/>
        <v>10178.361475907892</v>
      </c>
      <c r="J65" s="125">
        <f t="shared" si="54"/>
        <v>11958.434344415495</v>
      </c>
      <c r="K65" s="125">
        <f t="shared" si="54"/>
        <v>13803.037236114866</v>
      </c>
      <c r="L65" s="126">
        <f t="shared" si="54"/>
        <v>15943.392008389334</v>
      </c>
      <c r="M65" s="126">
        <f t="shared" si="54"/>
        <v>18378.771735846043</v>
      </c>
      <c r="N65" s="126">
        <f t="shared" ref="N65" si="55">N52+N63</f>
        <v>21173.862419995414</v>
      </c>
    </row>
    <row r="66" spans="1:14" ht="14.25" customHeight="1" thickBot="1">
      <c r="A66" s="189"/>
      <c r="J66" s="72"/>
    </row>
    <row r="67" spans="1:14" ht="14.25" customHeight="1" thickBot="1">
      <c r="A67" s="194" t="s">
        <v>276</v>
      </c>
      <c r="E67" s="86"/>
      <c r="J67" s="72"/>
    </row>
    <row r="68" spans="1:14" ht="14.25" customHeight="1">
      <c r="A68" s="189"/>
      <c r="F68" s="59"/>
      <c r="G68" s="59"/>
      <c r="H68" s="59"/>
      <c r="I68" s="59"/>
      <c r="J68" s="72"/>
    </row>
    <row r="69" spans="1:14" ht="14.25" customHeight="1">
      <c r="A69" s="307" t="s">
        <v>277</v>
      </c>
      <c r="C69" s="304">
        <v>500</v>
      </c>
      <c r="D69" s="304">
        <v>500</v>
      </c>
      <c r="E69" s="304">
        <v>500</v>
      </c>
      <c r="F69" s="304">
        <v>500</v>
      </c>
      <c r="G69" s="304">
        <v>500</v>
      </c>
      <c r="H69" s="309">
        <v>500</v>
      </c>
      <c r="I69" s="309">
        <v>500</v>
      </c>
      <c r="J69" s="309">
        <v>500</v>
      </c>
      <c r="K69" s="309">
        <v>500</v>
      </c>
      <c r="L69" s="309">
        <v>500</v>
      </c>
      <c r="M69" s="218">
        <v>500</v>
      </c>
      <c r="N69" s="218">
        <v>500</v>
      </c>
    </row>
    <row r="70" spans="1:14" ht="14.25" customHeight="1">
      <c r="A70" s="308"/>
      <c r="C70" s="305"/>
      <c r="D70" s="305"/>
      <c r="E70" s="305"/>
      <c r="F70" s="305"/>
      <c r="G70" s="305"/>
      <c r="H70" s="305"/>
      <c r="I70" s="305"/>
      <c r="J70" s="305"/>
      <c r="K70" s="305"/>
      <c r="L70" s="305"/>
      <c r="M70" s="219"/>
      <c r="N70" s="219"/>
    </row>
    <row r="71" spans="1:14" ht="14.25" customHeight="1">
      <c r="A71" s="308"/>
      <c r="C71" s="306"/>
      <c r="D71" s="306"/>
      <c r="E71" s="306"/>
      <c r="F71" s="306"/>
      <c r="G71" s="306"/>
      <c r="H71" s="306"/>
      <c r="I71" s="306"/>
      <c r="J71" s="306"/>
      <c r="K71" s="306"/>
      <c r="L71" s="306"/>
      <c r="M71" s="220"/>
      <c r="N71" s="220"/>
    </row>
    <row r="72" spans="1:14" ht="14.25" customHeight="1">
      <c r="A72" s="221" t="s">
        <v>278</v>
      </c>
      <c r="C72" s="114">
        <f t="shared" ref="C72:E72" si="56">301868410/1000000</f>
        <v>301.86840999999998</v>
      </c>
      <c r="D72" s="114">
        <f t="shared" si="56"/>
        <v>301.86840999999998</v>
      </c>
      <c r="E72" s="114">
        <f t="shared" si="56"/>
        <v>301.86840999999998</v>
      </c>
      <c r="F72" s="114">
        <v>301.86840999999998</v>
      </c>
      <c r="G72" s="114">
        <v>362.24209999999999</v>
      </c>
      <c r="H72" s="114">
        <v>362.24209999999999</v>
      </c>
      <c r="I72" s="114">
        <v>362.24209999999999</v>
      </c>
      <c r="J72" s="114">
        <v>362.24209999999999</v>
      </c>
      <c r="K72" s="114">
        <v>362.24209999999999</v>
      </c>
      <c r="L72" s="114">
        <v>362.24209999999999</v>
      </c>
      <c r="M72" s="114">
        <v>362.24209999999999</v>
      </c>
      <c r="N72" s="114">
        <v>362.24209999999999</v>
      </c>
    </row>
    <row r="73" spans="1:14" ht="14.25" customHeight="1">
      <c r="A73" s="221" t="s">
        <v>279</v>
      </c>
      <c r="C73" s="114">
        <f t="shared" ref="C73:E73" si="57">321843/1000000</f>
        <v>0.32184299999999999</v>
      </c>
      <c r="D73" s="114">
        <f t="shared" si="57"/>
        <v>0.32184299999999999</v>
      </c>
      <c r="E73" s="114">
        <f t="shared" si="57"/>
        <v>0.32184299999999999</v>
      </c>
      <c r="F73" s="114">
        <v>0.32184299999999999</v>
      </c>
      <c r="G73" s="114">
        <v>0.32184299999999999</v>
      </c>
      <c r="H73" s="114">
        <v>0.32184299999999999</v>
      </c>
      <c r="I73" s="114">
        <v>0.32184299999999999</v>
      </c>
      <c r="J73" s="114">
        <v>0.32184299999999999</v>
      </c>
      <c r="K73" s="114">
        <v>0.32184299999999999</v>
      </c>
      <c r="L73" s="114">
        <v>0.32184299999999999</v>
      </c>
      <c r="M73" s="114">
        <v>0.32184299999999999</v>
      </c>
      <c r="N73" s="114">
        <v>0.32184299999999999</v>
      </c>
    </row>
    <row r="74" spans="1:14" ht="14.25" customHeight="1">
      <c r="A74" s="222" t="s">
        <v>280</v>
      </c>
      <c r="C74" s="223">
        <f>807524953/1000000</f>
        <v>807.52495299999998</v>
      </c>
      <c r="D74" s="223">
        <f>789650185/1000000</f>
        <v>789.65018499999996</v>
      </c>
      <c r="E74" s="223">
        <f>755732295/1000000</f>
        <v>755.73229500000002</v>
      </c>
      <c r="F74" s="223">
        <v>1135.897569</v>
      </c>
      <c r="G74" s="223">
        <v>1093.3774370000001</v>
      </c>
      <c r="H74" s="223">
        <v>1093.3774370000001</v>
      </c>
      <c r="I74" s="223">
        <v>1093.3774370000001</v>
      </c>
      <c r="J74" s="223">
        <v>1093.3774370000001</v>
      </c>
      <c r="K74" s="223">
        <v>1093.3774370000001</v>
      </c>
      <c r="L74" s="223">
        <v>1093.3774370000001</v>
      </c>
      <c r="M74" s="223">
        <v>1093.3774370000001</v>
      </c>
      <c r="N74" s="223">
        <v>1093.3774370000001</v>
      </c>
    </row>
    <row r="75" spans="1:14" ht="14.25" customHeight="1" thickBot="1">
      <c r="A75" s="221" t="s">
        <v>281</v>
      </c>
      <c r="C75" s="224">
        <f>3733431676/1000000</f>
        <v>3733.4316760000002</v>
      </c>
      <c r="D75" s="224">
        <f>3735100328/1000000</f>
        <v>3735.100328</v>
      </c>
      <c r="E75" s="224">
        <f>3879504557/1000000</f>
        <v>3879.5045570000002</v>
      </c>
      <c r="F75" s="224">
        <v>4181.7545309999996</v>
      </c>
      <c r="G75" s="224">
        <v>4768.3888669999997</v>
      </c>
      <c r="H75" s="91">
        <f>G75+(FS!H14)-FS!H18</f>
        <v>5065.0605227739316</v>
      </c>
      <c r="I75" s="91">
        <f>H75+FS!I14-FS!I18</f>
        <v>5414.9220945956722</v>
      </c>
      <c r="J75" s="91">
        <f>I75+FS!J14-FS!J18</f>
        <v>6352.6827665225728</v>
      </c>
      <c r="K75" s="91">
        <f>J75+FS!K14-FS!K18</f>
        <v>7551.3549364780229</v>
      </c>
      <c r="L75" s="91">
        <f>K75+FS!L14-FS!L18</f>
        <v>8974.1496058129142</v>
      </c>
      <c r="M75" s="91">
        <f>L75+FS!M14-FS!M18</f>
        <v>10720.165612572426</v>
      </c>
      <c r="N75" s="91">
        <f>M75+FS!N14-FS!N18</f>
        <v>12717.785589055882</v>
      </c>
    </row>
    <row r="76" spans="1:14" ht="14.25" customHeight="1" thickBot="1">
      <c r="A76" s="221"/>
      <c r="C76" s="215">
        <f>4843146882/1000000</f>
        <v>4843.146882</v>
      </c>
      <c r="D76" s="104">
        <f>4826940766/1000000</f>
        <v>4826.9407659999997</v>
      </c>
      <c r="E76" s="104">
        <f>4937427105/1000000</f>
        <v>4937.4271049999998</v>
      </c>
      <c r="F76" s="104">
        <v>5619.842353</v>
      </c>
      <c r="G76" s="104">
        <v>6224.3302469999999</v>
      </c>
      <c r="H76" s="104">
        <f t="shared" ref="H76:M76" si="58">SUM(H72:H75)</f>
        <v>6521.0019027739318</v>
      </c>
      <c r="I76" s="104">
        <f t="shared" si="58"/>
        <v>6870.8634745956724</v>
      </c>
      <c r="J76" s="104">
        <f t="shared" si="58"/>
        <v>7808.624146522573</v>
      </c>
      <c r="K76" s="104">
        <f t="shared" si="58"/>
        <v>9007.2963164780231</v>
      </c>
      <c r="L76" s="109">
        <f t="shared" si="58"/>
        <v>10430.090985812914</v>
      </c>
      <c r="M76" s="109">
        <f t="shared" si="58"/>
        <v>12176.106992572426</v>
      </c>
      <c r="N76" s="109">
        <f t="shared" ref="N76" si="59">SUM(N72:N75)</f>
        <v>14173.726969055882</v>
      </c>
    </row>
    <row r="77" spans="1:14" ht="14.25" customHeight="1" thickBot="1">
      <c r="A77" s="189"/>
      <c r="D77" s="59"/>
      <c r="E77" s="59"/>
      <c r="F77" s="59"/>
      <c r="G77" s="59"/>
      <c r="H77" s="59"/>
      <c r="I77" s="59"/>
      <c r="J77" s="59"/>
    </row>
    <row r="78" spans="1:14" ht="14.25" customHeight="1" thickBot="1">
      <c r="A78" s="194" t="s">
        <v>282</v>
      </c>
      <c r="J78" s="72"/>
    </row>
    <row r="79" spans="1:14" ht="14.25" customHeight="1">
      <c r="A79" s="195" t="s">
        <v>283</v>
      </c>
      <c r="C79" s="225">
        <v>0</v>
      </c>
      <c r="D79" s="225">
        <v>0</v>
      </c>
      <c r="E79" s="226">
        <v>0</v>
      </c>
      <c r="F79" s="227">
        <v>90.090384</v>
      </c>
      <c r="G79" s="227">
        <v>84.040204000000003</v>
      </c>
      <c r="H79" s="226">
        <v>84.040204000000003</v>
      </c>
      <c r="I79" s="228">
        <v>84.040204000000003</v>
      </c>
      <c r="J79" s="228">
        <v>84.040204000000003</v>
      </c>
      <c r="K79" s="228">
        <v>84.040204000000003</v>
      </c>
      <c r="L79" s="228">
        <v>84.040204000000003</v>
      </c>
      <c r="M79" s="228">
        <v>84.040204000000003</v>
      </c>
      <c r="N79" s="228">
        <v>84.040204000000003</v>
      </c>
    </row>
    <row r="80" spans="1:14" ht="14.25" customHeight="1">
      <c r="A80" s="195" t="s">
        <v>284</v>
      </c>
      <c r="C80" s="229">
        <v>0</v>
      </c>
      <c r="D80" s="229">
        <v>0</v>
      </c>
      <c r="E80" s="230">
        <v>0</v>
      </c>
      <c r="F80" s="231">
        <v>4.4096159999999998</v>
      </c>
      <c r="G80" s="231">
        <v>1.4597960000000001</v>
      </c>
      <c r="H80" s="230">
        <v>1.4597960000000001</v>
      </c>
      <c r="I80" s="232">
        <v>1.4597960000000001</v>
      </c>
      <c r="J80" s="232">
        <v>1.4597960000000001</v>
      </c>
      <c r="K80" s="232">
        <v>1.4597960000000001</v>
      </c>
      <c r="L80" s="232">
        <v>1.4597960000000001</v>
      </c>
      <c r="M80" s="232">
        <v>1.4597960000000001</v>
      </c>
      <c r="N80" s="232">
        <v>1.4597960000000001</v>
      </c>
    </row>
    <row r="81" spans="1:14" ht="14.25" customHeight="1" thickBot="1">
      <c r="A81" s="195" t="s">
        <v>285</v>
      </c>
      <c r="C81" s="233">
        <f t="shared" ref="C81:C82" si="60">167046631/1000000</f>
        <v>167.04663099999999</v>
      </c>
      <c r="D81" s="233">
        <f t="shared" ref="D81:D82" si="61">165760483/1000000</f>
        <v>165.76048299999999</v>
      </c>
      <c r="E81" s="234">
        <f t="shared" ref="E81:E82" si="62">178928506/1000000</f>
        <v>178.928506</v>
      </c>
      <c r="F81" s="233">
        <v>282.74242800000002</v>
      </c>
      <c r="G81" s="233">
        <v>257.929124</v>
      </c>
      <c r="H81" s="234">
        <v>257.929124</v>
      </c>
      <c r="I81" s="235">
        <v>257.929124</v>
      </c>
      <c r="J81" s="235">
        <v>257.929124</v>
      </c>
      <c r="K81" s="235">
        <v>257.929124</v>
      </c>
      <c r="L81" s="235">
        <v>257.929124</v>
      </c>
      <c r="M81" s="235">
        <v>257.929124</v>
      </c>
      <c r="N81" s="235">
        <v>257.929124</v>
      </c>
    </row>
    <row r="82" spans="1:14" ht="14.25" customHeight="1" thickBot="1">
      <c r="A82" s="189"/>
      <c r="C82" s="236">
        <f t="shared" si="60"/>
        <v>167.04663099999999</v>
      </c>
      <c r="D82" s="236">
        <f t="shared" si="61"/>
        <v>165.76048299999999</v>
      </c>
      <c r="E82" s="237">
        <f t="shared" si="62"/>
        <v>178.928506</v>
      </c>
      <c r="F82" s="238">
        <v>377.24242800000002</v>
      </c>
      <c r="G82" s="238">
        <v>343.429124</v>
      </c>
      <c r="H82" s="239">
        <v>343.429124</v>
      </c>
      <c r="I82" s="239">
        <v>343.429124</v>
      </c>
      <c r="J82" s="239">
        <v>343.429124</v>
      </c>
      <c r="K82" s="239">
        <v>343.429124</v>
      </c>
      <c r="L82" s="240">
        <v>343.429124</v>
      </c>
      <c r="M82" s="240">
        <v>343.429124</v>
      </c>
      <c r="N82" s="240">
        <v>343.429124</v>
      </c>
    </row>
    <row r="83" spans="1:14" ht="14.25" customHeight="1">
      <c r="A83" s="191"/>
      <c r="H83" s="99"/>
      <c r="J83" s="72"/>
    </row>
    <row r="84" spans="1:14" ht="14.25" customHeight="1" thickBot="1">
      <c r="A84" s="189"/>
      <c r="J84" s="72"/>
    </row>
    <row r="85" spans="1:14" ht="14.25" customHeight="1" thickBot="1">
      <c r="A85" s="194" t="s">
        <v>286</v>
      </c>
      <c r="G85" s="161"/>
      <c r="J85" s="72"/>
    </row>
    <row r="86" spans="1:14" ht="14.25" customHeight="1" thickBot="1">
      <c r="A86" s="195" t="s">
        <v>287</v>
      </c>
      <c r="H86" s="241"/>
      <c r="I86" s="241"/>
      <c r="J86" s="241"/>
    </row>
    <row r="87" spans="1:14" ht="14.25" customHeight="1">
      <c r="A87" s="196" t="s">
        <v>288</v>
      </c>
      <c r="C87" s="242" t="s">
        <v>139</v>
      </c>
      <c r="D87" s="242" t="s">
        <v>139</v>
      </c>
      <c r="E87" s="242" t="s">
        <v>139</v>
      </c>
      <c r="F87" s="242">
        <v>26.851808999999999</v>
      </c>
      <c r="G87" s="242">
        <v>165.21073799999999</v>
      </c>
      <c r="H87" s="243">
        <f>DEBT!G16</f>
        <v>119.69517968099998</v>
      </c>
      <c r="I87" s="226">
        <f>DEBT!H16</f>
        <v>101.74090272884999</v>
      </c>
      <c r="J87" s="226">
        <f>DEBT!I16</f>
        <v>87.497176346810988</v>
      </c>
      <c r="K87" s="226">
        <f>DEBT!J16</f>
        <v>75.247571658257442</v>
      </c>
      <c r="L87" s="226">
        <f>DEBT!K16</f>
        <v>64.712911626101402</v>
      </c>
      <c r="M87" s="226">
        <f>DEBT!L16</f>
        <v>55.653103998447207</v>
      </c>
      <c r="N87" s="226">
        <f>DEBT!M16</f>
        <v>47.861669438664599</v>
      </c>
    </row>
    <row r="88" spans="1:14" ht="14.25" customHeight="1">
      <c r="A88" s="196" t="s">
        <v>289</v>
      </c>
      <c r="C88" s="244" t="s">
        <v>139</v>
      </c>
      <c r="D88" s="244" t="s">
        <v>139</v>
      </c>
      <c r="E88" s="244" t="s">
        <v>139</v>
      </c>
      <c r="F88" s="244">
        <v>4.6481909999999997</v>
      </c>
      <c r="G88" s="244">
        <v>5.7892619999999999</v>
      </c>
      <c r="H88" s="245">
        <f>-DEBT!G15</f>
        <v>22.799081843999996</v>
      </c>
      <c r="I88" s="245">
        <f>-DEBT!H15</f>
        <v>17.954276952149996</v>
      </c>
      <c r="J88" s="245">
        <f>-DEBT!I15</f>
        <v>14.243726382039</v>
      </c>
      <c r="K88" s="245">
        <f>-DEBT!J15</f>
        <v>12.249604688553539</v>
      </c>
      <c r="L88" s="230">
        <f>-DEBT!K15</f>
        <v>10.534660032156044</v>
      </c>
      <c r="M88" s="230">
        <f>-DEBT!L15</f>
        <v>9.0598076276541963</v>
      </c>
      <c r="N88" s="230">
        <f>-DEBT!M15</f>
        <v>7.7914345597826093</v>
      </c>
    </row>
    <row r="89" spans="1:14" ht="14.25" customHeight="1">
      <c r="A89" s="195" t="s">
        <v>290</v>
      </c>
      <c r="C89" s="244">
        <f>682611179/1000000</f>
        <v>682.61117899999999</v>
      </c>
      <c r="D89" s="244">
        <f>792675804/1000000</f>
        <v>792.67580399999997</v>
      </c>
      <c r="E89" s="244">
        <f>976727035/1000000</f>
        <v>976.727035</v>
      </c>
      <c r="F89" s="244">
        <v>1342.713857</v>
      </c>
      <c r="G89" s="244">
        <v>1758.6161079999999</v>
      </c>
      <c r="H89" s="246">
        <f>ASSUMPTIONS!H167</f>
        <v>1858.845101917927</v>
      </c>
      <c r="I89" s="247">
        <f>ASSUMPTIONS!I167</f>
        <v>2186.4586019838644</v>
      </c>
      <c r="J89" s="247">
        <f>ASSUMPTIONS!J167</f>
        <v>2445.0118985833356</v>
      </c>
      <c r="K89" s="247">
        <f>ASSUMPTIONS!K167</f>
        <v>2704.5089459696442</v>
      </c>
      <c r="L89" s="247">
        <f>ASSUMPTIONS!L167</f>
        <v>2997.541974467314</v>
      </c>
      <c r="M89" s="247">
        <f>ASSUMPTIONS!M167</f>
        <v>3214.8281264951238</v>
      </c>
      <c r="N89" s="247">
        <f>ASSUMPTIONS!N167</f>
        <v>3466.3071837265534</v>
      </c>
    </row>
    <row r="90" spans="1:14" ht="14.25" customHeight="1">
      <c r="A90" s="195" t="s">
        <v>291</v>
      </c>
      <c r="C90" s="230"/>
      <c r="D90" s="230"/>
      <c r="E90" s="230">
        <f>30175066/1000000</f>
        <v>30.175066000000001</v>
      </c>
      <c r="F90" s="244">
        <v>22.811890999999999</v>
      </c>
      <c r="G90" s="230">
        <v>31.914992000000002</v>
      </c>
      <c r="H90" s="245">
        <v>31.914992000000002</v>
      </c>
      <c r="I90" s="230">
        <v>31.914992000000002</v>
      </c>
      <c r="J90" s="230">
        <v>31.914992000000002</v>
      </c>
      <c r="K90" s="230">
        <v>31.914992000000002</v>
      </c>
      <c r="L90" s="230">
        <v>31.914992000000002</v>
      </c>
      <c r="M90" s="230">
        <v>31.914992000000002</v>
      </c>
      <c r="N90" s="230">
        <v>31.914992000000002</v>
      </c>
    </row>
    <row r="91" spans="1:14" ht="14.25" customHeight="1">
      <c r="A91" s="195" t="s">
        <v>292</v>
      </c>
      <c r="C91" s="248">
        <f>96852363/1000000</f>
        <v>96.852362999999997</v>
      </c>
      <c r="D91" s="248">
        <f>2138283/1000000</f>
        <v>2.1382829999999999</v>
      </c>
      <c r="E91" s="248" t="s">
        <v>139</v>
      </c>
      <c r="F91" s="244">
        <v>51.017136000000001</v>
      </c>
      <c r="G91" s="248">
        <v>0</v>
      </c>
      <c r="H91" s="246">
        <f t="shared" ref="H91:M91" si="63">H55+H56-H89</f>
        <v>1773.6014310048577</v>
      </c>
      <c r="I91" s="247">
        <f t="shared" si="63"/>
        <v>2043.5118036473559</v>
      </c>
      <c r="J91" s="247">
        <f t="shared" si="63"/>
        <v>2645.2249805807392</v>
      </c>
      <c r="K91" s="247">
        <f t="shared" si="63"/>
        <v>3045.9023813203871</v>
      </c>
      <c r="L91" s="247">
        <f t="shared" si="63"/>
        <v>3482.6790604508474</v>
      </c>
      <c r="M91" s="247">
        <f t="shared" si="63"/>
        <v>3965.2912891523902</v>
      </c>
      <c r="N91" s="247">
        <f t="shared" ref="N91" si="64">N55+N56-N89</f>
        <v>4520.3427472145331</v>
      </c>
    </row>
    <row r="92" spans="1:14" ht="14.25" customHeight="1">
      <c r="A92" s="195" t="s">
        <v>293</v>
      </c>
      <c r="C92" s="244">
        <f>82143724/1000000</f>
        <v>82.143724000000006</v>
      </c>
      <c r="D92" s="244">
        <f>80854747/1000000</f>
        <v>80.854747000000003</v>
      </c>
      <c r="E92" s="244">
        <f>75156815/1000000</f>
        <v>75.156814999999995</v>
      </c>
      <c r="F92" s="244">
        <v>76.964851999999993</v>
      </c>
      <c r="G92" s="244">
        <v>80.049018000000004</v>
      </c>
      <c r="H92" s="245">
        <v>80.049018000000004</v>
      </c>
      <c r="I92" s="230">
        <v>80.049018000000004</v>
      </c>
      <c r="J92" s="230">
        <v>80.049018000000004</v>
      </c>
      <c r="K92" s="230">
        <v>80.049018000000004</v>
      </c>
      <c r="L92" s="230">
        <v>80.049018000000004</v>
      </c>
      <c r="M92" s="230">
        <v>80.049018000000004</v>
      </c>
      <c r="N92" s="230">
        <v>80.049018000000004</v>
      </c>
    </row>
    <row r="93" spans="1:14" ht="14.25" customHeight="1" thickBot="1">
      <c r="A93" s="195" t="s">
        <v>294</v>
      </c>
      <c r="C93" s="249">
        <f>533713/1000000</f>
        <v>0.53371299999999999</v>
      </c>
      <c r="D93" s="249">
        <f>1646851/1000000</f>
        <v>1.6468510000000001</v>
      </c>
      <c r="E93" s="249">
        <f>4432350/1000000</f>
        <v>4.4323499999999996</v>
      </c>
      <c r="F93" s="249">
        <v>2.5097339999999999</v>
      </c>
      <c r="G93" s="249">
        <v>2.439282</v>
      </c>
      <c r="H93" s="250">
        <v>2.439282</v>
      </c>
      <c r="I93" s="234">
        <v>2.439282</v>
      </c>
      <c r="J93" s="234">
        <v>2.439282</v>
      </c>
      <c r="K93" s="234">
        <v>2.439282</v>
      </c>
      <c r="L93" s="234">
        <v>2.439282</v>
      </c>
      <c r="M93" s="234">
        <v>2.439282</v>
      </c>
      <c r="N93" s="234">
        <v>2.439282</v>
      </c>
    </row>
    <row r="94" spans="1:14" ht="14.25" customHeight="1" thickBot="1">
      <c r="A94" s="191"/>
      <c r="C94" s="215">
        <f>767251060/1000000</f>
        <v>767.25106000000005</v>
      </c>
      <c r="D94" s="215">
        <f>972205604/1000000</f>
        <v>972.20560399999999</v>
      </c>
      <c r="E94" s="104">
        <f>1086491266/1000000</f>
        <v>1086.491266</v>
      </c>
      <c r="F94" s="104">
        <v>1527.51747</v>
      </c>
      <c r="G94" s="104">
        <v>2044.0193999999999</v>
      </c>
      <c r="H94" s="104">
        <f t="shared" ref="H94:M94" si="65">SUM(H87:H93)</f>
        <v>3889.3440864477843</v>
      </c>
      <c r="I94" s="104">
        <f t="shared" si="65"/>
        <v>4464.0688773122201</v>
      </c>
      <c r="J94" s="104">
        <f t="shared" si="65"/>
        <v>5306.3810738929251</v>
      </c>
      <c r="K94" s="104">
        <f t="shared" si="65"/>
        <v>5952.3117956368424</v>
      </c>
      <c r="L94" s="109">
        <f t="shared" si="65"/>
        <v>6669.871898576419</v>
      </c>
      <c r="M94" s="109">
        <f t="shared" si="65"/>
        <v>7359.2356192736152</v>
      </c>
      <c r="N94" s="109">
        <f t="shared" ref="N94" si="66">SUM(N87:N93)</f>
        <v>8156.7063269395339</v>
      </c>
    </row>
    <row r="95" spans="1:14" ht="14.25" customHeight="1" thickBot="1">
      <c r="A95" s="191"/>
      <c r="F95" s="251"/>
      <c r="G95" s="251"/>
      <c r="J95" s="72"/>
    </row>
    <row r="96" spans="1:14" ht="14.25" customHeight="1" thickBot="1">
      <c r="A96" s="252" t="s">
        <v>295</v>
      </c>
      <c r="F96" s="253"/>
      <c r="G96" s="253"/>
      <c r="H96" s="253"/>
      <c r="I96" s="253"/>
      <c r="J96" s="254"/>
      <c r="K96" s="253"/>
      <c r="L96" s="253"/>
      <c r="M96" s="253"/>
      <c r="N96" s="253"/>
    </row>
    <row r="97" spans="1:14" ht="14.25" customHeight="1" thickBot="1">
      <c r="A97" s="194" t="s">
        <v>296</v>
      </c>
      <c r="C97" s="214">
        <f t="shared" ref="C97:M97" si="67">C94+C82+C76</f>
        <v>5777.4445729999998</v>
      </c>
      <c r="D97" s="214">
        <f t="shared" si="67"/>
        <v>5964.9068529999995</v>
      </c>
      <c r="E97" s="125">
        <f t="shared" si="67"/>
        <v>6202.8468769999999</v>
      </c>
      <c r="F97" s="125">
        <f t="shared" si="67"/>
        <v>7524.6022510000003</v>
      </c>
      <c r="G97" s="125">
        <f t="shared" si="67"/>
        <v>8611.7787709999993</v>
      </c>
      <c r="H97" s="125">
        <f t="shared" si="67"/>
        <v>10753.775113221716</v>
      </c>
      <c r="I97" s="125">
        <f t="shared" si="67"/>
        <v>11678.361475907892</v>
      </c>
      <c r="J97" s="125">
        <f t="shared" si="67"/>
        <v>13458.434344415498</v>
      </c>
      <c r="K97" s="125">
        <f t="shared" si="67"/>
        <v>15303.037236114866</v>
      </c>
      <c r="L97" s="126">
        <f t="shared" si="67"/>
        <v>17443.392008389332</v>
      </c>
      <c r="M97" s="126">
        <f t="shared" si="67"/>
        <v>19878.771735846043</v>
      </c>
      <c r="N97" s="126">
        <f t="shared" ref="N97" si="68">N94+N82+N76</f>
        <v>22673.862419995414</v>
      </c>
    </row>
    <row r="98" spans="1:14" ht="14.25" customHeight="1">
      <c r="A98" s="71" t="s">
        <v>297</v>
      </c>
      <c r="B98" s="1"/>
      <c r="C98" s="100">
        <f t="shared" ref="C98:M98" si="69">C65-C97</f>
        <v>0</v>
      </c>
      <c r="D98" s="100">
        <f t="shared" si="69"/>
        <v>0</v>
      </c>
      <c r="E98" s="100">
        <f t="shared" si="69"/>
        <v>0</v>
      </c>
      <c r="F98" s="100">
        <f t="shared" si="69"/>
        <v>0</v>
      </c>
      <c r="G98" s="100">
        <f t="shared" si="69"/>
        <v>0</v>
      </c>
      <c r="H98" s="100">
        <f t="shared" si="69"/>
        <v>-1000</v>
      </c>
      <c r="I98" s="100">
        <f t="shared" si="69"/>
        <v>-1500</v>
      </c>
      <c r="J98" s="100">
        <f t="shared" si="69"/>
        <v>-1500.0000000000036</v>
      </c>
      <c r="K98" s="100">
        <f t="shared" si="69"/>
        <v>-1500</v>
      </c>
      <c r="L98" s="100">
        <f t="shared" si="69"/>
        <v>-1499.9999999999982</v>
      </c>
      <c r="M98" s="100">
        <f t="shared" si="69"/>
        <v>-1500</v>
      </c>
      <c r="N98" s="100">
        <f t="shared" ref="N98" si="70">N65-N97</f>
        <v>-1500</v>
      </c>
    </row>
    <row r="99" spans="1:14" ht="14.25" customHeight="1">
      <c r="J99" s="72"/>
    </row>
    <row r="100" spans="1:14" ht="14.25" customHeight="1">
      <c r="J100" s="72"/>
    </row>
  </sheetData>
  <mergeCells count="12">
    <mergeCell ref="C1:N1"/>
    <mergeCell ref="C69:C71"/>
    <mergeCell ref="A69:A71"/>
    <mergeCell ref="G69:G71"/>
    <mergeCell ref="K69:K71"/>
    <mergeCell ref="L69:L71"/>
    <mergeCell ref="J69:J71"/>
    <mergeCell ref="H69:H71"/>
    <mergeCell ref="I69:I71"/>
    <mergeCell ref="F69:F71"/>
    <mergeCell ref="E69:E71"/>
    <mergeCell ref="D69:D71"/>
  </mergeCell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U100"/>
  <sheetViews>
    <sheetView workbookViewId="0">
      <pane ySplit="1" topLeftCell="A3" activePane="bottomLeft" state="frozen"/>
      <selection pane="bottomLeft" activeCell="N1" sqref="N1"/>
    </sheetView>
  </sheetViews>
  <sheetFormatPr defaultColWidth="12.7109375" defaultRowHeight="15" customHeight="1"/>
  <cols>
    <col min="1" max="1" width="26.28515625" customWidth="1"/>
    <col min="2" max="2" width="8.140625" hidden="1" customWidth="1"/>
    <col min="3" max="3" width="9.28515625" hidden="1" customWidth="1"/>
    <col min="4" max="5" width="8" hidden="1" customWidth="1"/>
    <col min="6" max="6" width="8.85546875" hidden="1" customWidth="1"/>
    <col min="7" max="7" width="8.85546875" customWidth="1"/>
    <col min="8" max="8" width="13.28515625" customWidth="1"/>
    <col min="9" max="9" width="12.7109375" customWidth="1"/>
    <col min="10" max="10" width="11" customWidth="1"/>
    <col min="11" max="11" width="12.140625" customWidth="1"/>
    <col min="12" max="17" width="13.140625" customWidth="1"/>
    <col min="18" max="18" width="19.28515625" customWidth="1"/>
    <col min="19" max="21" width="7.7109375" customWidth="1"/>
  </cols>
  <sheetData>
    <row r="1" spans="1:17" ht="14.25" customHeight="1" thickBot="1">
      <c r="C1" s="35" t="s">
        <v>56</v>
      </c>
      <c r="D1" s="35" t="s">
        <v>57</v>
      </c>
      <c r="E1" s="35" t="s">
        <v>58</v>
      </c>
      <c r="F1" s="35" t="s">
        <v>59</v>
      </c>
      <c r="G1" s="36" t="s">
        <v>60</v>
      </c>
      <c r="H1" s="37" t="s">
        <v>243</v>
      </c>
      <c r="I1" s="37" t="s">
        <v>62</v>
      </c>
      <c r="J1" s="193" t="s">
        <v>63</v>
      </c>
      <c r="K1" s="37" t="s">
        <v>64</v>
      </c>
      <c r="L1" s="38" t="s">
        <v>65</v>
      </c>
      <c r="M1" s="38" t="s">
        <v>66</v>
      </c>
      <c r="N1" s="38" t="s">
        <v>371</v>
      </c>
    </row>
    <row r="2" spans="1:17" ht="14.25" customHeight="1" thickBot="1">
      <c r="A2" s="255" t="s">
        <v>298</v>
      </c>
    </row>
    <row r="3" spans="1:17" ht="14.25" customHeight="1">
      <c r="A3" s="3" t="s">
        <v>222</v>
      </c>
      <c r="B3" s="5"/>
      <c r="C3" s="148">
        <f>FS!C10</f>
        <v>619.1810119999999</v>
      </c>
      <c r="D3" s="148">
        <f>FS!D10</f>
        <v>269.39697800000016</v>
      </c>
      <c r="E3" s="148">
        <f>FS!E10</f>
        <v>565.84896499999968</v>
      </c>
      <c r="F3" s="148">
        <f>FS!F10</f>
        <v>637.11727299999893</v>
      </c>
      <c r="G3" s="148">
        <f>FS!G10</f>
        <v>995.36918399999865</v>
      </c>
      <c r="H3" s="148">
        <f>FS!H10</f>
        <v>949.37937999251062</v>
      </c>
      <c r="I3" s="148">
        <f>FS!I10</f>
        <v>1049.4095555301415</v>
      </c>
      <c r="J3" s="148">
        <f>FS!J10</f>
        <v>2770.3457665616097</v>
      </c>
      <c r="K3" s="148">
        <f>FS!K10</f>
        <v>3513.6994258117234</v>
      </c>
      <c r="L3" s="148">
        <f>FS!L10</f>
        <v>4204.2072013528632</v>
      </c>
      <c r="M3" s="148">
        <f>FS!M10</f>
        <v>5122.4749081971668</v>
      </c>
      <c r="N3" s="148">
        <f>FS!N10</f>
        <v>5932.3429014244193</v>
      </c>
      <c r="O3" s="86"/>
      <c r="P3" s="86"/>
    </row>
    <row r="4" spans="1:17" ht="14.25" customHeight="1">
      <c r="A4" s="3" t="s">
        <v>299</v>
      </c>
      <c r="B4" s="5"/>
      <c r="C4" s="4">
        <f>ASSUMPTIONS!C171+ASSUMPTIONS!C172</f>
        <v>0</v>
      </c>
      <c r="D4" s="4">
        <f>ASSUMPTIONS!D171+ASSUMPTIONS!D172</f>
        <v>209.79936499999999</v>
      </c>
      <c r="E4" s="4">
        <f>ASSUMPTIONS!E171+ASSUMPTIONS!E172</f>
        <v>286.78019800000004</v>
      </c>
      <c r="F4" s="4">
        <f>ASSUMPTIONS!F171+ASSUMPTIONS!F172</f>
        <v>326.148976</v>
      </c>
      <c r="G4" s="4">
        <f>ASSUMPTIONS!G171+ASSUMPTIONS!G172</f>
        <v>316.69914399999999</v>
      </c>
      <c r="H4" s="4">
        <f>ASSUMPTIONS!H171+ASSUMPTIONS!H172</f>
        <v>54.995067156399621</v>
      </c>
      <c r="I4" s="4">
        <f>ASSUMPTIONS!I171+ASSUMPTIONS!I172</f>
        <v>58.681094996947024</v>
      </c>
      <c r="J4" s="4">
        <f>ASSUMPTIONS!J171+ASSUMPTIONS!J172</f>
        <v>64.253742406468774</v>
      </c>
      <c r="K4" s="4">
        <f>ASSUMPTIONS!K171+ASSUMPTIONS!K172</f>
        <v>69.451492566116613</v>
      </c>
      <c r="L4" s="4">
        <f>ASSUMPTIONS!L171+ASSUMPTIONS!L172</f>
        <v>75.558225485801941</v>
      </c>
      <c r="M4" s="4">
        <f>ASSUMPTIONS!M171+ASSUMPTIONS!M172</f>
        <v>81.937439143330622</v>
      </c>
      <c r="N4" s="4">
        <f>ASSUMPTIONS!N171+ASSUMPTIONS!N172</f>
        <v>89.000548603138967</v>
      </c>
      <c r="O4" s="72"/>
      <c r="P4" s="72"/>
    </row>
    <row r="5" spans="1:17" ht="14.25" customHeight="1">
      <c r="A5" s="3" t="s">
        <v>300</v>
      </c>
      <c r="B5" s="5"/>
      <c r="C5" s="4">
        <f>FS!C13</f>
        <v>-208.553225</v>
      </c>
      <c r="D5" s="4">
        <f>FS!D13</f>
        <v>-111.85964199999999</v>
      </c>
      <c r="E5" s="4">
        <f>FS!E13</f>
        <v>-167.672113</v>
      </c>
      <c r="F5" s="4">
        <f>FS!F13</f>
        <v>-164.874799</v>
      </c>
      <c r="G5" s="4">
        <f>FS!G13</f>
        <v>-255.63210699999999</v>
      </c>
      <c r="H5" s="4">
        <f>FS!H13</f>
        <v>-426.03061026557918</v>
      </c>
      <c r="I5" s="4">
        <f>FS!I13</f>
        <v>-438.79335053485426</v>
      </c>
      <c r="J5" s="4">
        <f>FS!J13</f>
        <v>-1101.2683075083455</v>
      </c>
      <c r="K5" s="4">
        <f>FS!K13</f>
        <v>-1402.6433614983514</v>
      </c>
      <c r="L5" s="4">
        <f>FS!L13</f>
        <v>-1687.9166413075229</v>
      </c>
      <c r="M5" s="4">
        <f>FS!M13</f>
        <v>-2065.6202228519564</v>
      </c>
      <c r="N5" s="4">
        <f>FS!N13</f>
        <v>-2406.540430080689</v>
      </c>
      <c r="O5" s="72"/>
      <c r="P5" s="72"/>
    </row>
    <row r="6" spans="1:17" ht="14.25" customHeight="1">
      <c r="A6" s="3" t="s">
        <v>301</v>
      </c>
      <c r="B6" s="5"/>
      <c r="C6" s="4">
        <f>SUM(FS!C36:C37)</f>
        <v>3647.6113720000003</v>
      </c>
      <c r="D6" s="4">
        <f>SUM(FS!D36:D37)</f>
        <v>41.334712999999851</v>
      </c>
      <c r="E6" s="4">
        <f>SUM(FS!E36:E37)</f>
        <v>373.70454800000027</v>
      </c>
      <c r="F6" s="4">
        <f>SUM(FS!F36:F37)</f>
        <v>1236.2625</v>
      </c>
      <c r="G6" s="4">
        <f>SUM(FS!G36:G37)</f>
        <v>1352.6977559999991</v>
      </c>
      <c r="H6" s="4">
        <f>SUM(FS!H36:H37)</f>
        <v>700.51012763922995</v>
      </c>
      <c r="I6" s="4">
        <f>SUM(FS!I36:I37)</f>
        <v>910.22549578505186</v>
      </c>
      <c r="J6" s="4">
        <f>SUM(FS!J36:J37)</f>
        <v>1107.0900926418035</v>
      </c>
      <c r="K6" s="4">
        <f>SUM(FS!K36:K37)</f>
        <v>911.67508913232859</v>
      </c>
      <c r="L6" s="4">
        <f>SUM(FS!L36:L37)</f>
        <v>1017.6478209554825</v>
      </c>
      <c r="M6" s="4">
        <f>SUM(FS!M36:M37)</f>
        <v>911.88097703781159</v>
      </c>
      <c r="N6" s="4">
        <f>SUM(FS!N36:N37)</f>
        <v>1055.0040539930264</v>
      </c>
      <c r="O6" s="72"/>
      <c r="P6" s="72"/>
      <c r="Q6" s="72"/>
    </row>
    <row r="7" spans="1:17" ht="14.25" customHeight="1" thickBot="1">
      <c r="A7" s="256" t="s">
        <v>302</v>
      </c>
      <c r="B7" s="257"/>
      <c r="C7" s="258">
        <f>FS!C44+FS!C45</f>
        <v>-2568.6416279999999</v>
      </c>
      <c r="D7" s="258">
        <f>FS!D44+FS!D45</f>
        <v>-292.39011499999992</v>
      </c>
      <c r="E7" s="258">
        <f>FS!E44+FS!E45</f>
        <v>-357.15529900000007</v>
      </c>
      <c r="F7" s="258">
        <f>FS!F44+FS!F45</f>
        <v>-913.799757</v>
      </c>
      <c r="G7" s="258">
        <f>FS!G44+FS!G45</f>
        <v>-254.79812299999989</v>
      </c>
      <c r="H7" s="258">
        <f>FS!H44+FS!H45</f>
        <v>-298.4641934523741</v>
      </c>
      <c r="I7" s="258">
        <f>FS!I44+FS!I45</f>
        <v>-810.13942159117721</v>
      </c>
      <c r="J7" s="258">
        <f>FS!J44+FS!J45</f>
        <v>-346.29134570136176</v>
      </c>
      <c r="K7" s="258">
        <f>FS!K44+FS!K45</f>
        <v>-365.9132075559292</v>
      </c>
      <c r="L7" s="258">
        <f>FS!L44+FS!L45</f>
        <v>-397.40065717991365</v>
      </c>
      <c r="M7" s="258">
        <f>FS!M44+FS!M45</f>
        <v>-425.70427421933215</v>
      </c>
      <c r="N7" s="258">
        <f>FS!N44+FS!N45</f>
        <v>-459.16697907890182</v>
      </c>
      <c r="O7" s="72"/>
    </row>
    <row r="8" spans="1:17" ht="14.25" customHeight="1" thickBot="1">
      <c r="A8" s="259" t="s">
        <v>303</v>
      </c>
      <c r="B8" s="103"/>
      <c r="C8" s="260">
        <f t="shared" ref="C8:M8" si="0">SUM(C3:C7)</f>
        <v>1489.5975310000003</v>
      </c>
      <c r="D8" s="260">
        <f t="shared" si="0"/>
        <v>116.2812990000001</v>
      </c>
      <c r="E8" s="260">
        <f t="shared" si="0"/>
        <v>701.50629900000013</v>
      </c>
      <c r="F8" s="260">
        <f t="shared" si="0"/>
        <v>1120.854192999999</v>
      </c>
      <c r="G8" s="260">
        <f t="shared" si="0"/>
        <v>2154.3358539999977</v>
      </c>
      <c r="H8" s="260">
        <f t="shared" si="0"/>
        <v>980.38977107018695</v>
      </c>
      <c r="I8" s="260">
        <f t="shared" si="0"/>
        <v>769.38337418610888</v>
      </c>
      <c r="J8" s="260">
        <f t="shared" si="0"/>
        <v>2494.1299484001747</v>
      </c>
      <c r="K8" s="260">
        <f t="shared" si="0"/>
        <v>2726.2694384558877</v>
      </c>
      <c r="L8" s="261">
        <f t="shared" si="0"/>
        <v>3212.0959493067112</v>
      </c>
      <c r="M8" s="261">
        <f t="shared" si="0"/>
        <v>3624.9688273070201</v>
      </c>
      <c r="N8" s="261">
        <f t="shared" ref="N8" si="1">SUM(N3:N7)</f>
        <v>4210.6400948609935</v>
      </c>
      <c r="O8" s="262">
        <f>M8*(1+R29)/(R27-R29)</f>
        <v>16632.217202175794</v>
      </c>
    </row>
    <row r="9" spans="1:17" ht="14.25" customHeight="1">
      <c r="A9" s="13"/>
    </row>
    <row r="10" spans="1:17" ht="14.25" customHeight="1">
      <c r="A10" s="3" t="s">
        <v>304</v>
      </c>
      <c r="B10" s="5"/>
      <c r="C10" s="4">
        <f>FS!C50</f>
        <v>167.04663099999999</v>
      </c>
      <c r="D10" s="4">
        <f>FS!D50</f>
        <v>-1.2861479999999972</v>
      </c>
      <c r="E10" s="4">
        <f>FS!E50</f>
        <v>13.168023000000005</v>
      </c>
      <c r="F10" s="4">
        <f>FS!F50</f>
        <v>198.31392200000002</v>
      </c>
      <c r="G10" s="4">
        <f>FS!G50</f>
        <v>-33.813304000000016</v>
      </c>
      <c r="H10" s="134">
        <f>FS!H50</f>
        <v>0</v>
      </c>
      <c r="I10" s="134">
        <f>FS!I50</f>
        <v>0</v>
      </c>
      <c r="J10" s="134">
        <f>FS!J50</f>
        <v>0</v>
      </c>
      <c r="K10" s="134">
        <f>FS!K50</f>
        <v>0</v>
      </c>
      <c r="L10" s="134">
        <f>FS!L50</f>
        <v>0</v>
      </c>
      <c r="M10" s="134">
        <f>FS!M50</f>
        <v>0</v>
      </c>
      <c r="N10" s="134">
        <f>FS!N50</f>
        <v>0</v>
      </c>
      <c r="O10" s="263"/>
    </row>
    <row r="11" spans="1:17" ht="14.25" customHeight="1">
      <c r="A11" s="3" t="s">
        <v>49</v>
      </c>
      <c r="B11" s="5"/>
      <c r="C11" s="4">
        <f>FS!C11</f>
        <v>-16.293572999999999</v>
      </c>
      <c r="D11" s="4">
        <f>FS!D11</f>
        <v>-11</v>
      </c>
      <c r="E11" s="4">
        <f>FS!E11</f>
        <v>-23.429964999999999</v>
      </c>
      <c r="F11" s="4">
        <f>FS!F11</f>
        <v>-27.133699999999997</v>
      </c>
      <c r="G11" s="4">
        <f>FS!G11</f>
        <v>-21.739709999999999</v>
      </c>
      <c r="H11" s="4">
        <f>FS!H11</f>
        <v>-9.3331139529999998</v>
      </c>
      <c r="I11" s="4">
        <f>FS!I11</f>
        <v>-7.1866331735464994</v>
      </c>
      <c r="J11" s="4">
        <f>FS!J11</f>
        <v>-6.8367871263639906</v>
      </c>
      <c r="K11" s="4">
        <f>FS!K11</f>
        <v>-6.7838943579212208</v>
      </c>
      <c r="L11" s="4">
        <f>FS!L11</f>
        <v>-6.7758907104494392</v>
      </c>
      <c r="M11" s="4">
        <f>FS!M11</f>
        <v>-6.7746785856982372</v>
      </c>
      <c r="N11" s="4">
        <f>FS!N11</f>
        <v>-6.774494860275289</v>
      </c>
      <c r="O11" s="72"/>
    </row>
    <row r="12" spans="1:17" ht="14.25" customHeight="1" thickBot="1">
      <c r="A12" s="3" t="s">
        <v>305</v>
      </c>
      <c r="B12" s="5"/>
      <c r="C12" s="4">
        <f>FS!C51</f>
        <v>96.852362999999997</v>
      </c>
      <c r="D12" s="4">
        <f>FS!D51</f>
        <v>-94.714079999999996</v>
      </c>
      <c r="E12" s="4" t="str">
        <f>FS!E51</f>
        <v>-</v>
      </c>
      <c r="F12" s="4" t="str">
        <f>FS!F51</f>
        <v>-</v>
      </c>
      <c r="G12" s="4">
        <f>FS!G51</f>
        <v>-51.017136000000001</v>
      </c>
      <c r="H12" s="4">
        <f>FS!H51</f>
        <v>1773.6014310048577</v>
      </c>
      <c r="I12" s="4">
        <f>FS!I51</f>
        <v>269.91037264249826</v>
      </c>
      <c r="J12" s="4">
        <f>FS!J51</f>
        <v>601.71317693338324</v>
      </c>
      <c r="K12" s="4">
        <f>FS!K51</f>
        <v>400.67740073964796</v>
      </c>
      <c r="L12" s="4">
        <f>FS!L51</f>
        <v>436.77667913046025</v>
      </c>
      <c r="M12" s="4">
        <f>FS!M51</f>
        <v>482.61222870154279</v>
      </c>
      <c r="N12" s="4">
        <f>FS!N51</f>
        <v>555.05145806214296</v>
      </c>
      <c r="O12" s="72"/>
    </row>
    <row r="13" spans="1:17" ht="14.25" customHeight="1" thickBot="1">
      <c r="A13" s="259" t="s">
        <v>306</v>
      </c>
      <c r="B13" s="103"/>
      <c r="C13" s="260">
        <f t="shared" ref="C13:M13" si="2">SUM(C8:C12)</f>
        <v>1737.2029520000003</v>
      </c>
      <c r="D13" s="260">
        <f t="shared" si="2"/>
        <v>9.2810710000001109</v>
      </c>
      <c r="E13" s="260">
        <f t="shared" si="2"/>
        <v>691.24435700000004</v>
      </c>
      <c r="F13" s="260">
        <f t="shared" si="2"/>
        <v>1292.0344149999989</v>
      </c>
      <c r="G13" s="260">
        <f t="shared" si="2"/>
        <v>2047.7657039999981</v>
      </c>
      <c r="H13" s="260">
        <f t="shared" si="2"/>
        <v>2744.6580881220448</v>
      </c>
      <c r="I13" s="260">
        <f t="shared" si="2"/>
        <v>1032.1071136550606</v>
      </c>
      <c r="J13" s="260">
        <f t="shared" si="2"/>
        <v>3089.0063382071939</v>
      </c>
      <c r="K13" s="260">
        <f t="shared" si="2"/>
        <v>3120.1629448376143</v>
      </c>
      <c r="L13" s="261">
        <f t="shared" si="2"/>
        <v>3642.096737726722</v>
      </c>
      <c r="M13" s="261">
        <f t="shared" si="2"/>
        <v>4100.8063774228649</v>
      </c>
      <c r="N13" s="261">
        <f t="shared" ref="N13" si="3">SUM(N8:N12)</f>
        <v>4758.9170580628615</v>
      </c>
      <c r="O13" s="262">
        <f>M13*(1+R29)/(R23-R29)</f>
        <v>18680.080619115761</v>
      </c>
    </row>
    <row r="14" spans="1:17" ht="14.25" customHeight="1"/>
    <row r="15" spans="1:17" ht="14.25" customHeight="1"/>
    <row r="16" spans="1:17" ht="14.25" customHeight="1">
      <c r="A16" s="3" t="s">
        <v>307</v>
      </c>
      <c r="B16" s="5"/>
      <c r="C16" s="5"/>
      <c r="D16" s="5"/>
      <c r="E16" s="5"/>
      <c r="F16" s="5"/>
      <c r="G16" s="5"/>
      <c r="H16" s="3">
        <v>0</v>
      </c>
      <c r="I16" s="3">
        <f t="shared" ref="I16:M16" si="4">H16+1</f>
        <v>1</v>
      </c>
      <c r="J16" s="3">
        <f t="shared" si="4"/>
        <v>2</v>
      </c>
      <c r="K16" s="3">
        <f t="shared" si="4"/>
        <v>3</v>
      </c>
      <c r="L16" s="3">
        <f t="shared" si="4"/>
        <v>4</v>
      </c>
      <c r="M16" s="3">
        <f t="shared" si="4"/>
        <v>5</v>
      </c>
      <c r="N16" s="3">
        <f t="shared" ref="N16" si="5">M16+1</f>
        <v>6</v>
      </c>
      <c r="O16" s="13"/>
      <c r="P16" s="13"/>
    </row>
    <row r="17" spans="1:18" ht="14.25" customHeight="1" thickBot="1">
      <c r="A17" s="3" t="s">
        <v>308</v>
      </c>
      <c r="B17" s="5"/>
      <c r="C17" s="5"/>
      <c r="D17" s="5"/>
      <c r="E17" s="5"/>
      <c r="F17" s="5"/>
      <c r="G17" s="5"/>
      <c r="H17" s="4">
        <f t="shared" ref="H17:M17" si="6">1/(1+$R$27)^H16</f>
        <v>1</v>
      </c>
      <c r="I17" s="4">
        <f t="shared" si="6"/>
        <v>0.77457801506152546</v>
      </c>
      <c r="J17" s="4">
        <f t="shared" si="6"/>
        <v>0.59997110141665277</v>
      </c>
      <c r="K17" s="4">
        <f t="shared" si="6"/>
        <v>0.46472442482958809</v>
      </c>
      <c r="L17" s="4">
        <f t="shared" si="6"/>
        <v>0.35996532253511154</v>
      </c>
      <c r="M17" s="4">
        <f t="shared" si="6"/>
        <v>0.27882122502022849</v>
      </c>
      <c r="N17" s="4">
        <f t="shared" ref="N17" si="7">1/(1+$R$27)^N16</f>
        <v>0.21596879103319153</v>
      </c>
      <c r="O17" s="72"/>
      <c r="P17" s="72"/>
    </row>
    <row r="18" spans="1:18" ht="14.25" customHeight="1" thickBot="1">
      <c r="A18" s="3" t="s">
        <v>309</v>
      </c>
      <c r="B18" s="5"/>
      <c r="C18" s="5"/>
      <c r="D18" s="5"/>
      <c r="E18" s="5"/>
      <c r="F18" s="5"/>
      <c r="G18" s="5"/>
      <c r="H18" s="4">
        <f t="shared" ref="H18:M18" si="8">H17*H8</f>
        <v>980.38977107018695</v>
      </c>
      <c r="I18" s="4">
        <f t="shared" si="8"/>
        <v>595.94744679841517</v>
      </c>
      <c r="J18" s="4">
        <f t="shared" si="8"/>
        <v>1496.4058922179122</v>
      </c>
      <c r="K18" s="4">
        <f t="shared" si="8"/>
        <v>1266.9639967168964</v>
      </c>
      <c r="L18" s="4">
        <f t="shared" si="8"/>
        <v>1156.2431544059157</v>
      </c>
      <c r="M18" s="4">
        <f t="shared" si="8"/>
        <v>1010.7182490898845</v>
      </c>
      <c r="N18" s="4">
        <f t="shared" ref="N18" si="9">N17*N8</f>
        <v>909.3668507630116</v>
      </c>
      <c r="O18" s="264">
        <f>M17*O8</f>
        <v>4637.4151751131722</v>
      </c>
      <c r="P18" s="72"/>
    </row>
    <row r="19" spans="1:18" ht="14.25" customHeight="1" thickBot="1"/>
    <row r="20" spans="1:18" ht="14.25" customHeight="1">
      <c r="A20" s="255" t="s">
        <v>310</v>
      </c>
      <c r="Q20" s="17" t="s">
        <v>311</v>
      </c>
      <c r="R20" s="78">
        <v>0.16669999999999999</v>
      </c>
    </row>
    <row r="21" spans="1:18" ht="14.25" customHeight="1">
      <c r="A21" s="15"/>
      <c r="Q21" s="17" t="s">
        <v>312</v>
      </c>
      <c r="R21" s="52">
        <v>0.1</v>
      </c>
    </row>
    <row r="22" spans="1:18" ht="14.25" customHeight="1">
      <c r="A22" s="310" t="s">
        <v>8</v>
      </c>
      <c r="B22" s="311"/>
      <c r="C22" s="311"/>
      <c r="D22" s="311"/>
      <c r="E22" s="311"/>
      <c r="F22" s="311"/>
      <c r="G22" s="311"/>
      <c r="H22" s="312"/>
      <c r="Q22" s="17" t="s">
        <v>313</v>
      </c>
      <c r="R22" s="17">
        <v>1.26</v>
      </c>
    </row>
    <row r="23" spans="1:18" ht="14.25" customHeight="1">
      <c r="A23" s="154" t="s">
        <v>314</v>
      </c>
      <c r="B23" s="110"/>
      <c r="C23" s="110"/>
      <c r="D23" s="110"/>
      <c r="E23" s="110"/>
      <c r="F23" s="110"/>
      <c r="G23" s="110"/>
      <c r="H23" s="168">
        <f>SUM(H18:L18)</f>
        <v>5495.9502612093265</v>
      </c>
      <c r="Q23" s="17" t="s">
        <v>315</v>
      </c>
      <c r="R23" s="52">
        <f>R20+R21*R22</f>
        <v>0.29269999999999996</v>
      </c>
    </row>
    <row r="24" spans="1:18" ht="14.25" customHeight="1">
      <c r="A24" s="3" t="s">
        <v>316</v>
      </c>
      <c r="B24" s="5"/>
      <c r="C24" s="5"/>
      <c r="D24" s="5"/>
      <c r="E24" s="5"/>
      <c r="F24" s="5"/>
      <c r="G24" s="5"/>
      <c r="H24" s="4">
        <f>O18</f>
        <v>4637.4151751131722</v>
      </c>
      <c r="Q24" s="3" t="s">
        <v>317</v>
      </c>
      <c r="R24" s="52">
        <f>-FS!F11/(BS!F79+BS!F88+BS!F91)</f>
        <v>0.1861587433785013</v>
      </c>
    </row>
    <row r="25" spans="1:18" ht="14.25" customHeight="1">
      <c r="A25" s="3" t="s">
        <v>318</v>
      </c>
      <c r="B25" s="5"/>
      <c r="C25" s="5"/>
      <c r="D25" s="5"/>
      <c r="E25" s="5"/>
      <c r="F25" s="5"/>
      <c r="G25" s="5"/>
      <c r="H25" s="4">
        <f>SUM(H23:H24)</f>
        <v>10133.3654363225</v>
      </c>
      <c r="Q25" s="265" t="s">
        <v>319</v>
      </c>
      <c r="R25" s="52">
        <f>1-R26</f>
        <v>0.98956899980959812</v>
      </c>
    </row>
    <row r="26" spans="1:18" ht="14.25" customHeight="1">
      <c r="A26" s="3" t="s">
        <v>320</v>
      </c>
      <c r="B26" s="5"/>
      <c r="C26" s="5"/>
      <c r="D26" s="5"/>
      <c r="E26" s="5"/>
      <c r="F26" s="5"/>
      <c r="G26" s="5"/>
      <c r="H26" s="4">
        <f>(BS!F79+BS!F88+BS!F91)</f>
        <v>145.75571099999999</v>
      </c>
      <c r="Q26" s="3" t="s">
        <v>321</v>
      </c>
      <c r="R26" s="52">
        <f>(BS!G79+BS!G88+BS!G91)/BS!G65</f>
        <v>1.0431000190401895E-2</v>
      </c>
    </row>
    <row r="27" spans="1:18" ht="14.25" customHeight="1">
      <c r="A27" s="17" t="s">
        <v>322</v>
      </c>
      <c r="B27" s="266"/>
      <c r="C27" s="266"/>
      <c r="D27" s="266"/>
      <c r="E27" s="266"/>
      <c r="F27" s="266"/>
      <c r="G27" s="266"/>
      <c r="H27" s="128">
        <f>H25-H26</f>
        <v>9987.6097253224998</v>
      </c>
      <c r="Q27" s="267" t="s">
        <v>323</v>
      </c>
      <c r="R27" s="268">
        <f>R25*R23+R26*R24*(1-R28)</f>
        <v>0.29102553978448387</v>
      </c>
    </row>
    <row r="28" spans="1:18" ht="14.25" customHeight="1">
      <c r="A28" s="17" t="s">
        <v>324</v>
      </c>
      <c r="B28" s="266"/>
      <c r="C28" s="266"/>
      <c r="D28" s="266"/>
      <c r="E28" s="266"/>
      <c r="F28" s="266"/>
      <c r="G28" s="266"/>
      <c r="H28" s="128">
        <f>BS!G62</f>
        <v>399.374281</v>
      </c>
      <c r="Q28" s="3" t="s">
        <v>51</v>
      </c>
      <c r="R28" s="52">
        <v>0.28999999999999998</v>
      </c>
    </row>
    <row r="29" spans="1:18" ht="14.25" customHeight="1">
      <c r="A29" s="17" t="s">
        <v>325</v>
      </c>
      <c r="B29" s="266"/>
      <c r="C29" s="266"/>
      <c r="D29" s="266"/>
      <c r="E29" s="266"/>
      <c r="F29" s="266"/>
      <c r="G29" s="266"/>
      <c r="H29" s="128">
        <f>H27+H28</f>
        <v>10386.9840063225</v>
      </c>
      <c r="Q29" s="265" t="s">
        <v>326</v>
      </c>
      <c r="R29" s="78">
        <f>6%</f>
        <v>0.06</v>
      </c>
    </row>
    <row r="30" spans="1:18" ht="14.25" customHeight="1">
      <c r="A30" s="17" t="s">
        <v>327</v>
      </c>
      <c r="B30" s="266"/>
      <c r="C30" s="266"/>
      <c r="D30" s="266"/>
      <c r="E30" s="266"/>
      <c r="F30" s="266"/>
      <c r="G30" s="266"/>
      <c r="H30" s="128">
        <f>FS!B26</f>
        <v>36.223999999999997</v>
      </c>
      <c r="Q30" s="13"/>
    </row>
    <row r="31" spans="1:18" ht="14.25" customHeight="1">
      <c r="A31" s="17" t="s">
        <v>328</v>
      </c>
      <c r="B31" s="266"/>
      <c r="C31" s="266"/>
      <c r="D31" s="266"/>
      <c r="E31" s="266"/>
      <c r="F31" s="266"/>
      <c r="G31" s="266"/>
      <c r="H31" s="128">
        <f>H29/H30</f>
        <v>286.74315388478635</v>
      </c>
      <c r="Q31" s="265" t="s">
        <v>219</v>
      </c>
      <c r="R31" s="6">
        <f>AVERAGE(FS!F24:G24)</f>
        <v>9.0307070692159666E-2</v>
      </c>
    </row>
    <row r="32" spans="1:18" ht="14.25" customHeight="1">
      <c r="A32" s="17" t="s">
        <v>28</v>
      </c>
      <c r="B32" s="266"/>
      <c r="C32" s="266"/>
      <c r="D32" s="266"/>
      <c r="E32" s="266"/>
      <c r="F32" s="266"/>
      <c r="G32" s="266"/>
      <c r="H32" s="266">
        <v>143</v>
      </c>
      <c r="Q32" s="265" t="s">
        <v>329</v>
      </c>
      <c r="R32" s="6">
        <f>1-R33</f>
        <v>0.5675</v>
      </c>
    </row>
    <row r="33" spans="1:21" ht="14.25" customHeight="1">
      <c r="A33" s="17" t="s">
        <v>17</v>
      </c>
      <c r="B33" s="266"/>
      <c r="C33" s="266"/>
      <c r="D33" s="266"/>
      <c r="E33" s="266"/>
      <c r="F33" s="266"/>
      <c r="G33" s="266"/>
      <c r="H33" s="52">
        <f>H31/H32-1</f>
        <v>1.0051968803131914</v>
      </c>
      <c r="Q33" s="265" t="s">
        <v>330</v>
      </c>
      <c r="R33" s="6">
        <f>AVERAGE(FS!F23:G23)</f>
        <v>0.4325</v>
      </c>
    </row>
    <row r="34" spans="1:21" ht="14.25" customHeight="1">
      <c r="A34" s="7" t="s">
        <v>18</v>
      </c>
      <c r="B34" s="89"/>
      <c r="C34" s="89"/>
      <c r="D34" s="89"/>
      <c r="E34" s="89"/>
      <c r="F34" s="89"/>
      <c r="G34" s="89"/>
      <c r="H34" s="8">
        <f>FS!H17/VALUATION!H32</f>
        <v>4.195804195804196E-2</v>
      </c>
      <c r="Q34" s="3" t="s">
        <v>331</v>
      </c>
      <c r="R34" s="52">
        <f>R32*R31</f>
        <v>5.1249262617800613E-2</v>
      </c>
    </row>
    <row r="35" spans="1:21" ht="14.25" customHeight="1">
      <c r="A35" s="259" t="s">
        <v>332</v>
      </c>
      <c r="B35" s="103"/>
      <c r="C35" s="103"/>
      <c r="D35" s="103"/>
      <c r="E35" s="103"/>
      <c r="F35" s="103"/>
      <c r="G35" s="103"/>
      <c r="H35" s="269">
        <f>H33+H34</f>
        <v>1.0471549222712333</v>
      </c>
      <c r="Q35" s="3" t="s">
        <v>333</v>
      </c>
      <c r="R35" s="270">
        <v>0.04</v>
      </c>
    </row>
    <row r="36" spans="1:21" ht="14.25" customHeight="1">
      <c r="A36" s="271" t="s">
        <v>334</v>
      </c>
      <c r="B36" s="1"/>
      <c r="C36" s="1"/>
      <c r="D36" s="1"/>
      <c r="E36" s="1"/>
      <c r="F36" s="1"/>
      <c r="G36" s="1"/>
      <c r="H36" s="272" t="s">
        <v>22</v>
      </c>
      <c r="Q36" s="3" t="s">
        <v>335</v>
      </c>
      <c r="R36" s="52">
        <v>0.12</v>
      </c>
      <c r="S36" s="313"/>
      <c r="T36" s="308"/>
      <c r="U36" s="308"/>
    </row>
    <row r="37" spans="1:21" ht="14.25" customHeight="1">
      <c r="Q37" s="3" t="s">
        <v>336</v>
      </c>
      <c r="R37" s="52">
        <f>(FS!G14/FS!D14)^(1/4)-1</f>
        <v>0.49153227152092493</v>
      </c>
      <c r="S37" s="314"/>
      <c r="T37" s="308"/>
      <c r="U37" s="308"/>
    </row>
    <row r="38" spans="1:21" ht="14.25" customHeight="1">
      <c r="A38" s="310" t="s">
        <v>9</v>
      </c>
      <c r="B38" s="311"/>
      <c r="C38" s="311"/>
      <c r="D38" s="311"/>
      <c r="E38" s="311"/>
      <c r="F38" s="311"/>
      <c r="G38" s="311"/>
      <c r="H38" s="312"/>
      <c r="Q38" s="13"/>
      <c r="R38" s="50"/>
    </row>
    <row r="39" spans="1:21" ht="14.25" customHeight="1">
      <c r="A39" s="154" t="s">
        <v>9</v>
      </c>
      <c r="B39" s="110"/>
      <c r="C39" s="110"/>
      <c r="D39" s="110"/>
      <c r="E39" s="110"/>
      <c r="F39" s="110"/>
      <c r="G39" s="110"/>
      <c r="H39" s="273">
        <f t="shared" ref="H39:O39" si="10">H13</f>
        <v>2744.6580881220448</v>
      </c>
      <c r="I39" s="148">
        <f t="shared" si="10"/>
        <v>1032.1071136550606</v>
      </c>
      <c r="J39" s="148">
        <f t="shared" si="10"/>
        <v>3089.0063382071939</v>
      </c>
      <c r="K39" s="148">
        <f t="shared" si="10"/>
        <v>3120.1629448376143</v>
      </c>
      <c r="L39" s="148">
        <f t="shared" si="10"/>
        <v>3642.096737726722</v>
      </c>
      <c r="M39" s="148">
        <f t="shared" si="10"/>
        <v>4100.8063774228649</v>
      </c>
      <c r="N39" s="148"/>
      <c r="O39" s="148">
        <f t="shared" si="10"/>
        <v>18680.080619115761</v>
      </c>
      <c r="P39" s="86"/>
      <c r="Q39" s="13"/>
      <c r="R39" s="50"/>
    </row>
    <row r="40" spans="1:21" ht="14.25" customHeight="1">
      <c r="A40" s="265" t="s">
        <v>308</v>
      </c>
      <c r="B40" s="5"/>
      <c r="C40" s="5"/>
      <c r="D40" s="5"/>
      <c r="E40" s="5"/>
      <c r="F40" s="5"/>
      <c r="G40" s="5"/>
      <c r="H40" s="4">
        <f t="shared" ref="H40:M40" si="11">1/(1+$R$23)^H16</f>
        <v>1</v>
      </c>
      <c r="I40" s="4">
        <f t="shared" si="11"/>
        <v>0.77357468863618783</v>
      </c>
      <c r="J40" s="4">
        <f t="shared" si="11"/>
        <v>0.59841779889857505</v>
      </c>
      <c r="K40" s="4">
        <f t="shared" si="11"/>
        <v>0.46292086245731806</v>
      </c>
      <c r="L40" s="4">
        <f t="shared" si="11"/>
        <v>0.35810386203861533</v>
      </c>
      <c r="M40" s="4">
        <f t="shared" si="11"/>
        <v>0.27702008357593827</v>
      </c>
      <c r="N40" s="295"/>
      <c r="Q40" s="3" t="s">
        <v>337</v>
      </c>
      <c r="R40" s="52">
        <f>AVERAGE(R35,R37)</f>
        <v>0.26576613576046249</v>
      </c>
    </row>
    <row r="41" spans="1:21" ht="14.25" customHeight="1">
      <c r="A41" s="265" t="s">
        <v>309</v>
      </c>
      <c r="B41" s="5"/>
      <c r="C41" s="5"/>
      <c r="D41" s="5"/>
      <c r="E41" s="5"/>
      <c r="F41" s="5"/>
      <c r="G41" s="5"/>
      <c r="H41" s="4">
        <f t="shared" ref="H41:M41" si="12">H39*H40</f>
        <v>2744.6580881220448</v>
      </c>
      <c r="I41" s="4">
        <f t="shared" si="12"/>
        <v>798.41193908490811</v>
      </c>
      <c r="J41" s="4">
        <f t="shared" si="12"/>
        <v>1848.5163736936963</v>
      </c>
      <c r="K41" s="4">
        <f t="shared" si="12"/>
        <v>1444.3885214315937</v>
      </c>
      <c r="L41" s="4">
        <f t="shared" si="12"/>
        <v>1304.248907698181</v>
      </c>
      <c r="M41" s="4">
        <f t="shared" si="12"/>
        <v>1136.0057254024227</v>
      </c>
      <c r="N41" s="4"/>
      <c r="O41" s="4">
        <f>O39*L40</f>
        <v>6689.4090128980424</v>
      </c>
      <c r="R41" s="50"/>
    </row>
    <row r="42" spans="1:21" ht="14.25" customHeight="1">
      <c r="A42" s="13"/>
      <c r="R42" s="50"/>
    </row>
    <row r="43" spans="1:21" ht="14.25" customHeight="1">
      <c r="A43" s="3" t="s">
        <v>314</v>
      </c>
      <c r="B43" s="5"/>
      <c r="C43" s="5"/>
      <c r="D43" s="5"/>
      <c r="E43" s="5"/>
      <c r="F43" s="5"/>
      <c r="G43" s="5"/>
      <c r="H43" s="4">
        <f>SUM(H41:L41)</f>
        <v>8140.2238300304243</v>
      </c>
    </row>
    <row r="44" spans="1:21" ht="14.25" customHeight="1">
      <c r="A44" s="3" t="s">
        <v>316</v>
      </c>
      <c r="B44" s="5"/>
      <c r="C44" s="5"/>
      <c r="D44" s="5"/>
      <c r="E44" s="5"/>
      <c r="F44" s="5"/>
      <c r="G44" s="5"/>
      <c r="H44" s="4">
        <f>O41</f>
        <v>6689.4090128980424</v>
      </c>
    </row>
    <row r="45" spans="1:21" ht="14.25" customHeight="1">
      <c r="A45" s="3" t="s">
        <v>338</v>
      </c>
      <c r="B45" s="5"/>
      <c r="C45" s="5"/>
      <c r="D45" s="5"/>
      <c r="E45" s="5"/>
      <c r="F45" s="5"/>
      <c r="G45" s="5"/>
      <c r="H45" s="4">
        <f>SUM(H43:H44)</f>
        <v>14829.632842928466</v>
      </c>
    </row>
    <row r="46" spans="1:21" ht="14.25" customHeight="1">
      <c r="A46" s="3" t="s">
        <v>324</v>
      </c>
      <c r="B46" s="5"/>
      <c r="C46" s="5"/>
      <c r="D46" s="5"/>
      <c r="E46" s="5"/>
      <c r="F46" s="5"/>
      <c r="G46" s="5"/>
      <c r="H46" s="4">
        <f>H28</f>
        <v>399.374281</v>
      </c>
    </row>
    <row r="47" spans="1:21" ht="14.25" customHeight="1">
      <c r="A47" s="3" t="s">
        <v>325</v>
      </c>
      <c r="B47" s="5"/>
      <c r="C47" s="5"/>
      <c r="D47" s="5"/>
      <c r="E47" s="5"/>
      <c r="F47" s="5"/>
      <c r="G47" s="5"/>
      <c r="H47" s="4">
        <f>SUM(H45:H46)</f>
        <v>15229.007123928466</v>
      </c>
    </row>
    <row r="48" spans="1:21" ht="14.25" customHeight="1">
      <c r="A48" s="3" t="s">
        <v>327</v>
      </c>
      <c r="B48" s="5"/>
      <c r="C48" s="5"/>
      <c r="D48" s="5"/>
      <c r="E48" s="5"/>
      <c r="F48" s="5"/>
      <c r="G48" s="5"/>
      <c r="H48" s="4">
        <f>H30</f>
        <v>36.223999999999997</v>
      </c>
    </row>
    <row r="49" spans="1:15" ht="14.25" customHeight="1">
      <c r="A49" s="3" t="s">
        <v>328</v>
      </c>
      <c r="B49" s="5"/>
      <c r="C49" s="5"/>
      <c r="D49" s="5"/>
      <c r="E49" s="5"/>
      <c r="F49" s="5"/>
      <c r="G49" s="5"/>
      <c r="H49" s="4">
        <f>H47/H48</f>
        <v>420.41207828866129</v>
      </c>
    </row>
    <row r="50" spans="1:15" ht="14.25" customHeight="1">
      <c r="A50" s="3" t="s">
        <v>28</v>
      </c>
      <c r="B50" s="5"/>
      <c r="C50" s="5"/>
      <c r="D50" s="5"/>
      <c r="E50" s="5"/>
      <c r="F50" s="5"/>
      <c r="G50" s="5"/>
      <c r="H50" s="5">
        <f>H32</f>
        <v>143</v>
      </c>
    </row>
    <row r="51" spans="1:15" ht="14.25" customHeight="1">
      <c r="A51" s="3" t="s">
        <v>17</v>
      </c>
      <c r="B51" s="5"/>
      <c r="C51" s="5"/>
      <c r="D51" s="5"/>
      <c r="E51" s="5"/>
      <c r="F51" s="5"/>
      <c r="G51" s="5"/>
      <c r="H51" s="6">
        <f>H49/H50-1</f>
        <v>1.9399446034172119</v>
      </c>
    </row>
    <row r="52" spans="1:15" ht="14.25" customHeight="1">
      <c r="A52" s="7" t="s">
        <v>18</v>
      </c>
      <c r="B52" s="89"/>
      <c r="C52" s="89"/>
      <c r="D52" s="89"/>
      <c r="E52" s="89"/>
      <c r="F52" s="89"/>
      <c r="G52" s="89"/>
      <c r="H52" s="8">
        <f>H34</f>
        <v>4.195804195804196E-2</v>
      </c>
    </row>
    <row r="53" spans="1:15" ht="14.25" customHeight="1">
      <c r="A53" s="259" t="s">
        <v>332</v>
      </c>
      <c r="B53" s="103"/>
      <c r="C53" s="103"/>
      <c r="D53" s="103"/>
      <c r="E53" s="103"/>
      <c r="F53" s="103"/>
      <c r="G53" s="103"/>
      <c r="H53" s="269">
        <f>H51+H52</f>
        <v>1.9819026453752537</v>
      </c>
    </row>
    <row r="54" spans="1:15" ht="14.25" customHeight="1">
      <c r="A54" s="274" t="s">
        <v>21</v>
      </c>
      <c r="B54" s="1"/>
      <c r="C54" s="1"/>
      <c r="D54" s="1"/>
      <c r="E54" s="1"/>
      <c r="F54" s="1"/>
      <c r="G54" s="1"/>
      <c r="H54" s="272" t="s">
        <v>22</v>
      </c>
    </row>
    <row r="55" spans="1:15" ht="14.25" customHeight="1">
      <c r="A55" s="13"/>
    </row>
    <row r="56" spans="1:15" ht="14.25" customHeight="1">
      <c r="A56" s="310" t="s">
        <v>339</v>
      </c>
      <c r="B56" s="311"/>
      <c r="C56" s="311"/>
      <c r="D56" s="311"/>
      <c r="E56" s="311"/>
      <c r="F56" s="311"/>
      <c r="G56" s="311"/>
      <c r="H56" s="312"/>
    </row>
    <row r="57" spans="1:15" ht="14.25" customHeight="1">
      <c r="A57" s="154" t="s">
        <v>54</v>
      </c>
      <c r="B57" s="110"/>
      <c r="C57" s="110"/>
      <c r="D57" s="110"/>
      <c r="E57" s="110"/>
      <c r="F57" s="110"/>
      <c r="G57" s="110"/>
      <c r="H57" s="168">
        <f>FS!H17</f>
        <v>6</v>
      </c>
      <c r="I57" s="4">
        <f>FS!I17</f>
        <v>7</v>
      </c>
      <c r="J57" s="4">
        <f>FS!J17</f>
        <v>20</v>
      </c>
      <c r="K57" s="4">
        <f>FS!K17</f>
        <v>25</v>
      </c>
      <c r="L57" s="4">
        <f>FS!L17</f>
        <v>30</v>
      </c>
      <c r="M57" s="4">
        <f>FS!M17</f>
        <v>36</v>
      </c>
      <c r="N57" s="4"/>
      <c r="O57" s="4">
        <f>L57*(1+R29)/(R23-R29)</f>
        <v>136.65663944993557</v>
      </c>
    </row>
    <row r="58" spans="1:15" ht="14.25" customHeight="1">
      <c r="A58" s="3" t="s">
        <v>20</v>
      </c>
      <c r="B58" s="5"/>
      <c r="C58" s="5"/>
      <c r="D58" s="5"/>
      <c r="E58" s="5"/>
      <c r="F58" s="5"/>
      <c r="G58" s="5"/>
      <c r="H58" s="4">
        <f t="shared" ref="H58:M58" si="13">H40</f>
        <v>1</v>
      </c>
      <c r="I58" s="4">
        <f t="shared" si="13"/>
        <v>0.77357468863618783</v>
      </c>
      <c r="J58" s="4">
        <f t="shared" si="13"/>
        <v>0.59841779889857505</v>
      </c>
      <c r="K58" s="4">
        <f t="shared" si="13"/>
        <v>0.46292086245731806</v>
      </c>
      <c r="L58" s="4">
        <f t="shared" si="13"/>
        <v>0.35810386203861533</v>
      </c>
      <c r="M58" s="4">
        <f t="shared" si="13"/>
        <v>0.27702008357593827</v>
      </c>
      <c r="N58" s="4"/>
      <c r="O58" s="5"/>
    </row>
    <row r="59" spans="1:15" ht="14.25" customHeight="1">
      <c r="A59" s="3" t="s">
        <v>340</v>
      </c>
      <c r="B59" s="5"/>
      <c r="C59" s="5"/>
      <c r="D59" s="5"/>
      <c r="E59" s="5"/>
      <c r="F59" s="5"/>
      <c r="G59" s="5"/>
      <c r="H59" s="113">
        <f t="shared" ref="H59:M59" si="14">H57*H58</f>
        <v>6</v>
      </c>
      <c r="I59" s="113">
        <f t="shared" si="14"/>
        <v>5.4150228204533146</v>
      </c>
      <c r="J59" s="113">
        <f t="shared" si="14"/>
        <v>11.968355977971502</v>
      </c>
      <c r="K59" s="113">
        <f t="shared" si="14"/>
        <v>11.573021561432952</v>
      </c>
      <c r="L59" s="113">
        <f t="shared" si="14"/>
        <v>10.74311586115846</v>
      </c>
      <c r="M59" s="113">
        <f t="shared" si="14"/>
        <v>9.9727230087337784</v>
      </c>
      <c r="N59" s="113"/>
      <c r="O59" s="4">
        <f>L58*O57</f>
        <v>48.937270360240525</v>
      </c>
    </row>
    <row r="60" spans="1:15" ht="14.25" customHeight="1"/>
    <row r="61" spans="1:15" ht="14.25" customHeight="1">
      <c r="A61" s="3" t="s">
        <v>341</v>
      </c>
      <c r="B61" s="5"/>
      <c r="C61" s="5"/>
      <c r="D61" s="5"/>
      <c r="E61" s="5"/>
      <c r="F61" s="5"/>
      <c r="G61" s="5"/>
      <c r="H61" s="113">
        <f>SUM(H59:L59)</f>
        <v>45.699516221016225</v>
      </c>
    </row>
    <row r="62" spans="1:15" ht="14.25" customHeight="1">
      <c r="A62" s="3" t="s">
        <v>342</v>
      </c>
      <c r="B62" s="5"/>
      <c r="C62" s="5"/>
      <c r="D62" s="5"/>
      <c r="E62" s="5"/>
      <c r="F62" s="5"/>
      <c r="G62" s="5"/>
      <c r="H62" s="4">
        <f>O59</f>
        <v>48.937270360240525</v>
      </c>
    </row>
    <row r="63" spans="1:15" ht="14.25" customHeight="1">
      <c r="A63" s="3" t="s">
        <v>343</v>
      </c>
      <c r="B63" s="5"/>
      <c r="C63" s="5"/>
      <c r="D63" s="5"/>
      <c r="E63" s="5"/>
      <c r="F63" s="5"/>
      <c r="G63" s="5"/>
      <c r="H63" s="113">
        <f>H46/H48</f>
        <v>11.025129223719082</v>
      </c>
    </row>
    <row r="64" spans="1:15" ht="14.25" customHeight="1">
      <c r="A64" s="3" t="s">
        <v>344</v>
      </c>
      <c r="B64" s="5"/>
      <c r="C64" s="5"/>
      <c r="D64" s="5"/>
      <c r="E64" s="5"/>
      <c r="F64" s="5"/>
      <c r="G64" s="5"/>
      <c r="H64" s="113">
        <f>SUM(H61:H63)</f>
        <v>105.66191580497583</v>
      </c>
    </row>
    <row r="65" spans="1:8" ht="14.25" customHeight="1">
      <c r="A65" s="3" t="s">
        <v>345</v>
      </c>
      <c r="B65" s="5"/>
      <c r="C65" s="5"/>
      <c r="D65" s="5"/>
      <c r="E65" s="5"/>
      <c r="F65" s="5"/>
      <c r="G65" s="5"/>
      <c r="H65" s="5">
        <f>H50</f>
        <v>143</v>
      </c>
    </row>
    <row r="66" spans="1:8" ht="14.25" customHeight="1">
      <c r="A66" s="3" t="s">
        <v>346</v>
      </c>
      <c r="B66" s="5"/>
      <c r="C66" s="5"/>
      <c r="D66" s="5"/>
      <c r="E66" s="5"/>
      <c r="F66" s="5"/>
      <c r="G66" s="5"/>
      <c r="H66" s="6">
        <f>H64/H65-1</f>
        <v>-0.26110548388128785</v>
      </c>
    </row>
    <row r="67" spans="1:8" ht="14.25" customHeight="1">
      <c r="A67" s="7" t="s">
        <v>347</v>
      </c>
      <c r="B67" s="89"/>
      <c r="C67" s="89"/>
      <c r="D67" s="89"/>
      <c r="E67" s="89"/>
      <c r="F67" s="89"/>
      <c r="G67" s="89"/>
      <c r="H67" s="8">
        <f>H52</f>
        <v>4.195804195804196E-2</v>
      </c>
    </row>
    <row r="68" spans="1:8" ht="14.25" customHeight="1">
      <c r="A68" s="275" t="s">
        <v>19</v>
      </c>
      <c r="B68" s="103"/>
      <c r="C68" s="103"/>
      <c r="D68" s="103"/>
      <c r="E68" s="103"/>
      <c r="F68" s="103"/>
      <c r="G68" s="103"/>
      <c r="H68" s="269">
        <f>SUM(H66:H67)</f>
        <v>-0.21914744192324589</v>
      </c>
    </row>
    <row r="69" spans="1:8" ht="14.25" customHeight="1">
      <c r="A69" s="274" t="s">
        <v>348</v>
      </c>
      <c r="B69" s="1"/>
      <c r="C69" s="1"/>
      <c r="D69" s="1"/>
      <c r="E69" s="1"/>
      <c r="F69" s="1"/>
      <c r="G69" s="1"/>
      <c r="H69" s="272" t="s">
        <v>23</v>
      </c>
    </row>
    <row r="70" spans="1:8" ht="14.25" customHeight="1"/>
    <row r="71" spans="1:8" ht="14.25" customHeight="1">
      <c r="A71" s="310" t="s">
        <v>349</v>
      </c>
      <c r="B71" s="311"/>
      <c r="C71" s="311"/>
      <c r="D71" s="311"/>
      <c r="E71" s="311"/>
      <c r="F71" s="311"/>
      <c r="G71" s="311"/>
      <c r="H71" s="312"/>
    </row>
    <row r="72" spans="1:8" ht="14.25" customHeight="1">
      <c r="A72" s="3" t="s">
        <v>350</v>
      </c>
      <c r="B72" s="5"/>
      <c r="C72" s="5"/>
      <c r="D72" s="5"/>
      <c r="E72" s="5"/>
      <c r="F72" s="5"/>
      <c r="G72" s="5">
        <v>16</v>
      </c>
      <c r="H72" s="276">
        <v>15</v>
      </c>
    </row>
    <row r="73" spans="1:8" ht="14.25" customHeight="1">
      <c r="A73" s="3" t="s">
        <v>53</v>
      </c>
      <c r="B73" s="5"/>
      <c r="C73" s="5"/>
      <c r="D73" s="5"/>
      <c r="E73" s="5"/>
      <c r="F73" s="5"/>
      <c r="G73" s="4">
        <f>FS!G16</f>
        <v>20.020849657685517</v>
      </c>
      <c r="H73" s="4">
        <f>FS!H16</f>
        <v>14.189919825914629</v>
      </c>
    </row>
    <row r="74" spans="1:8" ht="14.25" customHeight="1">
      <c r="A74" s="3" t="s">
        <v>351</v>
      </c>
      <c r="B74" s="5"/>
      <c r="C74" s="5"/>
      <c r="D74" s="5"/>
      <c r="E74" s="5"/>
      <c r="F74" s="5"/>
      <c r="G74" s="4">
        <f>G72*G73</f>
        <v>320.33359452296827</v>
      </c>
      <c r="H74" s="4">
        <f>H73*H72</f>
        <v>212.84879738871945</v>
      </c>
    </row>
    <row r="75" spans="1:8" ht="14.25" customHeight="1">
      <c r="A75" s="3" t="s">
        <v>28</v>
      </c>
      <c r="B75" s="5"/>
      <c r="C75" s="5"/>
      <c r="D75" s="5"/>
      <c r="E75" s="5"/>
      <c r="F75" s="5"/>
      <c r="G75" s="5">
        <f>H50</f>
        <v>143</v>
      </c>
      <c r="H75" s="5">
        <f>H50</f>
        <v>143</v>
      </c>
    </row>
    <row r="76" spans="1:8" ht="14.25" customHeight="1">
      <c r="A76" s="3" t="s">
        <v>17</v>
      </c>
      <c r="B76" s="5"/>
      <c r="C76" s="5"/>
      <c r="D76" s="5"/>
      <c r="E76" s="5"/>
      <c r="F76" s="5"/>
      <c r="G76" s="6">
        <f t="shared" ref="G76:H76" si="15">G74/G75-1</f>
        <v>1.2400950665941837</v>
      </c>
      <c r="H76" s="6">
        <f t="shared" si="15"/>
        <v>0.48845312859244361</v>
      </c>
    </row>
    <row r="77" spans="1:8" ht="14.25" customHeight="1">
      <c r="A77" s="7" t="s">
        <v>18</v>
      </c>
      <c r="B77" s="89"/>
      <c r="C77" s="89"/>
      <c r="D77" s="89"/>
      <c r="E77" s="89"/>
      <c r="F77" s="89"/>
      <c r="G77" s="8">
        <v>0.02</v>
      </c>
      <c r="H77" s="8">
        <f>H67</f>
        <v>4.195804195804196E-2</v>
      </c>
    </row>
    <row r="78" spans="1:8" ht="14.25" customHeight="1">
      <c r="A78" s="275" t="s">
        <v>19</v>
      </c>
      <c r="B78" s="103"/>
      <c r="C78" s="103"/>
      <c r="D78" s="103"/>
      <c r="E78" s="103"/>
      <c r="F78" s="103"/>
      <c r="G78" s="277">
        <f>SUM(G76:G77)</f>
        <v>1.2600950665941837</v>
      </c>
      <c r="H78" s="269">
        <f>H77+H76</f>
        <v>0.53041117055048559</v>
      </c>
    </row>
    <row r="79" spans="1:8" ht="14.25" customHeight="1">
      <c r="A79" s="274" t="s">
        <v>21</v>
      </c>
      <c r="B79" s="1"/>
      <c r="C79" s="1"/>
      <c r="D79" s="1"/>
      <c r="E79" s="1"/>
      <c r="F79" s="1"/>
      <c r="G79" s="272" t="s">
        <v>22</v>
      </c>
      <c r="H79" s="272" t="s">
        <v>22</v>
      </c>
    </row>
    <row r="80" spans="1:8" ht="14.25" customHeight="1"/>
    <row r="81" spans="1:14" ht="14.25" customHeight="1">
      <c r="A81" s="310" t="s">
        <v>352</v>
      </c>
      <c r="B81" s="311"/>
      <c r="C81" s="311"/>
      <c r="D81" s="311"/>
      <c r="E81" s="311"/>
      <c r="F81" s="311"/>
      <c r="G81" s="311"/>
      <c r="H81" s="312"/>
    </row>
    <row r="82" spans="1:14" ht="14.25" customHeight="1">
      <c r="A82" s="3" t="s">
        <v>350</v>
      </c>
      <c r="B82" s="5"/>
      <c r="C82" s="5"/>
      <c r="D82" s="5"/>
      <c r="E82" s="5"/>
      <c r="F82" s="5"/>
      <c r="G82" s="5">
        <v>3</v>
      </c>
      <c r="H82" s="276">
        <v>2.5</v>
      </c>
    </row>
    <row r="83" spans="1:14" ht="14.25" customHeight="1">
      <c r="A83" s="3" t="s">
        <v>353</v>
      </c>
      <c r="B83" s="5"/>
      <c r="C83" s="5"/>
      <c r="D83" s="5"/>
      <c r="E83" s="5"/>
      <c r="F83" s="5"/>
      <c r="G83" s="4">
        <f>BS!G76/FS!B26</f>
        <v>171.82890478688165</v>
      </c>
      <c r="H83" s="4">
        <f>BS!H76/FS!$B$26</f>
        <v>180.01882461279627</v>
      </c>
      <c r="I83" s="72"/>
      <c r="J83" s="72"/>
      <c r="K83" s="72"/>
      <c r="L83" s="72"/>
      <c r="M83" s="72"/>
      <c r="N83" s="72"/>
    </row>
    <row r="84" spans="1:14" ht="14.25" customHeight="1">
      <c r="A84" s="3" t="s">
        <v>351</v>
      </c>
      <c r="B84" s="5"/>
      <c r="C84" s="5"/>
      <c r="D84" s="5"/>
      <c r="E84" s="5"/>
      <c r="F84" s="5"/>
      <c r="G84" s="4">
        <f>G82*G83</f>
        <v>515.48671436064501</v>
      </c>
      <c r="H84" s="4">
        <f>H83*H82</f>
        <v>450.04706153199066</v>
      </c>
    </row>
    <row r="85" spans="1:14" ht="14.25" customHeight="1">
      <c r="A85" s="3" t="s">
        <v>28</v>
      </c>
      <c r="B85" s="5"/>
      <c r="C85" s="5"/>
      <c r="D85" s="5"/>
      <c r="E85" s="5"/>
      <c r="F85" s="5"/>
      <c r="G85" s="5">
        <v>143</v>
      </c>
      <c r="H85" s="5">
        <f>H75</f>
        <v>143</v>
      </c>
    </row>
    <row r="86" spans="1:14" ht="14.25" customHeight="1">
      <c r="A86" s="3" t="s">
        <v>17</v>
      </c>
      <c r="B86" s="5"/>
      <c r="C86" s="5"/>
      <c r="D86" s="5"/>
      <c r="E86" s="5"/>
      <c r="F86" s="5"/>
      <c r="G86" s="6">
        <f t="shared" ref="G86:H86" si="16">G84/G85-1</f>
        <v>2.6048021983261891</v>
      </c>
      <c r="H86" s="6">
        <f t="shared" si="16"/>
        <v>2.1471822484754592</v>
      </c>
    </row>
    <row r="87" spans="1:14" ht="14.25" customHeight="1">
      <c r="A87" s="7" t="s">
        <v>18</v>
      </c>
      <c r="B87" s="89"/>
      <c r="C87" s="89"/>
      <c r="D87" s="89"/>
      <c r="E87" s="89"/>
      <c r="F87" s="89"/>
      <c r="G87" s="8">
        <v>0.02</v>
      </c>
      <c r="H87" s="8">
        <f>H77</f>
        <v>4.195804195804196E-2</v>
      </c>
    </row>
    <row r="88" spans="1:14" ht="14.25" customHeight="1">
      <c r="A88" s="275" t="s">
        <v>19</v>
      </c>
      <c r="B88" s="103"/>
      <c r="C88" s="103"/>
      <c r="D88" s="103"/>
      <c r="E88" s="103"/>
      <c r="F88" s="103"/>
      <c r="G88" s="277">
        <f>SUM(G86:G87)</f>
        <v>2.6248021983261891</v>
      </c>
      <c r="H88" s="269">
        <f>H86+H87</f>
        <v>2.1891402904335013</v>
      </c>
    </row>
    <row r="89" spans="1:14" ht="14.25" customHeight="1">
      <c r="A89" s="274" t="s">
        <v>21</v>
      </c>
      <c r="B89" s="1"/>
      <c r="C89" s="1"/>
      <c r="D89" s="1"/>
      <c r="E89" s="1"/>
      <c r="F89" s="1"/>
      <c r="G89" s="272" t="s">
        <v>22</v>
      </c>
      <c r="H89" s="272" t="s">
        <v>22</v>
      </c>
    </row>
    <row r="90" spans="1:14" ht="14.25" customHeight="1"/>
    <row r="91" spans="1:14" ht="14.25" customHeight="1"/>
    <row r="92" spans="1:14" ht="14.25" customHeight="1"/>
    <row r="93" spans="1:14" ht="14.25" customHeight="1"/>
    <row r="94" spans="1:14" ht="14.25" customHeight="1"/>
    <row r="95" spans="1:14" ht="14.25" customHeight="1"/>
    <row r="96" spans="1:14" ht="14.25" customHeight="1"/>
    <row r="97" ht="14.25" customHeight="1"/>
    <row r="98" ht="14.25" customHeight="1"/>
    <row r="99" ht="14.25" customHeight="1"/>
    <row r="100" ht="14.25" customHeight="1"/>
  </sheetData>
  <mergeCells count="7">
    <mergeCell ref="A81:H81"/>
    <mergeCell ref="A71:H71"/>
    <mergeCell ref="S36:U36"/>
    <mergeCell ref="S37:U37"/>
    <mergeCell ref="A22:H22"/>
    <mergeCell ref="A38:H38"/>
    <mergeCell ref="A56:H56"/>
  </mergeCells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B1:P100"/>
  <sheetViews>
    <sheetView workbookViewId="0">
      <selection activeCell="J1" sqref="J1"/>
    </sheetView>
  </sheetViews>
  <sheetFormatPr defaultColWidth="12.7109375" defaultRowHeight="15" customHeight="1"/>
  <cols>
    <col min="1" max="1" width="7.7109375" customWidth="1"/>
    <col min="2" max="2" width="24.28515625" customWidth="1"/>
    <col min="3" max="3" width="12" bestFit="1" customWidth="1"/>
    <col min="4" max="7" width="10.42578125" customWidth="1"/>
    <col min="8" max="8" width="9.5703125" bestFit="1" customWidth="1"/>
    <col min="9" max="16" width="7.7109375" customWidth="1"/>
  </cols>
  <sheetData>
    <row r="1" spans="2:16" ht="14.25" customHeight="1" thickBot="1">
      <c r="B1" s="278"/>
      <c r="C1" s="37" t="s">
        <v>62</v>
      </c>
      <c r="D1" s="193" t="s">
        <v>63</v>
      </c>
      <c r="E1" s="37" t="s">
        <v>64</v>
      </c>
      <c r="F1" s="38" t="s">
        <v>65</v>
      </c>
      <c r="G1" s="38" t="s">
        <v>66</v>
      </c>
      <c r="H1" s="38" t="s">
        <v>371</v>
      </c>
    </row>
    <row r="2" spans="2:16" ht="14.25" customHeight="1">
      <c r="B2" t="s">
        <v>41</v>
      </c>
      <c r="C2">
        <v>8794.7638210673067</v>
      </c>
      <c r="D2">
        <v>10724.81821819974</v>
      </c>
      <c r="E2">
        <v>11778.97645027476</v>
      </c>
      <c r="F2">
        <v>12936.935773488762</v>
      </c>
      <c r="G2">
        <v>14208.939473590681</v>
      </c>
      <c r="H2" s="296">
        <f>G2+1272.0037</f>
        <v>15480.94317359068</v>
      </c>
      <c r="I2" t="s">
        <v>354</v>
      </c>
      <c r="K2" s="161"/>
      <c r="L2" s="161">
        <f t="shared" ref="L2:O2" si="0">D2/C2-1</f>
        <v>0.21945494346409955</v>
      </c>
      <c r="M2" s="161">
        <f t="shared" si="0"/>
        <v>9.8291477825343643E-2</v>
      </c>
      <c r="N2" s="161">
        <f t="shared" si="0"/>
        <v>9.8307295893013791E-2</v>
      </c>
      <c r="O2" s="161">
        <f t="shared" si="0"/>
        <v>9.8323414630270944E-2</v>
      </c>
      <c r="P2" s="161">
        <f t="shared" ref="P2" si="1">H2/G2-1</f>
        <v>8.952136803483457E-2</v>
      </c>
    </row>
    <row r="3" spans="2:16" ht="14.25" customHeight="1"/>
    <row r="4" spans="2:16" ht="14.25" customHeight="1" thickBot="1"/>
    <row r="5" spans="2:16" ht="14.25" customHeight="1" thickBot="1">
      <c r="C5" s="37" t="s">
        <v>62</v>
      </c>
      <c r="D5" s="193" t="s">
        <v>63</v>
      </c>
      <c r="E5" s="37" t="s">
        <v>64</v>
      </c>
      <c r="F5" s="38" t="s">
        <v>65</v>
      </c>
      <c r="G5" s="38" t="s">
        <v>66</v>
      </c>
      <c r="H5" s="38" t="s">
        <v>371</v>
      </c>
    </row>
    <row r="6" spans="2:16" ht="14.25" customHeight="1">
      <c r="B6" t="s">
        <v>41</v>
      </c>
      <c r="C6" s="279">
        <f>ASSUMPTIONS!I41</f>
        <v>8955.7982652241189</v>
      </c>
      <c r="D6" s="279">
        <f>ASSUMPTIONS!J41</f>
        <v>11925.697157921462</v>
      </c>
      <c r="E6" s="279">
        <f>ASSUMPTIONS!K41</f>
        <v>13827.884161353661</v>
      </c>
      <c r="F6" s="279">
        <f>ASSUMPTIONS!L41</f>
        <v>15892.674652515943</v>
      </c>
      <c r="G6" s="279">
        <f>ASSUMPTIONS!M41</f>
        <v>18266.160130796448</v>
      </c>
      <c r="H6" s="279">
        <f>ASSUMPTIONS!N41</f>
        <v>20994.537560692916</v>
      </c>
      <c r="I6" t="s">
        <v>355</v>
      </c>
      <c r="K6" s="161"/>
      <c r="L6" s="161">
        <f t="shared" ref="L6:O6" si="2">(D6/C6)-1</f>
        <v>0.33161743986905456</v>
      </c>
      <c r="M6" s="161">
        <f t="shared" si="2"/>
        <v>0.15950321211776708</v>
      </c>
      <c r="N6" s="161">
        <f t="shared" si="2"/>
        <v>0.14932078306911079</v>
      </c>
      <c r="O6" s="161">
        <f t="shared" si="2"/>
        <v>0.14934462135388671</v>
      </c>
      <c r="P6" s="161">
        <f t="shared" ref="P6" si="3">(H6/G6)-1</f>
        <v>0.14936786989491391</v>
      </c>
    </row>
    <row r="7" spans="2:16" ht="14.25" customHeight="1"/>
    <row r="8" spans="2:16" ht="14.25" customHeight="1"/>
    <row r="9" spans="2:16" ht="14.25" customHeight="1">
      <c r="B9" t="s">
        <v>356</v>
      </c>
      <c r="C9">
        <v>708.99791829523724</v>
      </c>
      <c r="D9">
        <v>974.3753474497189</v>
      </c>
      <c r="E9">
        <v>1209.4971928247928</v>
      </c>
      <c r="F9">
        <v>1316.3993557515257</v>
      </c>
      <c r="G9">
        <v>1346.3030439003282</v>
      </c>
      <c r="H9">
        <f>G9+29.903688</f>
        <v>1376.2067319003284</v>
      </c>
    </row>
    <row r="10" spans="2:16" ht="14.25" customHeight="1"/>
    <row r="11" spans="2:16" ht="14.25" customHeight="1"/>
    <row r="12" spans="2:16" ht="14.25" customHeight="1">
      <c r="B12" t="s">
        <v>357</v>
      </c>
      <c r="C12" s="72">
        <f>FS!I57</f>
        <v>236.8315832582702</v>
      </c>
      <c r="D12" s="72">
        <f>FS!J57</f>
        <v>868.37577547649948</v>
      </c>
      <c r="E12" s="72">
        <f>FS!K57</f>
        <v>1750.0951840579964</v>
      </c>
      <c r="F12" s="72">
        <f>FS!L57</f>
        <v>2831.7431274919863</v>
      </c>
      <c r="G12" s="72">
        <f>FS!M57</f>
        <v>4218.2265348305355</v>
      </c>
      <c r="H12" s="72">
        <f>FS!N57</f>
        <v>5830.5659841148954</v>
      </c>
    </row>
    <row r="13" spans="2:16" ht="14.25" customHeight="1"/>
    <row r="14" spans="2:16" ht="14.25" customHeight="1"/>
    <row r="15" spans="2:16" ht="14.25" customHeight="1">
      <c r="B15" t="s">
        <v>358</v>
      </c>
      <c r="C15" s="72">
        <f>(C12-C9)/1.16</f>
        <v>-407.03994399738542</v>
      </c>
      <c r="D15" s="72">
        <f>(D12-D9)/1.16^2</f>
        <v>-78.774949445020383</v>
      </c>
      <c r="E15" s="72">
        <f>(E12-E9)/1.16^3</f>
        <v>346.33825138459173</v>
      </c>
      <c r="F15" s="72">
        <f>(F12-F9)/1.16^4</f>
        <v>836.91087536087855</v>
      </c>
      <c r="G15" s="72">
        <f>(G12-G9)/1.16^5</f>
        <v>1367.3601533056637</v>
      </c>
      <c r="H15" s="72">
        <f t="shared" ref="H15" si="4">(H12-H9)/1.16^5</f>
        <v>2120.7784153100292</v>
      </c>
    </row>
    <row r="16" spans="2:16" ht="14.25" customHeight="1"/>
    <row r="17" spans="2:3" ht="14.25" customHeight="1">
      <c r="B17" t="s">
        <v>359</v>
      </c>
      <c r="C17" s="161">
        <f>IRR(C15:H15)</f>
        <v>0.84799185090256413</v>
      </c>
    </row>
    <row r="18" spans="2:3" ht="14.25" customHeight="1">
      <c r="B18" t="s">
        <v>360</v>
      </c>
      <c r="C18" s="161">
        <v>0.17</v>
      </c>
    </row>
    <row r="19" spans="2:3" ht="14.25" customHeight="1">
      <c r="B19" t="s">
        <v>361</v>
      </c>
      <c r="C19" s="161">
        <f>C17-C18</f>
        <v>0.67799185090256409</v>
      </c>
    </row>
    <row r="20" spans="2:3" ht="14.25" customHeight="1"/>
    <row r="21" spans="2:3" ht="14.25" customHeight="1"/>
    <row r="22" spans="2:3" ht="14.25" customHeight="1"/>
    <row r="23" spans="2:3" ht="14.25" customHeight="1"/>
    <row r="24" spans="2:3" ht="14.25" customHeight="1"/>
    <row r="25" spans="2:3" ht="14.25" customHeight="1"/>
    <row r="26" spans="2:3" ht="14.25" customHeight="1"/>
    <row r="27" spans="2:3" ht="14.25" customHeight="1"/>
    <row r="28" spans="2:3" ht="14.25" customHeight="1"/>
    <row r="29" spans="2:3" ht="14.25" customHeight="1"/>
    <row r="30" spans="2:3" ht="14.25" customHeight="1"/>
    <row r="31" spans="2:3" ht="14.25" customHeight="1"/>
    <row r="32" spans="2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>
  <dimension ref="A1:M100"/>
  <sheetViews>
    <sheetView zoomScale="55" zoomScaleNormal="55" workbookViewId="0">
      <selection activeCell="I25" sqref="I25"/>
    </sheetView>
  </sheetViews>
  <sheetFormatPr defaultColWidth="12.7109375" defaultRowHeight="15" customHeight="1"/>
  <cols>
    <col min="1" max="1" width="33.85546875" customWidth="1"/>
    <col min="2" max="2" width="12.7109375" hidden="1" customWidth="1"/>
    <col min="3" max="3" width="12.28515625" customWidth="1"/>
    <col min="4" max="4" width="13.140625" customWidth="1"/>
    <col min="5" max="5" width="12.7109375" customWidth="1"/>
    <col min="6" max="6" width="12.140625" customWidth="1"/>
    <col min="7" max="7" width="13.28515625" customWidth="1"/>
    <col min="8" max="8" width="11.28515625" customWidth="1"/>
    <col min="9" max="9" width="11.42578125" customWidth="1"/>
    <col min="10" max="10" width="11.85546875" customWidth="1"/>
    <col min="11" max="11" width="12.42578125" customWidth="1"/>
    <col min="12" max="12" width="7.7109375" customWidth="1"/>
  </cols>
  <sheetData>
    <row r="1" spans="1:13" ht="14.25" customHeight="1" thickBot="1">
      <c r="C1" s="280" t="s">
        <v>57</v>
      </c>
      <c r="D1" s="280" t="s">
        <v>58</v>
      </c>
      <c r="E1" s="280" t="s">
        <v>59</v>
      </c>
      <c r="F1" s="281" t="s">
        <v>60</v>
      </c>
      <c r="G1" s="282" t="s">
        <v>61</v>
      </c>
      <c r="H1" s="282" t="s">
        <v>62</v>
      </c>
      <c r="I1" s="282" t="s">
        <v>63</v>
      </c>
      <c r="J1" s="282" t="s">
        <v>64</v>
      </c>
      <c r="K1" s="283" t="s">
        <v>65</v>
      </c>
      <c r="L1" s="283" t="s">
        <v>66</v>
      </c>
      <c r="M1" s="297" t="s">
        <v>371</v>
      </c>
    </row>
    <row r="2" spans="1:13" ht="14.25" customHeight="1" thickBot="1">
      <c r="A2" s="284" t="s">
        <v>362</v>
      </c>
      <c r="B2" s="285"/>
      <c r="C2" s="285"/>
      <c r="D2" s="285"/>
      <c r="E2" s="286"/>
    </row>
    <row r="3" spans="1:13" ht="14.25" customHeight="1">
      <c r="B3" s="285"/>
      <c r="C3" s="285"/>
    </row>
    <row r="4" spans="1:13" ht="14.25" customHeight="1">
      <c r="A4" s="287" t="s">
        <v>363</v>
      </c>
      <c r="B4" s="285"/>
      <c r="C4" s="40">
        <f>ASSUMPTIONS!D4</f>
        <v>0.10249999999999999</v>
      </c>
      <c r="D4" s="40">
        <f>ASSUMPTIONS!E4</f>
        <v>0.11890000000000001</v>
      </c>
      <c r="E4" s="40">
        <f>ASSUMPTIONS!F4</f>
        <v>7.0000000000000007E-2</v>
      </c>
      <c r="F4" s="40">
        <f>ASSUMPTIONS!G4</f>
        <v>0.13750000000000001</v>
      </c>
      <c r="G4" s="40">
        <f>ASSUMPTIONS!H4</f>
        <v>0.16</v>
      </c>
      <c r="H4" s="40">
        <f>ASSUMPTIONS!I4</f>
        <v>0.15</v>
      </c>
      <c r="I4" s="40">
        <f>ASSUMPTIONS!J4</f>
        <v>0.14000000000000001</v>
      </c>
      <c r="J4" s="40">
        <f>ASSUMPTIONS!K4</f>
        <v>0.14000000000000001</v>
      </c>
      <c r="K4" s="40">
        <f>ASSUMPTIONS!L4</f>
        <v>0.14000000000000001</v>
      </c>
      <c r="L4" s="40">
        <f>ASSUMPTIONS!M4</f>
        <v>0.14000000000000001</v>
      </c>
      <c r="M4" s="40">
        <f>ASSUMPTIONS!N4</f>
        <v>0.14000000000000001</v>
      </c>
    </row>
    <row r="5" spans="1:13" ht="14.25" customHeight="1">
      <c r="A5" s="287" t="s">
        <v>364</v>
      </c>
      <c r="B5" s="285"/>
      <c r="C5" s="285"/>
      <c r="G5" s="288">
        <f t="shared" ref="G5:L5" si="0">G4+0.5%</f>
        <v>0.16500000000000001</v>
      </c>
      <c r="H5" s="288">
        <f t="shared" si="0"/>
        <v>0.155</v>
      </c>
      <c r="I5" s="288">
        <f t="shared" si="0"/>
        <v>0.14500000000000002</v>
      </c>
      <c r="J5" s="288">
        <f t="shared" si="0"/>
        <v>0.14500000000000002</v>
      </c>
      <c r="K5" s="288">
        <f t="shared" si="0"/>
        <v>0.14500000000000002</v>
      </c>
      <c r="L5" s="288">
        <f t="shared" si="0"/>
        <v>0.14500000000000002</v>
      </c>
      <c r="M5" s="288">
        <f t="shared" ref="M5" si="1">M4+0.5%</f>
        <v>0.14500000000000002</v>
      </c>
    </row>
    <row r="6" spans="1:13" ht="14.25" customHeight="1">
      <c r="A6" s="287" t="s">
        <v>365</v>
      </c>
      <c r="C6" s="289"/>
      <c r="G6" s="288">
        <f t="shared" ref="G6:L6" si="2">G4+0.55%</f>
        <v>0.16550000000000001</v>
      </c>
      <c r="H6" s="288">
        <f t="shared" si="2"/>
        <v>0.1555</v>
      </c>
      <c r="I6" s="288">
        <f t="shared" si="2"/>
        <v>0.14550000000000002</v>
      </c>
      <c r="J6" s="288">
        <f t="shared" si="2"/>
        <v>0.14550000000000002</v>
      </c>
      <c r="K6" s="288">
        <f t="shared" si="2"/>
        <v>0.14550000000000002</v>
      </c>
      <c r="L6" s="288">
        <f t="shared" si="2"/>
        <v>0.14550000000000002</v>
      </c>
      <c r="M6" s="288">
        <f t="shared" ref="M6" si="3">M4+0.55%</f>
        <v>0.14550000000000002</v>
      </c>
    </row>
    <row r="7" spans="1:13" ht="14.25" customHeight="1">
      <c r="A7" s="287" t="s">
        <v>366</v>
      </c>
    </row>
    <row r="8" spans="1:13" ht="14.25" customHeight="1"/>
    <row r="9" spans="1:13" ht="14.25" customHeight="1"/>
    <row r="10" spans="1:13" ht="14.25" customHeight="1">
      <c r="A10" s="287" t="s">
        <v>367</v>
      </c>
    </row>
    <row r="11" spans="1:13" ht="14.25" customHeight="1">
      <c r="A11" s="287" t="s">
        <v>368</v>
      </c>
      <c r="G11" s="290">
        <f t="shared" ref="G11:M11" si="4">G5+0.25%</f>
        <v>0.16750000000000001</v>
      </c>
      <c r="H11" s="290">
        <f t="shared" si="4"/>
        <v>0.1575</v>
      </c>
      <c r="I11" s="290">
        <f t="shared" si="4"/>
        <v>0.14750000000000002</v>
      </c>
      <c r="J11" s="290">
        <f t="shared" si="4"/>
        <v>0.14750000000000002</v>
      </c>
      <c r="K11" s="290">
        <f t="shared" si="4"/>
        <v>0.14750000000000002</v>
      </c>
      <c r="L11" s="290">
        <f t="shared" si="4"/>
        <v>0.14750000000000002</v>
      </c>
      <c r="M11" s="290">
        <f t="shared" si="4"/>
        <v>0.14750000000000002</v>
      </c>
    </row>
    <row r="12" spans="1:13" ht="14.25" customHeight="1"/>
    <row r="13" spans="1:13" ht="14.25" customHeight="1"/>
    <row r="14" spans="1:13" ht="14.25" customHeight="1">
      <c r="A14" s="287" t="s">
        <v>248</v>
      </c>
      <c r="F14" s="4">
        <f>BS!G87</f>
        <v>165.21073799999999</v>
      </c>
      <c r="G14" s="4">
        <f t="shared" ref="G14:L14" si="5">F16</f>
        <v>142.49426152499998</v>
      </c>
      <c r="H14" s="4">
        <f t="shared" si="5"/>
        <v>119.69517968099998</v>
      </c>
      <c r="I14" s="4">
        <f t="shared" si="5"/>
        <v>101.74090272884999</v>
      </c>
      <c r="J14" s="4">
        <f t="shared" si="5"/>
        <v>87.497176346810988</v>
      </c>
      <c r="K14" s="4">
        <f t="shared" si="5"/>
        <v>75.247571658257442</v>
      </c>
      <c r="L14" s="4">
        <f t="shared" si="5"/>
        <v>64.712911626101402</v>
      </c>
      <c r="M14" s="4">
        <f t="shared" ref="M14" si="6">L16</f>
        <v>55.653103998447207</v>
      </c>
    </row>
    <row r="15" spans="1:13" ht="14.25" customHeight="1" thickBot="1">
      <c r="A15" s="291" t="s">
        <v>369</v>
      </c>
      <c r="F15" s="91">
        <f>-F14*F4</f>
        <v>-22.716476475</v>
      </c>
      <c r="G15" s="91">
        <f t="shared" ref="G15:H15" si="7">-G4*G14</f>
        <v>-22.799081843999996</v>
      </c>
      <c r="H15" s="91">
        <f t="shared" si="7"/>
        <v>-17.954276952149996</v>
      </c>
      <c r="I15" s="91">
        <f t="shared" ref="I15:L15" si="8">-I14*I4</f>
        <v>-14.243726382039</v>
      </c>
      <c r="J15" s="91">
        <f t="shared" si="8"/>
        <v>-12.249604688553539</v>
      </c>
      <c r="K15" s="91">
        <f t="shared" si="8"/>
        <v>-10.534660032156044</v>
      </c>
      <c r="L15" s="91">
        <f t="shared" si="8"/>
        <v>-9.0598076276541963</v>
      </c>
      <c r="M15" s="91">
        <f t="shared" ref="M15" si="9">-M14*M4</f>
        <v>-7.7914345597826093</v>
      </c>
    </row>
    <row r="16" spans="1:13" ht="14.25" customHeight="1" thickBot="1">
      <c r="A16" s="292" t="s">
        <v>252</v>
      </c>
      <c r="B16" s="103"/>
      <c r="C16" s="103"/>
      <c r="D16" s="103"/>
      <c r="E16" s="103"/>
      <c r="F16" s="104">
        <f t="shared" ref="F16:M16" si="10">SUM(F14:F15)</f>
        <v>142.49426152499998</v>
      </c>
      <c r="G16" s="104">
        <f t="shared" si="10"/>
        <v>119.69517968099998</v>
      </c>
      <c r="H16" s="104">
        <f t="shared" si="10"/>
        <v>101.74090272884999</v>
      </c>
      <c r="I16" s="104">
        <f t="shared" si="10"/>
        <v>87.497176346810988</v>
      </c>
      <c r="J16" s="104">
        <f t="shared" si="10"/>
        <v>75.247571658257442</v>
      </c>
      <c r="K16" s="109">
        <f t="shared" si="10"/>
        <v>64.712911626101402</v>
      </c>
      <c r="L16" s="109">
        <f t="shared" si="10"/>
        <v>55.653103998447207</v>
      </c>
      <c r="M16" s="109">
        <f t="shared" si="10"/>
        <v>47.861669438664599</v>
      </c>
    </row>
    <row r="17" spans="1:1" ht="14.25" customHeight="1"/>
    <row r="18" spans="1:1" ht="14.25" customHeight="1"/>
    <row r="19" spans="1:1" ht="14.25" customHeight="1"/>
    <row r="20" spans="1:1" ht="14.25" customHeight="1"/>
    <row r="21" spans="1:1" ht="14.25" customHeight="1"/>
    <row r="22" spans="1:1" ht="14.25" customHeight="1"/>
    <row r="23" spans="1:1" ht="14.25" customHeight="1"/>
    <row r="24" spans="1:1" ht="14.25" customHeight="1"/>
    <row r="25" spans="1:1" ht="14.25" customHeight="1"/>
    <row r="26" spans="1:1" ht="14.25" customHeight="1"/>
    <row r="27" spans="1:1" ht="14.25" customHeight="1">
      <c r="A27" s="221"/>
    </row>
    <row r="28" spans="1:1" ht="14.25" customHeight="1">
      <c r="A28" s="221"/>
    </row>
    <row r="29" spans="1:1" ht="14.25" customHeight="1"/>
    <row r="30" spans="1:1" ht="14.25" customHeight="1"/>
    <row r="31" spans="1:1" ht="14.25" customHeight="1"/>
    <row r="32" spans="1:1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INDEX</vt:lpstr>
      <vt:lpstr>SUMMARY</vt:lpstr>
      <vt:lpstr>ASSUMPTIONS</vt:lpstr>
      <vt:lpstr>FS</vt:lpstr>
      <vt:lpstr>BS</vt:lpstr>
      <vt:lpstr>VALUATION</vt:lpstr>
      <vt:lpstr>NPV</vt:lpstr>
      <vt:lpstr>DEBT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Rashid Ali</cp:lastModifiedBy>
  <dcterms:created xsi:type="dcterms:W3CDTF">2022-03-14T17:39:47Z</dcterms:created>
  <dcterms:modified xsi:type="dcterms:W3CDTF">2023-06-29T13:00:32Z</dcterms:modified>
</cp:coreProperties>
</file>